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tables/table5.xml" ContentType="application/vnd.openxmlformats-officedocument.spreadsheetml.table+xml"/>
  <Override PartName="/xl/queryTables/queryTable3.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66986bd22b0a0d7d/Desktop/IT/Learnings/Data^FScience^M/Hands-On/Microsoft/Excel/"/>
    </mc:Choice>
  </mc:AlternateContent>
  <xr:revisionPtr revIDLastSave="3674" documentId="8_{6D4F3F80-91CE-4337-83DA-740007210401}" xr6:coauthVersionLast="47" xr6:coauthVersionMax="47" xr10:uidLastSave="{1D467183-14C4-4D89-A809-2066CD6F2D05}"/>
  <bookViews>
    <workbookView minimized="1" xWindow="2211" yWindow="2211" windowWidth="16328" windowHeight="8357" firstSheet="22" activeTab="23" xr2:uid="{BF7F596F-FADD-4934-A506-56FE6AF330F3}"/>
  </bookViews>
  <sheets>
    <sheet name="Sample Data" sheetId="4" r:id="rId1"/>
    <sheet name="View and Worksheet UI" sheetId="1" r:id="rId2"/>
    <sheet name="Shortcuts Hot Keys" sheetId="2" r:id="rId3"/>
    <sheet name="Font" sheetId="6" r:id="rId4"/>
    <sheet name="Sort &amp; Filter" sheetId="3" r:id="rId5"/>
    <sheet name="UNIQUE_COUNT_#_TEXTJOIN" sheetId="13" r:id="rId6"/>
    <sheet name="Aggregate Functions" sheetId="12" r:id="rId7"/>
    <sheet name="Calculations" sheetId="5" r:id="rId8"/>
    <sheet name="Xl to Power Query" sheetId="11" r:id="rId9"/>
    <sheet name="Table_Lookup" sheetId="17" r:id="rId10"/>
    <sheet name="Emp_result" sheetId="18" r:id="rId11"/>
    <sheet name="VLOOKUP_INDEX" sheetId="15" r:id="rId12"/>
    <sheet name="XLOOKUP" sheetId="16" r:id="rId13"/>
    <sheet name="Excel to Power Query" sheetId="7" r:id="rId14"/>
    <sheet name="Weblink to Power Query" sheetId="8" r:id="rId15"/>
    <sheet name="Table_PIVOT" sheetId="20" r:id="rId16"/>
    <sheet name="PIVOT_CALL_REPORT" sheetId="22" r:id="rId17"/>
    <sheet name="PIVOT_FILTER" sheetId="26" r:id="rId18"/>
    <sheet name="PIVOT_GROUPING" sheetId="27" r:id="rId19"/>
    <sheet name="DATE_PIVOT" sheetId="28" r:id="rId20"/>
    <sheet name="DURATION_RATING_PIVOT" sheetId="34" r:id="rId21"/>
    <sheet name="Call_Data_Table_Sheet" sheetId="39" r:id="rId22"/>
    <sheet name="Icons_Assests_Notes" sheetId="38" r:id="rId23"/>
    <sheet name="Call_Pivot_Calculations" sheetId="43" r:id="rId24"/>
    <sheet name="Call_Center_1" sheetId="42" r:id="rId25"/>
    <sheet name="Sheet2" sheetId="45" r:id="rId26"/>
    <sheet name="Sheet1" sheetId="44" r:id="rId27"/>
  </sheets>
  <definedNames>
    <definedName name="_xlnm._FilterDatabase" localSheetId="7" hidden="1">Calculations!$A$1:$I$59</definedName>
    <definedName name="_xlnm._FilterDatabase" localSheetId="4" hidden="1">'Sort &amp; Filter'!$K$22:$S$22</definedName>
    <definedName name="_xlcn.WorksheetConnection_Excel4DataAnalysis.xlsxCall_Table_Data1" hidden="1">Call_Table_Data[]</definedName>
    <definedName name="ExternalData_1" localSheetId="9" hidden="1">Table_Lookup!$A$1:$J$277</definedName>
    <definedName name="ExternalData_1" localSheetId="14" hidden="1">'Weblink to Power Query'!$A$5:$G$98</definedName>
    <definedName name="ExternalData_1" localSheetId="8" hidden="1">'Xl to Power Query'!$A$1:$M$60</definedName>
    <definedName name="Slicer_Representative">#N/A</definedName>
    <definedName name="Slicer_Representative1">#N/A</definedName>
    <definedName name="Slicer_Representative2">#N/A</definedName>
  </definedNames>
  <calcPr calcId="191029"/>
  <pivotCaches>
    <pivotCache cacheId="0" r:id="rId28"/>
    <pivotCache cacheId="1" r:id="rId29"/>
  </pivotCaches>
  <extLst>
    <ext xmlns:x14="http://schemas.microsoft.com/office/spreadsheetml/2009/9/main" uri="{BBE1A952-AA13-448e-AADC-164F8A28A991}">
      <x14:slicerCaches>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_Table_Data" name="Call_Table_Data" connection="WorksheetConnection_Excel 4 Data Analysis.xlsx!Call_Table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5" l="1" a="1"/>
  <c r="M6" i="5" s="1"/>
  <c r="K127" i="3" a="1"/>
  <c r="K127" i="3" s="1"/>
  <c r="K1002" i="39"/>
  <c r="J1002" i="39" a="1"/>
  <c r="J1002" i="39" s="1"/>
  <c r="I1002" i="39"/>
  <c r="H1002" i="39"/>
  <c r="K1001" i="39"/>
  <c r="J1001" i="39" a="1"/>
  <c r="J1001" i="39" s="1"/>
  <c r="I1001" i="39"/>
  <c r="H1001" i="39"/>
  <c r="K1000" i="39"/>
  <c r="J1000" i="39" a="1"/>
  <c r="J1000" i="39" s="1"/>
  <c r="I1000" i="39"/>
  <c r="H1000" i="39"/>
  <c r="K999" i="39"/>
  <c r="J999" i="39" a="1"/>
  <c r="J999" i="39" s="1"/>
  <c r="I999" i="39"/>
  <c r="H999" i="39"/>
  <c r="K998" i="39"/>
  <c r="J998" i="39" a="1"/>
  <c r="J998" i="39" s="1"/>
  <c r="I998" i="39"/>
  <c r="H998" i="39"/>
  <c r="K997" i="39"/>
  <c r="J997" i="39" a="1"/>
  <c r="J997" i="39" s="1"/>
  <c r="I997" i="39"/>
  <c r="H997" i="39"/>
  <c r="K996" i="39"/>
  <c r="J996" i="39" a="1"/>
  <c r="J996" i="39" s="1"/>
  <c r="I996" i="39"/>
  <c r="H996" i="39"/>
  <c r="K995" i="39"/>
  <c r="J995" i="39" a="1"/>
  <c r="J995" i="39" s="1"/>
  <c r="I995" i="39"/>
  <c r="H995" i="39"/>
  <c r="K994" i="39"/>
  <c r="J994" i="39" a="1"/>
  <c r="J994" i="39" s="1"/>
  <c r="I994" i="39"/>
  <c r="H994" i="39"/>
  <c r="K993" i="39"/>
  <c r="J993" i="39" a="1"/>
  <c r="J993" i="39" s="1"/>
  <c r="I993" i="39"/>
  <c r="H993" i="39"/>
  <c r="K992" i="39"/>
  <c r="J992" i="39" a="1"/>
  <c r="J992" i="39" s="1"/>
  <c r="I992" i="39"/>
  <c r="H992" i="39"/>
  <c r="K991" i="39"/>
  <c r="J991" i="39" a="1"/>
  <c r="J991" i="39" s="1"/>
  <c r="I991" i="39"/>
  <c r="H991" i="39"/>
  <c r="K990" i="39"/>
  <c r="J990" i="39" a="1"/>
  <c r="J990" i="39" s="1"/>
  <c r="I990" i="39"/>
  <c r="H990" i="39"/>
  <c r="K989" i="39"/>
  <c r="J989" i="39" a="1"/>
  <c r="J989" i="39" s="1"/>
  <c r="I989" i="39"/>
  <c r="H989" i="39"/>
  <c r="K988" i="39"/>
  <c r="J988" i="39" a="1"/>
  <c r="J988" i="39" s="1"/>
  <c r="I988" i="39"/>
  <c r="H988" i="39"/>
  <c r="K987" i="39"/>
  <c r="J987" i="39" a="1"/>
  <c r="J987" i="39" s="1"/>
  <c r="I987" i="39"/>
  <c r="H987" i="39"/>
  <c r="K986" i="39"/>
  <c r="J986" i="39" a="1"/>
  <c r="J986" i="39" s="1"/>
  <c r="I986" i="39"/>
  <c r="H986" i="39"/>
  <c r="K985" i="39"/>
  <c r="J985" i="39" a="1"/>
  <c r="J985" i="39" s="1"/>
  <c r="I985" i="39"/>
  <c r="H985" i="39"/>
  <c r="K984" i="39"/>
  <c r="J984" i="39" a="1"/>
  <c r="J984" i="39" s="1"/>
  <c r="I984" i="39"/>
  <c r="H984" i="39"/>
  <c r="K983" i="39"/>
  <c r="J983" i="39" a="1"/>
  <c r="J983" i="39" s="1"/>
  <c r="I983" i="39"/>
  <c r="H983" i="39"/>
  <c r="K982" i="39"/>
  <c r="J982" i="39" a="1"/>
  <c r="J982" i="39" s="1"/>
  <c r="I982" i="39"/>
  <c r="H982" i="39"/>
  <c r="K981" i="39"/>
  <c r="J981" i="39" a="1"/>
  <c r="J981" i="39" s="1"/>
  <c r="I981" i="39"/>
  <c r="H981" i="39"/>
  <c r="K980" i="39"/>
  <c r="J980" i="39" a="1"/>
  <c r="J980" i="39" s="1"/>
  <c r="I980" i="39"/>
  <c r="H980" i="39"/>
  <c r="K979" i="39"/>
  <c r="J979" i="39" a="1"/>
  <c r="J979" i="39" s="1"/>
  <c r="I979" i="39"/>
  <c r="H979" i="39"/>
  <c r="K978" i="39"/>
  <c r="J978" i="39" a="1"/>
  <c r="J978" i="39" s="1"/>
  <c r="I978" i="39"/>
  <c r="H978" i="39"/>
  <c r="K977" i="39"/>
  <c r="J977" i="39" a="1"/>
  <c r="J977" i="39" s="1"/>
  <c r="I977" i="39"/>
  <c r="H977" i="39"/>
  <c r="K976" i="39"/>
  <c r="J976" i="39" a="1"/>
  <c r="J976" i="39" s="1"/>
  <c r="I976" i="39"/>
  <c r="H976" i="39"/>
  <c r="K975" i="39"/>
  <c r="J975" i="39" a="1"/>
  <c r="J975" i="39" s="1"/>
  <c r="I975" i="39"/>
  <c r="H975" i="39"/>
  <c r="K974" i="39"/>
  <c r="J974" i="39" a="1"/>
  <c r="J974" i="39" s="1"/>
  <c r="I974" i="39"/>
  <c r="H974" i="39"/>
  <c r="K973" i="39"/>
  <c r="J973" i="39" a="1"/>
  <c r="J973" i="39" s="1"/>
  <c r="I973" i="39"/>
  <c r="H973" i="39"/>
  <c r="K972" i="39"/>
  <c r="J972" i="39" a="1"/>
  <c r="J972" i="39" s="1"/>
  <c r="I972" i="39"/>
  <c r="H972" i="39"/>
  <c r="K971" i="39"/>
  <c r="J971" i="39" a="1"/>
  <c r="J971" i="39" s="1"/>
  <c r="I971" i="39"/>
  <c r="H971" i="39"/>
  <c r="K970" i="39"/>
  <c r="J970" i="39" a="1"/>
  <c r="J970" i="39" s="1"/>
  <c r="I970" i="39"/>
  <c r="H970" i="39"/>
  <c r="K969" i="39"/>
  <c r="J969" i="39" a="1"/>
  <c r="J969" i="39" s="1"/>
  <c r="I969" i="39"/>
  <c r="H969" i="39"/>
  <c r="K968" i="39"/>
  <c r="J968" i="39" a="1"/>
  <c r="J968" i="39" s="1"/>
  <c r="I968" i="39"/>
  <c r="H968" i="39"/>
  <c r="K967" i="39"/>
  <c r="J967" i="39"/>
  <c r="J967" i="39" a="1"/>
  <c r="I967" i="39"/>
  <c r="H967" i="39"/>
  <c r="K966" i="39"/>
  <c r="J966" i="39" a="1"/>
  <c r="J966" i="39" s="1"/>
  <c r="I966" i="39"/>
  <c r="H966" i="39"/>
  <c r="K965" i="39"/>
  <c r="J965" i="39" a="1"/>
  <c r="J965" i="39" s="1"/>
  <c r="I965" i="39"/>
  <c r="H965" i="39"/>
  <c r="K964" i="39"/>
  <c r="J964" i="39" a="1"/>
  <c r="J964" i="39" s="1"/>
  <c r="I964" i="39"/>
  <c r="H964" i="39"/>
  <c r="K963" i="39"/>
  <c r="J963" i="39" a="1"/>
  <c r="J963" i="39" s="1"/>
  <c r="I963" i="39"/>
  <c r="H963" i="39"/>
  <c r="K962" i="39"/>
  <c r="J962" i="39" a="1"/>
  <c r="J962" i="39" s="1"/>
  <c r="I962" i="39"/>
  <c r="H962" i="39"/>
  <c r="K961" i="39"/>
  <c r="J961" i="39" a="1"/>
  <c r="J961" i="39" s="1"/>
  <c r="I961" i="39"/>
  <c r="H961" i="39"/>
  <c r="K960" i="39"/>
  <c r="J960" i="39" a="1"/>
  <c r="J960" i="39" s="1"/>
  <c r="I960" i="39"/>
  <c r="H960" i="39"/>
  <c r="K959" i="39"/>
  <c r="J959" i="39" a="1"/>
  <c r="J959" i="39" s="1"/>
  <c r="I959" i="39"/>
  <c r="H959" i="39"/>
  <c r="K958" i="39"/>
  <c r="J958" i="39" a="1"/>
  <c r="J958" i="39" s="1"/>
  <c r="I958" i="39"/>
  <c r="H958" i="39"/>
  <c r="K957" i="39"/>
  <c r="J957" i="39" a="1"/>
  <c r="J957" i="39" s="1"/>
  <c r="I957" i="39"/>
  <c r="H957" i="39"/>
  <c r="K956" i="39"/>
  <c r="J956" i="39" a="1"/>
  <c r="J956" i="39" s="1"/>
  <c r="I956" i="39"/>
  <c r="H956" i="39"/>
  <c r="K955" i="39"/>
  <c r="J955" i="39" a="1"/>
  <c r="J955" i="39" s="1"/>
  <c r="I955" i="39"/>
  <c r="H955" i="39"/>
  <c r="K954" i="39"/>
  <c r="J954" i="39" a="1"/>
  <c r="J954" i="39" s="1"/>
  <c r="I954" i="39"/>
  <c r="H954" i="39"/>
  <c r="K953" i="39"/>
  <c r="J953" i="39" a="1"/>
  <c r="J953" i="39" s="1"/>
  <c r="I953" i="39"/>
  <c r="H953" i="39"/>
  <c r="K952" i="39"/>
  <c r="J952" i="39" a="1"/>
  <c r="J952" i="39" s="1"/>
  <c r="I952" i="39"/>
  <c r="H952" i="39"/>
  <c r="K951" i="39"/>
  <c r="J951" i="39" a="1"/>
  <c r="J951" i="39" s="1"/>
  <c r="I951" i="39"/>
  <c r="H951" i="39"/>
  <c r="K950" i="39"/>
  <c r="J950" i="39" a="1"/>
  <c r="J950" i="39" s="1"/>
  <c r="I950" i="39"/>
  <c r="H950" i="39"/>
  <c r="K949" i="39"/>
  <c r="J949" i="39" a="1"/>
  <c r="J949" i="39" s="1"/>
  <c r="I949" i="39"/>
  <c r="H949" i="39"/>
  <c r="K948" i="39"/>
  <c r="J948" i="39" a="1"/>
  <c r="J948" i="39" s="1"/>
  <c r="I948" i="39"/>
  <c r="H948" i="39"/>
  <c r="K947" i="39"/>
  <c r="J947" i="39" a="1"/>
  <c r="J947" i="39" s="1"/>
  <c r="I947" i="39"/>
  <c r="H947" i="39"/>
  <c r="K946" i="39"/>
  <c r="J946" i="39" a="1"/>
  <c r="J946" i="39" s="1"/>
  <c r="I946" i="39"/>
  <c r="H946" i="39"/>
  <c r="K945" i="39"/>
  <c r="J945" i="39" a="1"/>
  <c r="J945" i="39" s="1"/>
  <c r="I945" i="39"/>
  <c r="H945" i="39"/>
  <c r="K944" i="39"/>
  <c r="J944" i="39" a="1"/>
  <c r="J944" i="39" s="1"/>
  <c r="I944" i="39"/>
  <c r="H944" i="39"/>
  <c r="K943" i="39"/>
  <c r="J943" i="39" a="1"/>
  <c r="J943" i="39" s="1"/>
  <c r="I943" i="39"/>
  <c r="H943" i="39"/>
  <c r="K942" i="39"/>
  <c r="J942" i="39" a="1"/>
  <c r="J942" i="39" s="1"/>
  <c r="I942" i="39"/>
  <c r="H942" i="39"/>
  <c r="K941" i="39"/>
  <c r="J941" i="39" a="1"/>
  <c r="J941" i="39" s="1"/>
  <c r="I941" i="39"/>
  <c r="H941" i="39"/>
  <c r="K940" i="39"/>
  <c r="J940" i="39" a="1"/>
  <c r="J940" i="39" s="1"/>
  <c r="I940" i="39"/>
  <c r="H940" i="39"/>
  <c r="K939" i="39"/>
  <c r="J939" i="39" a="1"/>
  <c r="J939" i="39" s="1"/>
  <c r="I939" i="39"/>
  <c r="H939" i="39"/>
  <c r="K938" i="39"/>
  <c r="J938" i="39" a="1"/>
  <c r="J938" i="39" s="1"/>
  <c r="I938" i="39"/>
  <c r="H938" i="39"/>
  <c r="K937" i="39"/>
  <c r="J937" i="39" a="1"/>
  <c r="J937" i="39" s="1"/>
  <c r="I937" i="39"/>
  <c r="H937" i="39"/>
  <c r="K936" i="39"/>
  <c r="J936" i="39" a="1"/>
  <c r="J936" i="39" s="1"/>
  <c r="I936" i="39"/>
  <c r="H936" i="39"/>
  <c r="K935" i="39"/>
  <c r="J935" i="39" a="1"/>
  <c r="J935" i="39" s="1"/>
  <c r="I935" i="39"/>
  <c r="H935" i="39"/>
  <c r="K934" i="39"/>
  <c r="J934" i="39" a="1"/>
  <c r="J934" i="39" s="1"/>
  <c r="I934" i="39"/>
  <c r="H934" i="39"/>
  <c r="K933" i="39"/>
  <c r="J933" i="39" a="1"/>
  <c r="J933" i="39" s="1"/>
  <c r="I933" i="39"/>
  <c r="H933" i="39"/>
  <c r="K932" i="39"/>
  <c r="J932" i="39" a="1"/>
  <c r="J932" i="39" s="1"/>
  <c r="I932" i="39"/>
  <c r="H932" i="39"/>
  <c r="K931" i="39"/>
  <c r="J931" i="39" a="1"/>
  <c r="J931" i="39" s="1"/>
  <c r="I931" i="39"/>
  <c r="H931" i="39"/>
  <c r="K930" i="39"/>
  <c r="J930" i="39" a="1"/>
  <c r="J930" i="39" s="1"/>
  <c r="I930" i="39"/>
  <c r="H930" i="39"/>
  <c r="K929" i="39"/>
  <c r="J929" i="39" a="1"/>
  <c r="J929" i="39" s="1"/>
  <c r="I929" i="39"/>
  <c r="H929" i="39"/>
  <c r="K928" i="39"/>
  <c r="J928" i="39" a="1"/>
  <c r="J928" i="39" s="1"/>
  <c r="I928" i="39"/>
  <c r="H928" i="39"/>
  <c r="K927" i="39"/>
  <c r="J927" i="39" a="1"/>
  <c r="J927" i="39" s="1"/>
  <c r="I927" i="39"/>
  <c r="H927" i="39"/>
  <c r="K926" i="39"/>
  <c r="J926" i="39" a="1"/>
  <c r="J926" i="39" s="1"/>
  <c r="I926" i="39"/>
  <c r="H926" i="39"/>
  <c r="K925" i="39"/>
  <c r="J925" i="39" a="1"/>
  <c r="J925" i="39" s="1"/>
  <c r="I925" i="39"/>
  <c r="H925" i="39"/>
  <c r="K924" i="39"/>
  <c r="J924" i="39" a="1"/>
  <c r="J924" i="39" s="1"/>
  <c r="I924" i="39"/>
  <c r="H924" i="39"/>
  <c r="K923" i="39"/>
  <c r="J923" i="39" a="1"/>
  <c r="J923" i="39" s="1"/>
  <c r="I923" i="39"/>
  <c r="H923" i="39"/>
  <c r="K922" i="39"/>
  <c r="J922" i="39" a="1"/>
  <c r="J922" i="39" s="1"/>
  <c r="I922" i="39"/>
  <c r="H922" i="39"/>
  <c r="K921" i="39"/>
  <c r="J921" i="39" a="1"/>
  <c r="J921" i="39" s="1"/>
  <c r="I921" i="39"/>
  <c r="H921" i="39"/>
  <c r="K920" i="39"/>
  <c r="J920" i="39" a="1"/>
  <c r="J920" i="39" s="1"/>
  <c r="I920" i="39"/>
  <c r="H920" i="39"/>
  <c r="K919" i="39"/>
  <c r="J919" i="39" a="1"/>
  <c r="J919" i="39" s="1"/>
  <c r="I919" i="39"/>
  <c r="H919" i="39"/>
  <c r="K918" i="39"/>
  <c r="J918" i="39" a="1"/>
  <c r="J918" i="39" s="1"/>
  <c r="I918" i="39"/>
  <c r="H918" i="39"/>
  <c r="K917" i="39"/>
  <c r="J917" i="39" a="1"/>
  <c r="J917" i="39" s="1"/>
  <c r="I917" i="39"/>
  <c r="H917" i="39"/>
  <c r="K916" i="39"/>
  <c r="J916" i="39" a="1"/>
  <c r="J916" i="39" s="1"/>
  <c r="I916" i="39"/>
  <c r="H916" i="39"/>
  <c r="K915" i="39"/>
  <c r="J915" i="39" a="1"/>
  <c r="J915" i="39" s="1"/>
  <c r="I915" i="39"/>
  <c r="H915" i="39"/>
  <c r="K914" i="39"/>
  <c r="J914" i="39" a="1"/>
  <c r="J914" i="39" s="1"/>
  <c r="I914" i="39"/>
  <c r="H914" i="39"/>
  <c r="K913" i="39"/>
  <c r="J913" i="39" a="1"/>
  <c r="J913" i="39" s="1"/>
  <c r="I913" i="39"/>
  <c r="H913" i="39"/>
  <c r="K912" i="39"/>
  <c r="J912" i="39" a="1"/>
  <c r="J912" i="39" s="1"/>
  <c r="I912" i="39"/>
  <c r="H912" i="39"/>
  <c r="K911" i="39"/>
  <c r="J911" i="39" a="1"/>
  <c r="J911" i="39" s="1"/>
  <c r="I911" i="39"/>
  <c r="H911" i="39"/>
  <c r="K910" i="39"/>
  <c r="J910" i="39" a="1"/>
  <c r="J910" i="39" s="1"/>
  <c r="I910" i="39"/>
  <c r="H910" i="39"/>
  <c r="K909" i="39"/>
  <c r="J909" i="39" a="1"/>
  <c r="J909" i="39" s="1"/>
  <c r="I909" i="39"/>
  <c r="H909" i="39"/>
  <c r="K908" i="39"/>
  <c r="J908" i="39" a="1"/>
  <c r="J908" i="39" s="1"/>
  <c r="I908" i="39"/>
  <c r="H908" i="39"/>
  <c r="K907" i="39"/>
  <c r="J907" i="39" a="1"/>
  <c r="J907" i="39" s="1"/>
  <c r="I907" i="39"/>
  <c r="H907" i="39"/>
  <c r="K906" i="39"/>
  <c r="J906" i="39" a="1"/>
  <c r="J906" i="39" s="1"/>
  <c r="I906" i="39"/>
  <c r="H906" i="39"/>
  <c r="K905" i="39"/>
  <c r="J905" i="39" a="1"/>
  <c r="J905" i="39" s="1"/>
  <c r="I905" i="39"/>
  <c r="H905" i="39"/>
  <c r="K904" i="39"/>
  <c r="J904" i="39" a="1"/>
  <c r="J904" i="39" s="1"/>
  <c r="I904" i="39"/>
  <c r="H904" i="39"/>
  <c r="K903" i="39"/>
  <c r="J903" i="39" a="1"/>
  <c r="J903" i="39" s="1"/>
  <c r="I903" i="39"/>
  <c r="H903" i="39"/>
  <c r="K902" i="39"/>
  <c r="J902" i="39" a="1"/>
  <c r="J902" i="39" s="1"/>
  <c r="I902" i="39"/>
  <c r="H902" i="39"/>
  <c r="K901" i="39"/>
  <c r="J901" i="39" a="1"/>
  <c r="J901" i="39" s="1"/>
  <c r="I901" i="39"/>
  <c r="H901" i="39"/>
  <c r="K900" i="39"/>
  <c r="J900" i="39" a="1"/>
  <c r="J900" i="39" s="1"/>
  <c r="I900" i="39"/>
  <c r="H900" i="39"/>
  <c r="K899" i="39"/>
  <c r="J899" i="39" a="1"/>
  <c r="J899" i="39" s="1"/>
  <c r="I899" i="39"/>
  <c r="H899" i="39"/>
  <c r="K898" i="39"/>
  <c r="J898" i="39" a="1"/>
  <c r="J898" i="39" s="1"/>
  <c r="I898" i="39"/>
  <c r="H898" i="39"/>
  <c r="K897" i="39"/>
  <c r="J897" i="39" a="1"/>
  <c r="J897" i="39" s="1"/>
  <c r="I897" i="39"/>
  <c r="H897" i="39"/>
  <c r="K896" i="39"/>
  <c r="J896" i="39" a="1"/>
  <c r="J896" i="39" s="1"/>
  <c r="I896" i="39"/>
  <c r="H896" i="39"/>
  <c r="K895" i="39"/>
  <c r="J895" i="39" a="1"/>
  <c r="J895" i="39" s="1"/>
  <c r="I895" i="39"/>
  <c r="H895" i="39"/>
  <c r="K894" i="39"/>
  <c r="J894" i="39" a="1"/>
  <c r="J894" i="39" s="1"/>
  <c r="I894" i="39"/>
  <c r="H894" i="39"/>
  <c r="K893" i="39"/>
  <c r="J893" i="39" a="1"/>
  <c r="J893" i="39" s="1"/>
  <c r="I893" i="39"/>
  <c r="H893" i="39"/>
  <c r="K892" i="39"/>
  <c r="J892" i="39" a="1"/>
  <c r="J892" i="39" s="1"/>
  <c r="I892" i="39"/>
  <c r="H892" i="39"/>
  <c r="K891" i="39"/>
  <c r="J891" i="39" a="1"/>
  <c r="J891" i="39" s="1"/>
  <c r="I891" i="39"/>
  <c r="H891" i="39"/>
  <c r="K890" i="39"/>
  <c r="J890" i="39" a="1"/>
  <c r="J890" i="39" s="1"/>
  <c r="I890" i="39"/>
  <c r="H890" i="39"/>
  <c r="K889" i="39"/>
  <c r="J889" i="39" a="1"/>
  <c r="J889" i="39" s="1"/>
  <c r="I889" i="39"/>
  <c r="H889" i="39"/>
  <c r="K888" i="39"/>
  <c r="J888" i="39" a="1"/>
  <c r="J888" i="39" s="1"/>
  <c r="I888" i="39"/>
  <c r="H888" i="39"/>
  <c r="K887" i="39"/>
  <c r="J887" i="39" a="1"/>
  <c r="J887" i="39" s="1"/>
  <c r="I887" i="39"/>
  <c r="H887" i="39"/>
  <c r="K886" i="39"/>
  <c r="J886" i="39" a="1"/>
  <c r="J886" i="39" s="1"/>
  <c r="I886" i="39"/>
  <c r="H886" i="39"/>
  <c r="K885" i="39"/>
  <c r="J885" i="39" a="1"/>
  <c r="J885" i="39" s="1"/>
  <c r="I885" i="39"/>
  <c r="H885" i="39"/>
  <c r="K884" i="39"/>
  <c r="J884" i="39" a="1"/>
  <c r="J884" i="39" s="1"/>
  <c r="I884" i="39"/>
  <c r="H884" i="39"/>
  <c r="K883" i="39"/>
  <c r="J883" i="39" a="1"/>
  <c r="J883" i="39" s="1"/>
  <c r="I883" i="39"/>
  <c r="H883" i="39"/>
  <c r="K882" i="39"/>
  <c r="J882" i="39" a="1"/>
  <c r="J882" i="39" s="1"/>
  <c r="I882" i="39"/>
  <c r="H882" i="39"/>
  <c r="K881" i="39"/>
  <c r="J881" i="39" a="1"/>
  <c r="J881" i="39" s="1"/>
  <c r="I881" i="39"/>
  <c r="H881" i="39"/>
  <c r="K880" i="39"/>
  <c r="J880" i="39" a="1"/>
  <c r="J880" i="39" s="1"/>
  <c r="I880" i="39"/>
  <c r="H880" i="39"/>
  <c r="K879" i="39"/>
  <c r="J879" i="39" a="1"/>
  <c r="J879" i="39" s="1"/>
  <c r="I879" i="39"/>
  <c r="H879" i="39"/>
  <c r="K878" i="39"/>
  <c r="J878" i="39" a="1"/>
  <c r="J878" i="39" s="1"/>
  <c r="I878" i="39"/>
  <c r="H878" i="39"/>
  <c r="K877" i="39"/>
  <c r="J877" i="39" a="1"/>
  <c r="J877" i="39" s="1"/>
  <c r="I877" i="39"/>
  <c r="H877" i="39"/>
  <c r="K876" i="39"/>
  <c r="J876" i="39" a="1"/>
  <c r="J876" i="39" s="1"/>
  <c r="I876" i="39"/>
  <c r="H876" i="39"/>
  <c r="K875" i="39"/>
  <c r="J875" i="39" a="1"/>
  <c r="J875" i="39" s="1"/>
  <c r="I875" i="39"/>
  <c r="H875" i="39"/>
  <c r="K874" i="39"/>
  <c r="J874" i="39" a="1"/>
  <c r="J874" i="39" s="1"/>
  <c r="I874" i="39"/>
  <c r="H874" i="39"/>
  <c r="K873" i="39"/>
  <c r="J873" i="39" a="1"/>
  <c r="J873" i="39" s="1"/>
  <c r="I873" i="39"/>
  <c r="H873" i="39"/>
  <c r="K872" i="39"/>
  <c r="J872" i="39" a="1"/>
  <c r="J872" i="39" s="1"/>
  <c r="I872" i="39"/>
  <c r="H872" i="39"/>
  <c r="K871" i="39"/>
  <c r="J871" i="39" a="1"/>
  <c r="J871" i="39" s="1"/>
  <c r="I871" i="39"/>
  <c r="H871" i="39"/>
  <c r="K870" i="39"/>
  <c r="J870" i="39" a="1"/>
  <c r="J870" i="39" s="1"/>
  <c r="I870" i="39"/>
  <c r="H870" i="39"/>
  <c r="K869" i="39"/>
  <c r="J869" i="39" a="1"/>
  <c r="J869" i="39" s="1"/>
  <c r="I869" i="39"/>
  <c r="H869" i="39"/>
  <c r="K868" i="39"/>
  <c r="J868" i="39" a="1"/>
  <c r="J868" i="39" s="1"/>
  <c r="I868" i="39"/>
  <c r="H868" i="39"/>
  <c r="K867" i="39"/>
  <c r="J867" i="39" a="1"/>
  <c r="J867" i="39" s="1"/>
  <c r="I867" i="39"/>
  <c r="H867" i="39"/>
  <c r="K866" i="39"/>
  <c r="J866" i="39" a="1"/>
  <c r="J866" i="39" s="1"/>
  <c r="I866" i="39"/>
  <c r="H866" i="39"/>
  <c r="K865" i="39"/>
  <c r="J865" i="39" a="1"/>
  <c r="J865" i="39" s="1"/>
  <c r="I865" i="39"/>
  <c r="H865" i="39"/>
  <c r="K864" i="39"/>
  <c r="J864" i="39" a="1"/>
  <c r="J864" i="39" s="1"/>
  <c r="I864" i="39"/>
  <c r="H864" i="39"/>
  <c r="K863" i="39"/>
  <c r="J863" i="39" a="1"/>
  <c r="J863" i="39" s="1"/>
  <c r="I863" i="39"/>
  <c r="H863" i="39"/>
  <c r="K862" i="39"/>
  <c r="J862" i="39" a="1"/>
  <c r="J862" i="39" s="1"/>
  <c r="I862" i="39"/>
  <c r="H862" i="39"/>
  <c r="K861" i="39"/>
  <c r="J861" i="39" a="1"/>
  <c r="J861" i="39" s="1"/>
  <c r="I861" i="39"/>
  <c r="H861" i="39"/>
  <c r="K860" i="39"/>
  <c r="J860" i="39" a="1"/>
  <c r="J860" i="39" s="1"/>
  <c r="I860" i="39"/>
  <c r="H860" i="39"/>
  <c r="K859" i="39"/>
  <c r="J859" i="39" a="1"/>
  <c r="J859" i="39" s="1"/>
  <c r="I859" i="39"/>
  <c r="H859" i="39"/>
  <c r="K858" i="39"/>
  <c r="J858" i="39" a="1"/>
  <c r="J858" i="39" s="1"/>
  <c r="I858" i="39"/>
  <c r="H858" i="39"/>
  <c r="K857" i="39"/>
  <c r="J857" i="39" a="1"/>
  <c r="J857" i="39" s="1"/>
  <c r="I857" i="39"/>
  <c r="H857" i="39"/>
  <c r="K856" i="39"/>
  <c r="J856" i="39" a="1"/>
  <c r="J856" i="39" s="1"/>
  <c r="I856" i="39"/>
  <c r="H856" i="39"/>
  <c r="K855" i="39"/>
  <c r="J855" i="39" a="1"/>
  <c r="J855" i="39" s="1"/>
  <c r="I855" i="39"/>
  <c r="H855" i="39"/>
  <c r="K854" i="39"/>
  <c r="J854" i="39" a="1"/>
  <c r="J854" i="39" s="1"/>
  <c r="I854" i="39"/>
  <c r="H854" i="39"/>
  <c r="K853" i="39"/>
  <c r="J853" i="39" a="1"/>
  <c r="J853" i="39" s="1"/>
  <c r="I853" i="39"/>
  <c r="H853" i="39"/>
  <c r="K852" i="39"/>
  <c r="J852" i="39" a="1"/>
  <c r="J852" i="39" s="1"/>
  <c r="I852" i="39"/>
  <c r="H852" i="39"/>
  <c r="K851" i="39"/>
  <c r="J851" i="39" a="1"/>
  <c r="J851" i="39" s="1"/>
  <c r="I851" i="39"/>
  <c r="H851" i="39"/>
  <c r="K850" i="39"/>
  <c r="J850" i="39" a="1"/>
  <c r="J850" i="39" s="1"/>
  <c r="I850" i="39"/>
  <c r="H850" i="39"/>
  <c r="K849" i="39"/>
  <c r="J849" i="39"/>
  <c r="J849" i="39" a="1"/>
  <c r="I849" i="39"/>
  <c r="H849" i="39"/>
  <c r="K848" i="39"/>
  <c r="J848" i="39" a="1"/>
  <c r="J848" i="39" s="1"/>
  <c r="I848" i="39"/>
  <c r="H848" i="39"/>
  <c r="K847" i="39"/>
  <c r="J847" i="39" a="1"/>
  <c r="J847" i="39" s="1"/>
  <c r="I847" i="39"/>
  <c r="H847" i="39"/>
  <c r="K846" i="39"/>
  <c r="J846" i="39" a="1"/>
  <c r="J846" i="39" s="1"/>
  <c r="I846" i="39"/>
  <c r="H846" i="39"/>
  <c r="K845" i="39"/>
  <c r="J845" i="39" a="1"/>
  <c r="J845" i="39" s="1"/>
  <c r="I845" i="39"/>
  <c r="H845" i="39"/>
  <c r="K844" i="39"/>
  <c r="J844" i="39" a="1"/>
  <c r="J844" i="39" s="1"/>
  <c r="I844" i="39"/>
  <c r="H844" i="39"/>
  <c r="K843" i="39"/>
  <c r="J843" i="39" a="1"/>
  <c r="J843" i="39" s="1"/>
  <c r="I843" i="39"/>
  <c r="H843" i="39"/>
  <c r="K842" i="39"/>
  <c r="J842" i="39" a="1"/>
  <c r="J842" i="39" s="1"/>
  <c r="I842" i="39"/>
  <c r="H842" i="39"/>
  <c r="K841" i="39"/>
  <c r="J841" i="39" a="1"/>
  <c r="J841" i="39" s="1"/>
  <c r="I841" i="39"/>
  <c r="H841" i="39"/>
  <c r="K840" i="39"/>
  <c r="J840" i="39" a="1"/>
  <c r="J840" i="39" s="1"/>
  <c r="I840" i="39"/>
  <c r="H840" i="39"/>
  <c r="K839" i="39"/>
  <c r="J839" i="39" a="1"/>
  <c r="J839" i="39" s="1"/>
  <c r="I839" i="39"/>
  <c r="H839" i="39"/>
  <c r="K838" i="39"/>
  <c r="J838" i="39" a="1"/>
  <c r="J838" i="39" s="1"/>
  <c r="I838" i="39"/>
  <c r="H838" i="39"/>
  <c r="K837" i="39"/>
  <c r="J837" i="39" a="1"/>
  <c r="J837" i="39" s="1"/>
  <c r="I837" i="39"/>
  <c r="H837" i="39"/>
  <c r="K836" i="39"/>
  <c r="J836" i="39" a="1"/>
  <c r="J836" i="39" s="1"/>
  <c r="I836" i="39"/>
  <c r="H836" i="39"/>
  <c r="K835" i="39"/>
  <c r="J835" i="39" a="1"/>
  <c r="J835" i="39" s="1"/>
  <c r="I835" i="39"/>
  <c r="H835" i="39"/>
  <c r="K834" i="39"/>
  <c r="J834" i="39" a="1"/>
  <c r="J834" i="39" s="1"/>
  <c r="I834" i="39"/>
  <c r="H834" i="39"/>
  <c r="K833" i="39"/>
  <c r="J833" i="39" a="1"/>
  <c r="J833" i="39" s="1"/>
  <c r="I833" i="39"/>
  <c r="H833" i="39"/>
  <c r="K832" i="39"/>
  <c r="J832" i="39" a="1"/>
  <c r="J832" i="39" s="1"/>
  <c r="I832" i="39"/>
  <c r="H832" i="39"/>
  <c r="K831" i="39"/>
  <c r="J831" i="39" a="1"/>
  <c r="J831" i="39" s="1"/>
  <c r="I831" i="39"/>
  <c r="H831" i="39"/>
  <c r="K830" i="39"/>
  <c r="J830" i="39" a="1"/>
  <c r="J830" i="39" s="1"/>
  <c r="I830" i="39"/>
  <c r="H830" i="39"/>
  <c r="K829" i="39"/>
  <c r="J829" i="39" a="1"/>
  <c r="J829" i="39" s="1"/>
  <c r="I829" i="39"/>
  <c r="H829" i="39"/>
  <c r="K828" i="39"/>
  <c r="J828" i="39" a="1"/>
  <c r="J828" i="39" s="1"/>
  <c r="I828" i="39"/>
  <c r="H828" i="39"/>
  <c r="K827" i="39"/>
  <c r="J827" i="39" a="1"/>
  <c r="J827" i="39" s="1"/>
  <c r="I827" i="39"/>
  <c r="H827" i="39"/>
  <c r="K826" i="39"/>
  <c r="J826" i="39" a="1"/>
  <c r="J826" i="39" s="1"/>
  <c r="I826" i="39"/>
  <c r="H826" i="39"/>
  <c r="K825" i="39"/>
  <c r="J825" i="39" a="1"/>
  <c r="J825" i="39" s="1"/>
  <c r="I825" i="39"/>
  <c r="H825" i="39"/>
  <c r="K824" i="39"/>
  <c r="J824" i="39" a="1"/>
  <c r="J824" i="39" s="1"/>
  <c r="I824" i="39"/>
  <c r="H824" i="39"/>
  <c r="K823" i="39"/>
  <c r="J823" i="39" a="1"/>
  <c r="J823" i="39" s="1"/>
  <c r="I823" i="39"/>
  <c r="H823" i="39"/>
  <c r="K822" i="39"/>
  <c r="J822" i="39" a="1"/>
  <c r="J822" i="39" s="1"/>
  <c r="I822" i="39"/>
  <c r="H822" i="39"/>
  <c r="K821" i="39"/>
  <c r="J821" i="39" a="1"/>
  <c r="J821" i="39" s="1"/>
  <c r="I821" i="39"/>
  <c r="H821" i="39"/>
  <c r="K820" i="39"/>
  <c r="J820" i="39" a="1"/>
  <c r="J820" i="39" s="1"/>
  <c r="I820" i="39"/>
  <c r="H820" i="39"/>
  <c r="K819" i="39"/>
  <c r="J819" i="39" a="1"/>
  <c r="J819" i="39" s="1"/>
  <c r="I819" i="39"/>
  <c r="H819" i="39"/>
  <c r="K818" i="39"/>
  <c r="J818" i="39" a="1"/>
  <c r="J818" i="39" s="1"/>
  <c r="I818" i="39"/>
  <c r="H818" i="39"/>
  <c r="K817" i="39"/>
  <c r="J817" i="39" a="1"/>
  <c r="J817" i="39" s="1"/>
  <c r="I817" i="39"/>
  <c r="H817" i="39"/>
  <c r="K816" i="39"/>
  <c r="J816" i="39" a="1"/>
  <c r="J816" i="39" s="1"/>
  <c r="I816" i="39"/>
  <c r="H816" i="39"/>
  <c r="K815" i="39"/>
  <c r="J815" i="39" a="1"/>
  <c r="J815" i="39" s="1"/>
  <c r="I815" i="39"/>
  <c r="H815" i="39"/>
  <c r="K814" i="39"/>
  <c r="J814" i="39" a="1"/>
  <c r="J814" i="39" s="1"/>
  <c r="I814" i="39"/>
  <c r="H814" i="39"/>
  <c r="K813" i="39"/>
  <c r="J813" i="39" a="1"/>
  <c r="J813" i="39" s="1"/>
  <c r="I813" i="39"/>
  <c r="H813" i="39"/>
  <c r="K812" i="39"/>
  <c r="J812" i="39" a="1"/>
  <c r="J812" i="39" s="1"/>
  <c r="I812" i="39"/>
  <c r="H812" i="39"/>
  <c r="K811" i="39"/>
  <c r="J811" i="39" a="1"/>
  <c r="J811" i="39" s="1"/>
  <c r="I811" i="39"/>
  <c r="H811" i="39"/>
  <c r="K810" i="39"/>
  <c r="J810" i="39" a="1"/>
  <c r="J810" i="39" s="1"/>
  <c r="I810" i="39"/>
  <c r="H810" i="39"/>
  <c r="K809" i="39"/>
  <c r="J809" i="39" a="1"/>
  <c r="J809" i="39" s="1"/>
  <c r="I809" i="39"/>
  <c r="H809" i="39"/>
  <c r="K808" i="39"/>
  <c r="J808" i="39" a="1"/>
  <c r="J808" i="39" s="1"/>
  <c r="I808" i="39"/>
  <c r="H808" i="39"/>
  <c r="K807" i="39"/>
  <c r="J807" i="39" a="1"/>
  <c r="J807" i="39" s="1"/>
  <c r="I807" i="39"/>
  <c r="H807" i="39"/>
  <c r="K806" i="39"/>
  <c r="J806" i="39" a="1"/>
  <c r="J806" i="39" s="1"/>
  <c r="I806" i="39"/>
  <c r="H806" i="39"/>
  <c r="K805" i="39"/>
  <c r="J805" i="39" a="1"/>
  <c r="J805" i="39" s="1"/>
  <c r="I805" i="39"/>
  <c r="H805" i="39"/>
  <c r="K804" i="39"/>
  <c r="J804" i="39" a="1"/>
  <c r="J804" i="39" s="1"/>
  <c r="I804" i="39"/>
  <c r="H804" i="39"/>
  <c r="K803" i="39"/>
  <c r="J803" i="39" a="1"/>
  <c r="J803" i="39" s="1"/>
  <c r="I803" i="39"/>
  <c r="H803" i="39"/>
  <c r="K802" i="39"/>
  <c r="J802" i="39" a="1"/>
  <c r="J802" i="39" s="1"/>
  <c r="I802" i="39"/>
  <c r="H802" i="39"/>
  <c r="K801" i="39"/>
  <c r="J801" i="39" a="1"/>
  <c r="J801" i="39" s="1"/>
  <c r="I801" i="39"/>
  <c r="H801" i="39"/>
  <c r="K800" i="39"/>
  <c r="J800" i="39" a="1"/>
  <c r="J800" i="39" s="1"/>
  <c r="I800" i="39"/>
  <c r="H800" i="39"/>
  <c r="K799" i="39"/>
  <c r="J799" i="39" a="1"/>
  <c r="J799" i="39" s="1"/>
  <c r="I799" i="39"/>
  <c r="H799" i="39"/>
  <c r="K798" i="39"/>
  <c r="J798" i="39" a="1"/>
  <c r="J798" i="39" s="1"/>
  <c r="I798" i="39"/>
  <c r="H798" i="39"/>
  <c r="K797" i="39"/>
  <c r="J797" i="39" a="1"/>
  <c r="J797" i="39" s="1"/>
  <c r="I797" i="39"/>
  <c r="H797" i="39"/>
  <c r="K796" i="39"/>
  <c r="J796" i="39" a="1"/>
  <c r="J796" i="39" s="1"/>
  <c r="I796" i="39"/>
  <c r="H796" i="39"/>
  <c r="K795" i="39"/>
  <c r="J795" i="39" a="1"/>
  <c r="J795" i="39" s="1"/>
  <c r="I795" i="39"/>
  <c r="H795" i="39"/>
  <c r="K794" i="39"/>
  <c r="J794" i="39" a="1"/>
  <c r="J794" i="39" s="1"/>
  <c r="I794" i="39"/>
  <c r="H794" i="39"/>
  <c r="K793" i="39"/>
  <c r="J793" i="39"/>
  <c r="J793" i="39" a="1"/>
  <c r="I793" i="39"/>
  <c r="H793" i="39"/>
  <c r="K792" i="39"/>
  <c r="J792" i="39" a="1"/>
  <c r="J792" i="39" s="1"/>
  <c r="I792" i="39"/>
  <c r="H792" i="39"/>
  <c r="K791" i="39"/>
  <c r="J791" i="39" a="1"/>
  <c r="J791" i="39" s="1"/>
  <c r="I791" i="39"/>
  <c r="H791" i="39"/>
  <c r="K790" i="39"/>
  <c r="J790" i="39" a="1"/>
  <c r="J790" i="39" s="1"/>
  <c r="I790" i="39"/>
  <c r="H790" i="39"/>
  <c r="K789" i="39"/>
  <c r="J789" i="39" a="1"/>
  <c r="J789" i="39" s="1"/>
  <c r="I789" i="39"/>
  <c r="H789" i="39"/>
  <c r="K788" i="39"/>
  <c r="J788" i="39" a="1"/>
  <c r="J788" i="39" s="1"/>
  <c r="I788" i="39"/>
  <c r="H788" i="39"/>
  <c r="K787" i="39"/>
  <c r="J787" i="39" a="1"/>
  <c r="J787" i="39" s="1"/>
  <c r="I787" i="39"/>
  <c r="H787" i="39"/>
  <c r="K786" i="39"/>
  <c r="J786" i="39" a="1"/>
  <c r="J786" i="39" s="1"/>
  <c r="I786" i="39"/>
  <c r="H786" i="39"/>
  <c r="K785" i="39"/>
  <c r="J785" i="39" a="1"/>
  <c r="J785" i="39" s="1"/>
  <c r="I785" i="39"/>
  <c r="H785" i="39"/>
  <c r="K784" i="39"/>
  <c r="J784" i="39" a="1"/>
  <c r="J784" i="39" s="1"/>
  <c r="I784" i="39"/>
  <c r="H784" i="39"/>
  <c r="K783" i="39"/>
  <c r="J783" i="39" a="1"/>
  <c r="J783" i="39" s="1"/>
  <c r="I783" i="39"/>
  <c r="H783" i="39"/>
  <c r="K782" i="39"/>
  <c r="J782" i="39" a="1"/>
  <c r="J782" i="39" s="1"/>
  <c r="I782" i="39"/>
  <c r="H782" i="39"/>
  <c r="K781" i="39"/>
  <c r="J781" i="39" a="1"/>
  <c r="J781" i="39" s="1"/>
  <c r="I781" i="39"/>
  <c r="H781" i="39"/>
  <c r="K780" i="39"/>
  <c r="J780" i="39" a="1"/>
  <c r="J780" i="39" s="1"/>
  <c r="I780" i="39"/>
  <c r="H780" i="39"/>
  <c r="K779" i="39"/>
  <c r="J779" i="39" a="1"/>
  <c r="J779" i="39" s="1"/>
  <c r="I779" i="39"/>
  <c r="H779" i="39"/>
  <c r="K778" i="39"/>
  <c r="J778" i="39" a="1"/>
  <c r="J778" i="39" s="1"/>
  <c r="I778" i="39"/>
  <c r="H778" i="39"/>
  <c r="K777" i="39"/>
  <c r="J777" i="39" a="1"/>
  <c r="J777" i="39" s="1"/>
  <c r="I777" i="39"/>
  <c r="H777" i="39"/>
  <c r="K776" i="39"/>
  <c r="J776" i="39" a="1"/>
  <c r="J776" i="39" s="1"/>
  <c r="I776" i="39"/>
  <c r="H776" i="39"/>
  <c r="K775" i="39"/>
  <c r="J775" i="39" a="1"/>
  <c r="J775" i="39" s="1"/>
  <c r="I775" i="39"/>
  <c r="H775" i="39"/>
  <c r="K774" i="39"/>
  <c r="J774" i="39" a="1"/>
  <c r="J774" i="39" s="1"/>
  <c r="I774" i="39"/>
  <c r="H774" i="39"/>
  <c r="K773" i="39"/>
  <c r="J773" i="39" a="1"/>
  <c r="J773" i="39" s="1"/>
  <c r="I773" i="39"/>
  <c r="H773" i="39"/>
  <c r="K772" i="39"/>
  <c r="J772" i="39" a="1"/>
  <c r="J772" i="39" s="1"/>
  <c r="I772" i="39"/>
  <c r="H772" i="39"/>
  <c r="K771" i="39"/>
  <c r="J771" i="39" a="1"/>
  <c r="J771" i="39" s="1"/>
  <c r="I771" i="39"/>
  <c r="H771" i="39"/>
  <c r="K770" i="39"/>
  <c r="J770" i="39" a="1"/>
  <c r="J770" i="39" s="1"/>
  <c r="I770" i="39"/>
  <c r="H770" i="39"/>
  <c r="K769" i="39"/>
  <c r="J769" i="39" a="1"/>
  <c r="J769" i="39" s="1"/>
  <c r="I769" i="39"/>
  <c r="H769" i="39"/>
  <c r="K768" i="39"/>
  <c r="J768" i="39" a="1"/>
  <c r="J768" i="39" s="1"/>
  <c r="I768" i="39"/>
  <c r="H768" i="39"/>
  <c r="K767" i="39"/>
  <c r="J767" i="39" a="1"/>
  <c r="J767" i="39" s="1"/>
  <c r="I767" i="39"/>
  <c r="H767" i="39"/>
  <c r="K766" i="39"/>
  <c r="J766" i="39" a="1"/>
  <c r="J766" i="39" s="1"/>
  <c r="I766" i="39"/>
  <c r="H766" i="39"/>
  <c r="K765" i="39"/>
  <c r="J765" i="39" a="1"/>
  <c r="J765" i="39" s="1"/>
  <c r="I765" i="39"/>
  <c r="H765" i="39"/>
  <c r="K764" i="39"/>
  <c r="J764" i="39" a="1"/>
  <c r="J764" i="39" s="1"/>
  <c r="I764" i="39"/>
  <c r="H764" i="39"/>
  <c r="K763" i="39"/>
  <c r="J763" i="39" a="1"/>
  <c r="J763" i="39" s="1"/>
  <c r="I763" i="39"/>
  <c r="H763" i="39"/>
  <c r="K762" i="39"/>
  <c r="J762" i="39" a="1"/>
  <c r="J762" i="39" s="1"/>
  <c r="I762" i="39"/>
  <c r="H762" i="39"/>
  <c r="K761" i="39"/>
  <c r="J761" i="39" a="1"/>
  <c r="J761" i="39" s="1"/>
  <c r="I761" i="39"/>
  <c r="H761" i="39"/>
  <c r="K760" i="39"/>
  <c r="J760" i="39" a="1"/>
  <c r="J760" i="39" s="1"/>
  <c r="I760" i="39"/>
  <c r="H760" i="39"/>
  <c r="K759" i="39"/>
  <c r="J759" i="39" a="1"/>
  <c r="J759" i="39" s="1"/>
  <c r="I759" i="39"/>
  <c r="H759" i="39"/>
  <c r="K758" i="39"/>
  <c r="J758" i="39" a="1"/>
  <c r="J758" i="39" s="1"/>
  <c r="I758" i="39"/>
  <c r="H758" i="39"/>
  <c r="K757" i="39"/>
  <c r="J757" i="39" a="1"/>
  <c r="J757" i="39" s="1"/>
  <c r="I757" i="39"/>
  <c r="H757" i="39"/>
  <c r="K756" i="39"/>
  <c r="J756" i="39" a="1"/>
  <c r="J756" i="39" s="1"/>
  <c r="I756" i="39"/>
  <c r="H756" i="39"/>
  <c r="K755" i="39"/>
  <c r="J755" i="39" a="1"/>
  <c r="J755" i="39" s="1"/>
  <c r="I755" i="39"/>
  <c r="H755" i="39"/>
  <c r="K754" i="39"/>
  <c r="J754" i="39" a="1"/>
  <c r="J754" i="39" s="1"/>
  <c r="I754" i="39"/>
  <c r="H754" i="39"/>
  <c r="K753" i="39"/>
  <c r="J753" i="39" a="1"/>
  <c r="J753" i="39" s="1"/>
  <c r="I753" i="39"/>
  <c r="H753" i="39"/>
  <c r="K752" i="39"/>
  <c r="J752" i="39" a="1"/>
  <c r="J752" i="39" s="1"/>
  <c r="I752" i="39"/>
  <c r="H752" i="39"/>
  <c r="K751" i="39"/>
  <c r="J751" i="39" a="1"/>
  <c r="J751" i="39" s="1"/>
  <c r="I751" i="39"/>
  <c r="H751" i="39"/>
  <c r="K750" i="39"/>
  <c r="J750" i="39" a="1"/>
  <c r="J750" i="39" s="1"/>
  <c r="I750" i="39"/>
  <c r="H750" i="39"/>
  <c r="K749" i="39"/>
  <c r="J749" i="39" a="1"/>
  <c r="J749" i="39" s="1"/>
  <c r="I749" i="39"/>
  <c r="H749" i="39"/>
  <c r="K748" i="39"/>
  <c r="J748" i="39" a="1"/>
  <c r="J748" i="39" s="1"/>
  <c r="I748" i="39"/>
  <c r="H748" i="39"/>
  <c r="K747" i="39"/>
  <c r="J747" i="39" a="1"/>
  <c r="J747" i="39" s="1"/>
  <c r="I747" i="39"/>
  <c r="H747" i="39"/>
  <c r="K746" i="39"/>
  <c r="J746" i="39" a="1"/>
  <c r="J746" i="39" s="1"/>
  <c r="I746" i="39"/>
  <c r="H746" i="39"/>
  <c r="K745" i="39"/>
  <c r="J745" i="39" a="1"/>
  <c r="J745" i="39" s="1"/>
  <c r="I745" i="39"/>
  <c r="H745" i="39"/>
  <c r="K744" i="39"/>
  <c r="J744" i="39" a="1"/>
  <c r="J744" i="39" s="1"/>
  <c r="I744" i="39"/>
  <c r="H744" i="39"/>
  <c r="K743" i="39"/>
  <c r="J743" i="39" a="1"/>
  <c r="J743" i="39" s="1"/>
  <c r="I743" i="39"/>
  <c r="H743" i="39"/>
  <c r="K742" i="39"/>
  <c r="J742" i="39" a="1"/>
  <c r="J742" i="39" s="1"/>
  <c r="I742" i="39"/>
  <c r="H742" i="39"/>
  <c r="K741" i="39"/>
  <c r="J741" i="39" a="1"/>
  <c r="J741" i="39" s="1"/>
  <c r="I741" i="39"/>
  <c r="H741" i="39"/>
  <c r="K740" i="39"/>
  <c r="J740" i="39" a="1"/>
  <c r="J740" i="39" s="1"/>
  <c r="I740" i="39"/>
  <c r="H740" i="39"/>
  <c r="K739" i="39"/>
  <c r="J739" i="39" a="1"/>
  <c r="J739" i="39" s="1"/>
  <c r="I739" i="39"/>
  <c r="H739" i="39"/>
  <c r="K738" i="39"/>
  <c r="J738" i="39" a="1"/>
  <c r="J738" i="39" s="1"/>
  <c r="I738" i="39"/>
  <c r="H738" i="39"/>
  <c r="K737" i="39"/>
  <c r="J737" i="39" a="1"/>
  <c r="J737" i="39" s="1"/>
  <c r="I737" i="39"/>
  <c r="H737" i="39"/>
  <c r="K736" i="39"/>
  <c r="J736" i="39" a="1"/>
  <c r="J736" i="39" s="1"/>
  <c r="I736" i="39"/>
  <c r="H736" i="39"/>
  <c r="K735" i="39"/>
  <c r="J735" i="39" a="1"/>
  <c r="J735" i="39" s="1"/>
  <c r="I735" i="39"/>
  <c r="H735" i="39"/>
  <c r="K734" i="39"/>
  <c r="J734" i="39" a="1"/>
  <c r="J734" i="39" s="1"/>
  <c r="I734" i="39"/>
  <c r="H734" i="39"/>
  <c r="K733" i="39"/>
  <c r="J733" i="39" a="1"/>
  <c r="J733" i="39" s="1"/>
  <c r="I733" i="39"/>
  <c r="H733" i="39"/>
  <c r="K732" i="39"/>
  <c r="J732" i="39" a="1"/>
  <c r="J732" i="39" s="1"/>
  <c r="I732" i="39"/>
  <c r="H732" i="39"/>
  <c r="K731" i="39"/>
  <c r="J731" i="39" a="1"/>
  <c r="J731" i="39" s="1"/>
  <c r="I731" i="39"/>
  <c r="H731" i="39"/>
  <c r="K730" i="39"/>
  <c r="J730" i="39" a="1"/>
  <c r="J730" i="39" s="1"/>
  <c r="I730" i="39"/>
  <c r="H730" i="39"/>
  <c r="K729" i="39"/>
  <c r="J729" i="39"/>
  <c r="J729" i="39" a="1"/>
  <c r="I729" i="39"/>
  <c r="H729" i="39"/>
  <c r="K728" i="39"/>
  <c r="J728" i="39" a="1"/>
  <c r="J728" i="39" s="1"/>
  <c r="I728" i="39"/>
  <c r="H728" i="39"/>
  <c r="K727" i="39"/>
  <c r="J727" i="39" a="1"/>
  <c r="J727" i="39" s="1"/>
  <c r="I727" i="39"/>
  <c r="H727" i="39"/>
  <c r="K726" i="39"/>
  <c r="J726" i="39" a="1"/>
  <c r="J726" i="39" s="1"/>
  <c r="I726" i="39"/>
  <c r="H726" i="39"/>
  <c r="K725" i="39"/>
  <c r="J725" i="39" a="1"/>
  <c r="J725" i="39" s="1"/>
  <c r="I725" i="39"/>
  <c r="H725" i="39"/>
  <c r="K724" i="39"/>
  <c r="J724" i="39" a="1"/>
  <c r="J724" i="39" s="1"/>
  <c r="I724" i="39"/>
  <c r="H724" i="39"/>
  <c r="K723" i="39"/>
  <c r="J723" i="39" a="1"/>
  <c r="J723" i="39" s="1"/>
  <c r="I723" i="39"/>
  <c r="H723" i="39"/>
  <c r="K722" i="39"/>
  <c r="J722" i="39" a="1"/>
  <c r="J722" i="39" s="1"/>
  <c r="I722" i="39"/>
  <c r="H722" i="39"/>
  <c r="K721" i="39"/>
  <c r="J721" i="39" a="1"/>
  <c r="J721" i="39" s="1"/>
  <c r="I721" i="39"/>
  <c r="H721" i="39"/>
  <c r="K720" i="39"/>
  <c r="J720" i="39" a="1"/>
  <c r="J720" i="39" s="1"/>
  <c r="I720" i="39"/>
  <c r="H720" i="39"/>
  <c r="K719" i="39"/>
  <c r="J719" i="39" a="1"/>
  <c r="J719" i="39" s="1"/>
  <c r="I719" i="39"/>
  <c r="H719" i="39"/>
  <c r="K718" i="39"/>
  <c r="J718" i="39" a="1"/>
  <c r="J718" i="39" s="1"/>
  <c r="I718" i="39"/>
  <c r="H718" i="39"/>
  <c r="K717" i="39"/>
  <c r="J717" i="39" a="1"/>
  <c r="J717" i="39" s="1"/>
  <c r="I717" i="39"/>
  <c r="H717" i="39"/>
  <c r="K716" i="39"/>
  <c r="J716" i="39" a="1"/>
  <c r="J716" i="39" s="1"/>
  <c r="I716" i="39"/>
  <c r="H716" i="39"/>
  <c r="K715" i="39"/>
  <c r="J715" i="39" a="1"/>
  <c r="J715" i="39" s="1"/>
  <c r="I715" i="39"/>
  <c r="H715" i="39"/>
  <c r="K714" i="39"/>
  <c r="J714" i="39" a="1"/>
  <c r="J714" i="39" s="1"/>
  <c r="I714" i="39"/>
  <c r="H714" i="39"/>
  <c r="K713" i="39"/>
  <c r="J713" i="39" a="1"/>
  <c r="J713" i="39" s="1"/>
  <c r="I713" i="39"/>
  <c r="H713" i="39"/>
  <c r="K712" i="39"/>
  <c r="J712" i="39" a="1"/>
  <c r="J712" i="39" s="1"/>
  <c r="I712" i="39"/>
  <c r="H712" i="39"/>
  <c r="K711" i="39"/>
  <c r="J711" i="39" a="1"/>
  <c r="J711" i="39" s="1"/>
  <c r="I711" i="39"/>
  <c r="H711" i="39"/>
  <c r="K710" i="39"/>
  <c r="J710" i="39" a="1"/>
  <c r="J710" i="39" s="1"/>
  <c r="I710" i="39"/>
  <c r="H710" i="39"/>
  <c r="K709" i="39"/>
  <c r="J709" i="39" a="1"/>
  <c r="J709" i="39" s="1"/>
  <c r="I709" i="39"/>
  <c r="H709" i="39"/>
  <c r="K708" i="39"/>
  <c r="J708" i="39" a="1"/>
  <c r="J708" i="39" s="1"/>
  <c r="I708" i="39"/>
  <c r="H708" i="39"/>
  <c r="K707" i="39"/>
  <c r="J707" i="39" a="1"/>
  <c r="J707" i="39" s="1"/>
  <c r="I707" i="39"/>
  <c r="H707" i="39"/>
  <c r="K706" i="39"/>
  <c r="J706" i="39" a="1"/>
  <c r="J706" i="39" s="1"/>
  <c r="I706" i="39"/>
  <c r="H706" i="39"/>
  <c r="K705" i="39"/>
  <c r="J705" i="39" a="1"/>
  <c r="J705" i="39" s="1"/>
  <c r="I705" i="39"/>
  <c r="H705" i="39"/>
  <c r="K704" i="39"/>
  <c r="J704" i="39" a="1"/>
  <c r="J704" i="39" s="1"/>
  <c r="I704" i="39"/>
  <c r="H704" i="39"/>
  <c r="K703" i="39"/>
  <c r="J703" i="39" a="1"/>
  <c r="J703" i="39" s="1"/>
  <c r="I703" i="39"/>
  <c r="H703" i="39"/>
  <c r="K702" i="39"/>
  <c r="J702" i="39" a="1"/>
  <c r="J702" i="39" s="1"/>
  <c r="I702" i="39"/>
  <c r="H702" i="39"/>
  <c r="K701" i="39"/>
  <c r="J701" i="39" a="1"/>
  <c r="J701" i="39" s="1"/>
  <c r="I701" i="39"/>
  <c r="H701" i="39"/>
  <c r="K700" i="39"/>
  <c r="J700" i="39" a="1"/>
  <c r="J700" i="39" s="1"/>
  <c r="I700" i="39"/>
  <c r="H700" i="39"/>
  <c r="K699" i="39"/>
  <c r="J699" i="39" a="1"/>
  <c r="J699" i="39" s="1"/>
  <c r="I699" i="39"/>
  <c r="H699" i="39"/>
  <c r="K698" i="39"/>
  <c r="J698" i="39" a="1"/>
  <c r="J698" i="39" s="1"/>
  <c r="I698" i="39"/>
  <c r="H698" i="39"/>
  <c r="K697" i="39"/>
  <c r="J697" i="39" a="1"/>
  <c r="J697" i="39" s="1"/>
  <c r="I697" i="39"/>
  <c r="H697" i="39"/>
  <c r="K696" i="39"/>
  <c r="J696" i="39" a="1"/>
  <c r="J696" i="39" s="1"/>
  <c r="I696" i="39"/>
  <c r="H696" i="39"/>
  <c r="K695" i="39"/>
  <c r="J695" i="39" a="1"/>
  <c r="J695" i="39" s="1"/>
  <c r="I695" i="39"/>
  <c r="H695" i="39"/>
  <c r="K694" i="39"/>
  <c r="J694" i="39" a="1"/>
  <c r="J694" i="39" s="1"/>
  <c r="I694" i="39"/>
  <c r="H694" i="39"/>
  <c r="K693" i="39"/>
  <c r="J693" i="39" a="1"/>
  <c r="J693" i="39" s="1"/>
  <c r="I693" i="39"/>
  <c r="H693" i="39"/>
  <c r="K692" i="39"/>
  <c r="J692" i="39" a="1"/>
  <c r="J692" i="39" s="1"/>
  <c r="I692" i="39"/>
  <c r="H692" i="39"/>
  <c r="K691" i="39"/>
  <c r="J691" i="39" a="1"/>
  <c r="J691" i="39" s="1"/>
  <c r="I691" i="39"/>
  <c r="H691" i="39"/>
  <c r="K690" i="39"/>
  <c r="J690" i="39" a="1"/>
  <c r="J690" i="39" s="1"/>
  <c r="I690" i="39"/>
  <c r="H690" i="39"/>
  <c r="K689" i="39"/>
  <c r="J689" i="39" a="1"/>
  <c r="J689" i="39" s="1"/>
  <c r="I689" i="39"/>
  <c r="H689" i="39"/>
  <c r="K688" i="39"/>
  <c r="J688" i="39" a="1"/>
  <c r="J688" i="39" s="1"/>
  <c r="I688" i="39"/>
  <c r="H688" i="39"/>
  <c r="K687" i="39"/>
  <c r="J687" i="39" a="1"/>
  <c r="J687" i="39" s="1"/>
  <c r="I687" i="39"/>
  <c r="H687" i="39"/>
  <c r="K686" i="39"/>
  <c r="J686" i="39" a="1"/>
  <c r="J686" i="39" s="1"/>
  <c r="I686" i="39"/>
  <c r="H686" i="39"/>
  <c r="K685" i="39"/>
  <c r="J685" i="39" a="1"/>
  <c r="J685" i="39" s="1"/>
  <c r="I685" i="39"/>
  <c r="H685" i="39"/>
  <c r="K684" i="39"/>
  <c r="J684" i="39" a="1"/>
  <c r="J684" i="39" s="1"/>
  <c r="I684" i="39"/>
  <c r="H684" i="39"/>
  <c r="K683" i="39"/>
  <c r="J683" i="39" a="1"/>
  <c r="J683" i="39" s="1"/>
  <c r="I683" i="39"/>
  <c r="H683" i="39"/>
  <c r="K682" i="39"/>
  <c r="J682" i="39" a="1"/>
  <c r="J682" i="39" s="1"/>
  <c r="I682" i="39"/>
  <c r="H682" i="39"/>
  <c r="K681" i="39"/>
  <c r="J681" i="39" a="1"/>
  <c r="J681" i="39" s="1"/>
  <c r="I681" i="39"/>
  <c r="H681" i="39"/>
  <c r="K680" i="39"/>
  <c r="J680" i="39" a="1"/>
  <c r="J680" i="39" s="1"/>
  <c r="I680" i="39"/>
  <c r="H680" i="39"/>
  <c r="K679" i="39"/>
  <c r="J679" i="39" a="1"/>
  <c r="J679" i="39" s="1"/>
  <c r="I679" i="39"/>
  <c r="H679" i="39"/>
  <c r="K678" i="39"/>
  <c r="J678" i="39" a="1"/>
  <c r="J678" i="39" s="1"/>
  <c r="I678" i="39"/>
  <c r="H678" i="39"/>
  <c r="K677" i="39"/>
  <c r="J677" i="39" a="1"/>
  <c r="J677" i="39" s="1"/>
  <c r="I677" i="39"/>
  <c r="H677" i="39"/>
  <c r="K676" i="39"/>
  <c r="J676" i="39" a="1"/>
  <c r="J676" i="39" s="1"/>
  <c r="I676" i="39"/>
  <c r="H676" i="39"/>
  <c r="K675" i="39"/>
  <c r="J675" i="39" a="1"/>
  <c r="J675" i="39" s="1"/>
  <c r="I675" i="39"/>
  <c r="H675" i="39"/>
  <c r="K674" i="39"/>
  <c r="J674" i="39" a="1"/>
  <c r="J674" i="39" s="1"/>
  <c r="I674" i="39"/>
  <c r="H674" i="39"/>
  <c r="K673" i="39"/>
  <c r="J673" i="39" a="1"/>
  <c r="J673" i="39" s="1"/>
  <c r="I673" i="39"/>
  <c r="H673" i="39"/>
  <c r="K672" i="39"/>
  <c r="J672" i="39" a="1"/>
  <c r="J672" i="39" s="1"/>
  <c r="I672" i="39"/>
  <c r="H672" i="39"/>
  <c r="K671" i="39"/>
  <c r="J671" i="39" a="1"/>
  <c r="J671" i="39" s="1"/>
  <c r="I671" i="39"/>
  <c r="H671" i="39"/>
  <c r="K670" i="39"/>
  <c r="J670" i="39" a="1"/>
  <c r="J670" i="39" s="1"/>
  <c r="I670" i="39"/>
  <c r="H670" i="39"/>
  <c r="K669" i="39"/>
  <c r="J669" i="39" a="1"/>
  <c r="J669" i="39" s="1"/>
  <c r="I669" i="39"/>
  <c r="H669" i="39"/>
  <c r="K668" i="39"/>
  <c r="J668" i="39" a="1"/>
  <c r="J668" i="39" s="1"/>
  <c r="I668" i="39"/>
  <c r="H668" i="39"/>
  <c r="K667" i="39"/>
  <c r="J667" i="39" a="1"/>
  <c r="J667" i="39" s="1"/>
  <c r="I667" i="39"/>
  <c r="H667" i="39"/>
  <c r="K666" i="39"/>
  <c r="J666" i="39" a="1"/>
  <c r="J666" i="39" s="1"/>
  <c r="I666" i="39"/>
  <c r="H666" i="39"/>
  <c r="K665" i="39"/>
  <c r="J665" i="39" a="1"/>
  <c r="J665" i="39" s="1"/>
  <c r="I665" i="39"/>
  <c r="H665" i="39"/>
  <c r="K664" i="39"/>
  <c r="J664" i="39" a="1"/>
  <c r="J664" i="39" s="1"/>
  <c r="I664" i="39"/>
  <c r="H664" i="39"/>
  <c r="K663" i="39"/>
  <c r="J663" i="39" a="1"/>
  <c r="J663" i="39" s="1"/>
  <c r="I663" i="39"/>
  <c r="H663" i="39"/>
  <c r="K662" i="39"/>
  <c r="J662" i="39" a="1"/>
  <c r="J662" i="39" s="1"/>
  <c r="I662" i="39"/>
  <c r="H662" i="39"/>
  <c r="K661" i="39"/>
  <c r="J661" i="39" a="1"/>
  <c r="J661" i="39" s="1"/>
  <c r="I661" i="39"/>
  <c r="H661" i="39"/>
  <c r="K660" i="39"/>
  <c r="J660" i="39" a="1"/>
  <c r="J660" i="39" s="1"/>
  <c r="I660" i="39"/>
  <c r="H660" i="39"/>
  <c r="K659" i="39"/>
  <c r="J659" i="39" a="1"/>
  <c r="J659" i="39" s="1"/>
  <c r="I659" i="39"/>
  <c r="H659" i="39"/>
  <c r="K658" i="39"/>
  <c r="J658" i="39" a="1"/>
  <c r="J658" i="39" s="1"/>
  <c r="I658" i="39"/>
  <c r="H658" i="39"/>
  <c r="K657" i="39"/>
  <c r="J657" i="39" a="1"/>
  <c r="J657" i="39" s="1"/>
  <c r="I657" i="39"/>
  <c r="H657" i="39"/>
  <c r="K656" i="39"/>
  <c r="J656" i="39" a="1"/>
  <c r="J656" i="39" s="1"/>
  <c r="I656" i="39"/>
  <c r="H656" i="39"/>
  <c r="K655" i="39"/>
  <c r="J655" i="39" a="1"/>
  <c r="J655" i="39" s="1"/>
  <c r="I655" i="39"/>
  <c r="H655" i="39"/>
  <c r="K654" i="39"/>
  <c r="J654" i="39" a="1"/>
  <c r="J654" i="39" s="1"/>
  <c r="I654" i="39"/>
  <c r="H654" i="39"/>
  <c r="K653" i="39"/>
  <c r="J653" i="39" a="1"/>
  <c r="J653" i="39" s="1"/>
  <c r="I653" i="39"/>
  <c r="H653" i="39"/>
  <c r="K652" i="39"/>
  <c r="J652" i="39" a="1"/>
  <c r="J652" i="39" s="1"/>
  <c r="I652" i="39"/>
  <c r="H652" i="39"/>
  <c r="K651" i="39"/>
  <c r="J651" i="39" a="1"/>
  <c r="J651" i="39" s="1"/>
  <c r="I651" i="39"/>
  <c r="H651" i="39"/>
  <c r="K650" i="39"/>
  <c r="J650" i="39" a="1"/>
  <c r="J650" i="39" s="1"/>
  <c r="I650" i="39"/>
  <c r="H650" i="39"/>
  <c r="K649" i="39"/>
  <c r="J649" i="39" a="1"/>
  <c r="J649" i="39" s="1"/>
  <c r="I649" i="39"/>
  <c r="H649" i="39"/>
  <c r="K648" i="39"/>
  <c r="J648" i="39" a="1"/>
  <c r="J648" i="39" s="1"/>
  <c r="I648" i="39"/>
  <c r="H648" i="39"/>
  <c r="K647" i="39"/>
  <c r="J647" i="39" a="1"/>
  <c r="J647" i="39" s="1"/>
  <c r="I647" i="39"/>
  <c r="H647" i="39"/>
  <c r="K646" i="39"/>
  <c r="J646" i="39" a="1"/>
  <c r="J646" i="39" s="1"/>
  <c r="I646" i="39"/>
  <c r="H646" i="39"/>
  <c r="K645" i="39"/>
  <c r="J645" i="39" a="1"/>
  <c r="J645" i="39" s="1"/>
  <c r="I645" i="39"/>
  <c r="H645" i="39"/>
  <c r="K644" i="39"/>
  <c r="J644" i="39" a="1"/>
  <c r="J644" i="39" s="1"/>
  <c r="I644" i="39"/>
  <c r="H644" i="39"/>
  <c r="K643" i="39"/>
  <c r="J643" i="39" a="1"/>
  <c r="J643" i="39" s="1"/>
  <c r="I643" i="39"/>
  <c r="H643" i="39"/>
  <c r="K642" i="39"/>
  <c r="J642" i="39" a="1"/>
  <c r="J642" i="39" s="1"/>
  <c r="I642" i="39"/>
  <c r="H642" i="39"/>
  <c r="K641" i="39"/>
  <c r="J641" i="39" a="1"/>
  <c r="J641" i="39" s="1"/>
  <c r="I641" i="39"/>
  <c r="H641" i="39"/>
  <c r="K640" i="39"/>
  <c r="J640" i="39" a="1"/>
  <c r="J640" i="39" s="1"/>
  <c r="I640" i="39"/>
  <c r="H640" i="39"/>
  <c r="K639" i="39"/>
  <c r="J639" i="39" a="1"/>
  <c r="J639" i="39" s="1"/>
  <c r="I639" i="39"/>
  <c r="H639" i="39"/>
  <c r="K638" i="39"/>
  <c r="J638" i="39" a="1"/>
  <c r="J638" i="39" s="1"/>
  <c r="I638" i="39"/>
  <c r="H638" i="39"/>
  <c r="K637" i="39"/>
  <c r="J637" i="39" a="1"/>
  <c r="J637" i="39" s="1"/>
  <c r="I637" i="39"/>
  <c r="H637" i="39"/>
  <c r="K636" i="39"/>
  <c r="J636" i="39" a="1"/>
  <c r="J636" i="39" s="1"/>
  <c r="I636" i="39"/>
  <c r="H636" i="39"/>
  <c r="K635" i="39"/>
  <c r="J635" i="39" a="1"/>
  <c r="J635" i="39" s="1"/>
  <c r="I635" i="39"/>
  <c r="H635" i="39"/>
  <c r="K634" i="39"/>
  <c r="J634" i="39" a="1"/>
  <c r="J634" i="39" s="1"/>
  <c r="I634" i="39"/>
  <c r="H634" i="39"/>
  <c r="K633" i="39"/>
  <c r="J633" i="39" a="1"/>
  <c r="J633" i="39" s="1"/>
  <c r="I633" i="39"/>
  <c r="H633" i="39"/>
  <c r="K632" i="39"/>
  <c r="J632" i="39" a="1"/>
  <c r="J632" i="39" s="1"/>
  <c r="I632" i="39"/>
  <c r="H632" i="39"/>
  <c r="K631" i="39"/>
  <c r="J631" i="39" a="1"/>
  <c r="J631" i="39" s="1"/>
  <c r="I631" i="39"/>
  <c r="H631" i="39"/>
  <c r="K630" i="39"/>
  <c r="J630" i="39" a="1"/>
  <c r="J630" i="39" s="1"/>
  <c r="I630" i="39"/>
  <c r="H630" i="39"/>
  <c r="K629" i="39"/>
  <c r="J629" i="39" a="1"/>
  <c r="J629" i="39" s="1"/>
  <c r="I629" i="39"/>
  <c r="H629" i="39"/>
  <c r="K628" i="39"/>
  <c r="J628" i="39" a="1"/>
  <c r="J628" i="39" s="1"/>
  <c r="I628" i="39"/>
  <c r="H628" i="39"/>
  <c r="K627" i="39"/>
  <c r="J627" i="39" a="1"/>
  <c r="J627" i="39" s="1"/>
  <c r="I627" i="39"/>
  <c r="H627" i="39"/>
  <c r="K626" i="39"/>
  <c r="J626" i="39" a="1"/>
  <c r="J626" i="39" s="1"/>
  <c r="I626" i="39"/>
  <c r="H626" i="39"/>
  <c r="K625" i="39"/>
  <c r="J625" i="39" a="1"/>
  <c r="J625" i="39" s="1"/>
  <c r="I625" i="39"/>
  <c r="H625" i="39"/>
  <c r="K624" i="39"/>
  <c r="J624" i="39" a="1"/>
  <c r="J624" i="39" s="1"/>
  <c r="I624" i="39"/>
  <c r="H624" i="39"/>
  <c r="K623" i="39"/>
  <c r="J623" i="39" a="1"/>
  <c r="J623" i="39" s="1"/>
  <c r="I623" i="39"/>
  <c r="H623" i="39"/>
  <c r="K622" i="39"/>
  <c r="J622" i="39" a="1"/>
  <c r="J622" i="39" s="1"/>
  <c r="I622" i="39"/>
  <c r="H622" i="39"/>
  <c r="K621" i="39"/>
  <c r="J621" i="39" a="1"/>
  <c r="J621" i="39" s="1"/>
  <c r="I621" i="39"/>
  <c r="H621" i="39"/>
  <c r="K620" i="39"/>
  <c r="J620" i="39" a="1"/>
  <c r="J620" i="39" s="1"/>
  <c r="I620" i="39"/>
  <c r="H620" i="39"/>
  <c r="K619" i="39"/>
  <c r="J619" i="39" a="1"/>
  <c r="J619" i="39" s="1"/>
  <c r="I619" i="39"/>
  <c r="H619" i="39"/>
  <c r="K618" i="39"/>
  <c r="J618" i="39" a="1"/>
  <c r="J618" i="39" s="1"/>
  <c r="I618" i="39"/>
  <c r="H618" i="39"/>
  <c r="K617" i="39"/>
  <c r="J617" i="39" a="1"/>
  <c r="J617" i="39" s="1"/>
  <c r="I617" i="39"/>
  <c r="H617" i="39"/>
  <c r="K616" i="39"/>
  <c r="J616" i="39" a="1"/>
  <c r="J616" i="39" s="1"/>
  <c r="I616" i="39"/>
  <c r="H616" i="39"/>
  <c r="K615" i="39"/>
  <c r="J615" i="39" a="1"/>
  <c r="J615" i="39" s="1"/>
  <c r="I615" i="39"/>
  <c r="H615" i="39"/>
  <c r="K614" i="39"/>
  <c r="J614" i="39" a="1"/>
  <c r="J614" i="39" s="1"/>
  <c r="I614" i="39"/>
  <c r="H614" i="39"/>
  <c r="K613" i="39"/>
  <c r="J613" i="39" a="1"/>
  <c r="J613" i="39" s="1"/>
  <c r="I613" i="39"/>
  <c r="H613" i="39"/>
  <c r="K612" i="39"/>
  <c r="J612" i="39" a="1"/>
  <c r="J612" i="39" s="1"/>
  <c r="I612" i="39"/>
  <c r="H612" i="39"/>
  <c r="K611" i="39"/>
  <c r="J611" i="39" a="1"/>
  <c r="J611" i="39" s="1"/>
  <c r="I611" i="39"/>
  <c r="H611" i="39"/>
  <c r="K610" i="39"/>
  <c r="J610" i="39" a="1"/>
  <c r="J610" i="39" s="1"/>
  <c r="I610" i="39"/>
  <c r="H610" i="39"/>
  <c r="K609" i="39"/>
  <c r="J609" i="39" a="1"/>
  <c r="J609" i="39" s="1"/>
  <c r="I609" i="39"/>
  <c r="H609" i="39"/>
  <c r="K608" i="39"/>
  <c r="J608" i="39" a="1"/>
  <c r="J608" i="39" s="1"/>
  <c r="I608" i="39"/>
  <c r="H608" i="39"/>
  <c r="K607" i="39"/>
  <c r="J607" i="39" a="1"/>
  <c r="J607" i="39" s="1"/>
  <c r="I607" i="39"/>
  <c r="H607" i="39"/>
  <c r="K606" i="39"/>
  <c r="J606" i="39" a="1"/>
  <c r="J606" i="39" s="1"/>
  <c r="I606" i="39"/>
  <c r="H606" i="39"/>
  <c r="K605" i="39"/>
  <c r="J605" i="39" a="1"/>
  <c r="J605" i="39" s="1"/>
  <c r="I605" i="39"/>
  <c r="H605" i="39"/>
  <c r="K604" i="39"/>
  <c r="J604" i="39" a="1"/>
  <c r="J604" i="39" s="1"/>
  <c r="I604" i="39"/>
  <c r="H604" i="39"/>
  <c r="K603" i="39"/>
  <c r="J603" i="39" a="1"/>
  <c r="J603" i="39" s="1"/>
  <c r="I603" i="39"/>
  <c r="H603" i="39"/>
  <c r="K602" i="39"/>
  <c r="J602" i="39" a="1"/>
  <c r="J602" i="39" s="1"/>
  <c r="I602" i="39"/>
  <c r="H602" i="39"/>
  <c r="K601" i="39"/>
  <c r="J601" i="39" a="1"/>
  <c r="J601" i="39" s="1"/>
  <c r="I601" i="39"/>
  <c r="H601" i="39"/>
  <c r="K600" i="39"/>
  <c r="J600" i="39" a="1"/>
  <c r="J600" i="39" s="1"/>
  <c r="I600" i="39"/>
  <c r="H600" i="39"/>
  <c r="K599" i="39"/>
  <c r="J599" i="39" a="1"/>
  <c r="J599" i="39" s="1"/>
  <c r="I599" i="39"/>
  <c r="H599" i="39"/>
  <c r="K598" i="39"/>
  <c r="J598" i="39" a="1"/>
  <c r="J598" i="39" s="1"/>
  <c r="I598" i="39"/>
  <c r="H598" i="39"/>
  <c r="K597" i="39"/>
  <c r="J597" i="39" a="1"/>
  <c r="J597" i="39" s="1"/>
  <c r="I597" i="39"/>
  <c r="H597" i="39"/>
  <c r="K596" i="39"/>
  <c r="J596" i="39" a="1"/>
  <c r="J596" i="39" s="1"/>
  <c r="I596" i="39"/>
  <c r="H596" i="39"/>
  <c r="K595" i="39"/>
  <c r="J595" i="39" a="1"/>
  <c r="J595" i="39" s="1"/>
  <c r="I595" i="39"/>
  <c r="H595" i="39"/>
  <c r="K594" i="39"/>
  <c r="J594" i="39" a="1"/>
  <c r="J594" i="39" s="1"/>
  <c r="I594" i="39"/>
  <c r="H594" i="39"/>
  <c r="K593" i="39"/>
  <c r="J593" i="39" a="1"/>
  <c r="J593" i="39" s="1"/>
  <c r="I593" i="39"/>
  <c r="H593" i="39"/>
  <c r="K592" i="39"/>
  <c r="J592" i="39" a="1"/>
  <c r="J592" i="39" s="1"/>
  <c r="I592" i="39"/>
  <c r="H592" i="39"/>
  <c r="K591" i="39"/>
  <c r="J591" i="39" a="1"/>
  <c r="J591" i="39" s="1"/>
  <c r="I591" i="39"/>
  <c r="H591" i="39"/>
  <c r="K590" i="39"/>
  <c r="J590" i="39" a="1"/>
  <c r="J590" i="39" s="1"/>
  <c r="I590" i="39"/>
  <c r="H590" i="39"/>
  <c r="K589" i="39"/>
  <c r="J589" i="39" a="1"/>
  <c r="J589" i="39" s="1"/>
  <c r="I589" i="39"/>
  <c r="H589" i="39"/>
  <c r="K588" i="39"/>
  <c r="J588" i="39" a="1"/>
  <c r="J588" i="39" s="1"/>
  <c r="I588" i="39"/>
  <c r="H588" i="39"/>
  <c r="K587" i="39"/>
  <c r="J587" i="39" a="1"/>
  <c r="J587" i="39" s="1"/>
  <c r="I587" i="39"/>
  <c r="H587" i="39"/>
  <c r="K586" i="39"/>
  <c r="J586" i="39"/>
  <c r="J586" i="39" a="1"/>
  <c r="I586" i="39"/>
  <c r="H586" i="39"/>
  <c r="K585" i="39"/>
  <c r="J585" i="39" a="1"/>
  <c r="J585" i="39" s="1"/>
  <c r="I585" i="39"/>
  <c r="H585" i="39"/>
  <c r="K584" i="39"/>
  <c r="J584" i="39" a="1"/>
  <c r="J584" i="39" s="1"/>
  <c r="I584" i="39"/>
  <c r="H584" i="39"/>
  <c r="K583" i="39"/>
  <c r="J583" i="39" a="1"/>
  <c r="J583" i="39" s="1"/>
  <c r="I583" i="39"/>
  <c r="H583" i="39"/>
  <c r="K582" i="39"/>
  <c r="J582" i="39" a="1"/>
  <c r="J582" i="39" s="1"/>
  <c r="I582" i="39"/>
  <c r="H582" i="39"/>
  <c r="K581" i="39"/>
  <c r="J581" i="39" a="1"/>
  <c r="J581" i="39" s="1"/>
  <c r="I581" i="39"/>
  <c r="H581" i="39"/>
  <c r="K580" i="39"/>
  <c r="J580" i="39" a="1"/>
  <c r="J580" i="39" s="1"/>
  <c r="I580" i="39"/>
  <c r="H580" i="39"/>
  <c r="K579" i="39"/>
  <c r="J579" i="39" a="1"/>
  <c r="J579" i="39" s="1"/>
  <c r="I579" i="39"/>
  <c r="H579" i="39"/>
  <c r="K578" i="39"/>
  <c r="J578" i="39" a="1"/>
  <c r="J578" i="39" s="1"/>
  <c r="I578" i="39"/>
  <c r="H578" i="39"/>
  <c r="K577" i="39"/>
  <c r="J577" i="39" a="1"/>
  <c r="J577" i="39" s="1"/>
  <c r="I577" i="39"/>
  <c r="H577" i="39"/>
  <c r="K576" i="39"/>
  <c r="J576" i="39" a="1"/>
  <c r="J576" i="39" s="1"/>
  <c r="I576" i="39"/>
  <c r="H576" i="39"/>
  <c r="K575" i="39"/>
  <c r="J575" i="39" a="1"/>
  <c r="J575" i="39" s="1"/>
  <c r="I575" i="39"/>
  <c r="H575" i="39"/>
  <c r="K574" i="39"/>
  <c r="J574" i="39" a="1"/>
  <c r="J574" i="39" s="1"/>
  <c r="I574" i="39"/>
  <c r="H574" i="39"/>
  <c r="K573" i="39"/>
  <c r="J573" i="39" a="1"/>
  <c r="J573" i="39" s="1"/>
  <c r="I573" i="39"/>
  <c r="H573" i="39"/>
  <c r="K572" i="39"/>
  <c r="J572" i="39" a="1"/>
  <c r="J572" i="39" s="1"/>
  <c r="I572" i="39"/>
  <c r="H572" i="39"/>
  <c r="K571" i="39"/>
  <c r="J571" i="39" a="1"/>
  <c r="J571" i="39" s="1"/>
  <c r="I571" i="39"/>
  <c r="H571" i="39"/>
  <c r="K570" i="39"/>
  <c r="J570" i="39" a="1"/>
  <c r="J570" i="39" s="1"/>
  <c r="I570" i="39"/>
  <c r="H570" i="39"/>
  <c r="K569" i="39"/>
  <c r="J569" i="39" a="1"/>
  <c r="J569" i="39" s="1"/>
  <c r="I569" i="39"/>
  <c r="H569" i="39"/>
  <c r="K568" i="39"/>
  <c r="J568" i="39" a="1"/>
  <c r="J568" i="39" s="1"/>
  <c r="I568" i="39"/>
  <c r="H568" i="39"/>
  <c r="K567" i="39"/>
  <c r="J567" i="39" a="1"/>
  <c r="J567" i="39" s="1"/>
  <c r="I567" i="39"/>
  <c r="H567" i="39"/>
  <c r="K566" i="39"/>
  <c r="J566" i="39" a="1"/>
  <c r="J566" i="39" s="1"/>
  <c r="I566" i="39"/>
  <c r="H566" i="39"/>
  <c r="K565" i="39"/>
  <c r="J565" i="39" a="1"/>
  <c r="J565" i="39" s="1"/>
  <c r="I565" i="39"/>
  <c r="H565" i="39"/>
  <c r="K564" i="39"/>
  <c r="J564" i="39" a="1"/>
  <c r="J564" i="39" s="1"/>
  <c r="I564" i="39"/>
  <c r="H564" i="39"/>
  <c r="K563" i="39"/>
  <c r="J563" i="39" a="1"/>
  <c r="J563" i="39" s="1"/>
  <c r="I563" i="39"/>
  <c r="H563" i="39"/>
  <c r="K562" i="39"/>
  <c r="J562" i="39" a="1"/>
  <c r="J562" i="39" s="1"/>
  <c r="I562" i="39"/>
  <c r="H562" i="39"/>
  <c r="K561" i="39"/>
  <c r="J561" i="39" a="1"/>
  <c r="J561" i="39" s="1"/>
  <c r="I561" i="39"/>
  <c r="H561" i="39"/>
  <c r="K560" i="39"/>
  <c r="J560" i="39" a="1"/>
  <c r="J560" i="39" s="1"/>
  <c r="I560" i="39"/>
  <c r="H560" i="39"/>
  <c r="K559" i="39"/>
  <c r="J559" i="39" a="1"/>
  <c r="J559" i="39" s="1"/>
  <c r="I559" i="39"/>
  <c r="H559" i="39"/>
  <c r="K558" i="39"/>
  <c r="J558" i="39" a="1"/>
  <c r="J558" i="39" s="1"/>
  <c r="I558" i="39"/>
  <c r="H558" i="39"/>
  <c r="K557" i="39"/>
  <c r="J557" i="39" a="1"/>
  <c r="J557" i="39" s="1"/>
  <c r="I557" i="39"/>
  <c r="H557" i="39"/>
  <c r="K556" i="39"/>
  <c r="J556" i="39" a="1"/>
  <c r="J556" i="39" s="1"/>
  <c r="I556" i="39"/>
  <c r="H556" i="39"/>
  <c r="K555" i="39"/>
  <c r="J555" i="39" a="1"/>
  <c r="J555" i="39" s="1"/>
  <c r="I555" i="39"/>
  <c r="H555" i="39"/>
  <c r="K554" i="39"/>
  <c r="J554" i="39" a="1"/>
  <c r="J554" i="39" s="1"/>
  <c r="I554" i="39"/>
  <c r="H554" i="39"/>
  <c r="K553" i="39"/>
  <c r="J553" i="39" a="1"/>
  <c r="J553" i="39" s="1"/>
  <c r="I553" i="39"/>
  <c r="H553" i="39"/>
  <c r="K552" i="39"/>
  <c r="J552" i="39" a="1"/>
  <c r="J552" i="39" s="1"/>
  <c r="I552" i="39"/>
  <c r="H552" i="39"/>
  <c r="K551" i="39"/>
  <c r="J551" i="39" a="1"/>
  <c r="J551" i="39" s="1"/>
  <c r="I551" i="39"/>
  <c r="H551" i="39"/>
  <c r="K550" i="39"/>
  <c r="J550" i="39" a="1"/>
  <c r="J550" i="39" s="1"/>
  <c r="I550" i="39"/>
  <c r="H550" i="39"/>
  <c r="K549" i="39"/>
  <c r="J549" i="39" a="1"/>
  <c r="J549" i="39" s="1"/>
  <c r="I549" i="39"/>
  <c r="H549" i="39"/>
  <c r="K548" i="39"/>
  <c r="J548" i="39" a="1"/>
  <c r="J548" i="39" s="1"/>
  <c r="I548" i="39"/>
  <c r="H548" i="39"/>
  <c r="K547" i="39"/>
  <c r="J547" i="39" a="1"/>
  <c r="J547" i="39" s="1"/>
  <c r="I547" i="39"/>
  <c r="H547" i="39"/>
  <c r="K546" i="39"/>
  <c r="J546" i="39" a="1"/>
  <c r="J546" i="39" s="1"/>
  <c r="I546" i="39"/>
  <c r="H546" i="39"/>
  <c r="K545" i="39"/>
  <c r="J545" i="39" a="1"/>
  <c r="J545" i="39" s="1"/>
  <c r="I545" i="39"/>
  <c r="H545" i="39"/>
  <c r="K544" i="39"/>
  <c r="J544" i="39" a="1"/>
  <c r="J544" i="39" s="1"/>
  <c r="I544" i="39"/>
  <c r="H544" i="39"/>
  <c r="K543" i="39"/>
  <c r="J543" i="39" a="1"/>
  <c r="J543" i="39" s="1"/>
  <c r="I543" i="39"/>
  <c r="H543" i="39"/>
  <c r="K542" i="39"/>
  <c r="J542" i="39" a="1"/>
  <c r="J542" i="39" s="1"/>
  <c r="I542" i="39"/>
  <c r="H542" i="39"/>
  <c r="K541" i="39"/>
  <c r="J541" i="39" a="1"/>
  <c r="J541" i="39" s="1"/>
  <c r="I541" i="39"/>
  <c r="H541" i="39"/>
  <c r="K540" i="39"/>
  <c r="J540" i="39" a="1"/>
  <c r="J540" i="39" s="1"/>
  <c r="I540" i="39"/>
  <c r="H540" i="39"/>
  <c r="K539" i="39"/>
  <c r="J539" i="39" a="1"/>
  <c r="J539" i="39" s="1"/>
  <c r="I539" i="39"/>
  <c r="H539" i="39"/>
  <c r="K538" i="39"/>
  <c r="J538" i="39" a="1"/>
  <c r="J538" i="39" s="1"/>
  <c r="I538" i="39"/>
  <c r="H538" i="39"/>
  <c r="K537" i="39"/>
  <c r="J537" i="39" a="1"/>
  <c r="J537" i="39" s="1"/>
  <c r="I537" i="39"/>
  <c r="H537" i="39"/>
  <c r="K536" i="39"/>
  <c r="J536" i="39" a="1"/>
  <c r="J536" i="39" s="1"/>
  <c r="I536" i="39"/>
  <c r="H536" i="39"/>
  <c r="K535" i="39"/>
  <c r="J535" i="39" a="1"/>
  <c r="J535" i="39" s="1"/>
  <c r="I535" i="39"/>
  <c r="H535" i="39"/>
  <c r="K534" i="39"/>
  <c r="J534" i="39" a="1"/>
  <c r="J534" i="39" s="1"/>
  <c r="I534" i="39"/>
  <c r="H534" i="39"/>
  <c r="K533" i="39"/>
  <c r="J533" i="39" a="1"/>
  <c r="J533" i="39" s="1"/>
  <c r="I533" i="39"/>
  <c r="H533" i="39"/>
  <c r="K532" i="39"/>
  <c r="J532" i="39" a="1"/>
  <c r="J532" i="39" s="1"/>
  <c r="I532" i="39"/>
  <c r="H532" i="39"/>
  <c r="K531" i="39"/>
  <c r="J531" i="39" a="1"/>
  <c r="J531" i="39" s="1"/>
  <c r="I531" i="39"/>
  <c r="H531" i="39"/>
  <c r="K530" i="39"/>
  <c r="J530" i="39" a="1"/>
  <c r="J530" i="39" s="1"/>
  <c r="I530" i="39"/>
  <c r="H530" i="39"/>
  <c r="K529" i="39"/>
  <c r="J529" i="39" a="1"/>
  <c r="J529" i="39" s="1"/>
  <c r="I529" i="39"/>
  <c r="H529" i="39"/>
  <c r="K528" i="39"/>
  <c r="J528" i="39" a="1"/>
  <c r="J528" i="39" s="1"/>
  <c r="I528" i="39"/>
  <c r="H528" i="39"/>
  <c r="K527" i="39"/>
  <c r="J527" i="39" a="1"/>
  <c r="J527" i="39" s="1"/>
  <c r="I527" i="39"/>
  <c r="H527" i="39"/>
  <c r="K526" i="39"/>
  <c r="J526" i="39" a="1"/>
  <c r="J526" i="39" s="1"/>
  <c r="I526" i="39"/>
  <c r="H526" i="39"/>
  <c r="K525" i="39"/>
  <c r="J525" i="39" a="1"/>
  <c r="J525" i="39" s="1"/>
  <c r="I525" i="39"/>
  <c r="H525" i="39"/>
  <c r="K524" i="39"/>
  <c r="J524" i="39" a="1"/>
  <c r="J524" i="39" s="1"/>
  <c r="I524" i="39"/>
  <c r="H524" i="39"/>
  <c r="K523" i="39"/>
  <c r="J523" i="39" a="1"/>
  <c r="J523" i="39" s="1"/>
  <c r="I523" i="39"/>
  <c r="H523" i="39"/>
  <c r="K522" i="39"/>
  <c r="J522" i="39" a="1"/>
  <c r="J522" i="39" s="1"/>
  <c r="I522" i="39"/>
  <c r="H522" i="39"/>
  <c r="K521" i="39"/>
  <c r="J521" i="39" a="1"/>
  <c r="J521" i="39" s="1"/>
  <c r="I521" i="39"/>
  <c r="H521" i="39"/>
  <c r="K520" i="39"/>
  <c r="J520" i="39" a="1"/>
  <c r="J520" i="39" s="1"/>
  <c r="I520" i="39"/>
  <c r="H520" i="39"/>
  <c r="K519" i="39"/>
  <c r="J519" i="39" a="1"/>
  <c r="J519" i="39" s="1"/>
  <c r="I519" i="39"/>
  <c r="H519" i="39"/>
  <c r="K518" i="39"/>
  <c r="J518" i="39" a="1"/>
  <c r="J518" i="39" s="1"/>
  <c r="I518" i="39"/>
  <c r="H518" i="39"/>
  <c r="K517" i="39"/>
  <c r="J517" i="39" a="1"/>
  <c r="J517" i="39" s="1"/>
  <c r="I517" i="39"/>
  <c r="H517" i="39"/>
  <c r="K516" i="39"/>
  <c r="J516" i="39" a="1"/>
  <c r="J516" i="39" s="1"/>
  <c r="I516" i="39"/>
  <c r="H516" i="39"/>
  <c r="K515" i="39"/>
  <c r="J515" i="39" a="1"/>
  <c r="J515" i="39" s="1"/>
  <c r="I515" i="39"/>
  <c r="H515" i="39"/>
  <c r="K514" i="39"/>
  <c r="J514" i="39" a="1"/>
  <c r="J514" i="39" s="1"/>
  <c r="I514" i="39"/>
  <c r="H514" i="39"/>
  <c r="K513" i="39"/>
  <c r="J513" i="39" a="1"/>
  <c r="J513" i="39" s="1"/>
  <c r="I513" i="39"/>
  <c r="H513" i="39"/>
  <c r="K512" i="39"/>
  <c r="J512" i="39" a="1"/>
  <c r="J512" i="39" s="1"/>
  <c r="I512" i="39"/>
  <c r="H512" i="39"/>
  <c r="K511" i="39"/>
  <c r="J511" i="39" a="1"/>
  <c r="J511" i="39" s="1"/>
  <c r="I511" i="39"/>
  <c r="H511" i="39"/>
  <c r="K510" i="39"/>
  <c r="J510" i="39" a="1"/>
  <c r="J510" i="39" s="1"/>
  <c r="I510" i="39"/>
  <c r="H510" i="39"/>
  <c r="K509" i="39"/>
  <c r="J509" i="39" a="1"/>
  <c r="J509" i="39" s="1"/>
  <c r="I509" i="39"/>
  <c r="H509" i="39"/>
  <c r="K508" i="39"/>
  <c r="J508" i="39" a="1"/>
  <c r="J508" i="39" s="1"/>
  <c r="I508" i="39"/>
  <c r="H508" i="39"/>
  <c r="K507" i="39"/>
  <c r="J507" i="39" a="1"/>
  <c r="J507" i="39" s="1"/>
  <c r="I507" i="39"/>
  <c r="H507" i="39"/>
  <c r="K506" i="39"/>
  <c r="J506" i="39" a="1"/>
  <c r="J506" i="39" s="1"/>
  <c r="I506" i="39"/>
  <c r="H506" i="39"/>
  <c r="K505" i="39"/>
  <c r="J505" i="39" a="1"/>
  <c r="J505" i="39" s="1"/>
  <c r="I505" i="39"/>
  <c r="H505" i="39"/>
  <c r="K504" i="39"/>
  <c r="J504" i="39" a="1"/>
  <c r="J504" i="39" s="1"/>
  <c r="I504" i="39"/>
  <c r="H504" i="39"/>
  <c r="K503" i="39"/>
  <c r="J503" i="39" a="1"/>
  <c r="J503" i="39" s="1"/>
  <c r="I503" i="39"/>
  <c r="H503" i="39"/>
  <c r="K502" i="39"/>
  <c r="J502" i="39" a="1"/>
  <c r="J502" i="39" s="1"/>
  <c r="I502" i="39"/>
  <c r="H502" i="39"/>
  <c r="K501" i="39"/>
  <c r="J501" i="39" a="1"/>
  <c r="J501" i="39" s="1"/>
  <c r="I501" i="39"/>
  <c r="H501" i="39"/>
  <c r="K500" i="39"/>
  <c r="J500" i="39" a="1"/>
  <c r="J500" i="39" s="1"/>
  <c r="I500" i="39"/>
  <c r="H500" i="39"/>
  <c r="K499" i="39"/>
  <c r="J499" i="39" a="1"/>
  <c r="J499" i="39" s="1"/>
  <c r="I499" i="39"/>
  <c r="H499" i="39"/>
  <c r="K498" i="39"/>
  <c r="J498" i="39" a="1"/>
  <c r="J498" i="39" s="1"/>
  <c r="I498" i="39"/>
  <c r="H498" i="39"/>
  <c r="K497" i="39"/>
  <c r="J497" i="39" a="1"/>
  <c r="J497" i="39" s="1"/>
  <c r="I497" i="39"/>
  <c r="H497" i="39"/>
  <c r="K496" i="39"/>
  <c r="J496" i="39" a="1"/>
  <c r="J496" i="39" s="1"/>
  <c r="I496" i="39"/>
  <c r="H496" i="39"/>
  <c r="K495" i="39"/>
  <c r="J495" i="39" a="1"/>
  <c r="J495" i="39" s="1"/>
  <c r="I495" i="39"/>
  <c r="H495" i="39"/>
  <c r="K494" i="39"/>
  <c r="J494" i="39" a="1"/>
  <c r="J494" i="39" s="1"/>
  <c r="I494" i="39"/>
  <c r="H494" i="39"/>
  <c r="K493" i="39"/>
  <c r="J493" i="39" a="1"/>
  <c r="J493" i="39" s="1"/>
  <c r="I493" i="39"/>
  <c r="H493" i="39"/>
  <c r="K492" i="39"/>
  <c r="J492" i="39" a="1"/>
  <c r="J492" i="39" s="1"/>
  <c r="I492" i="39"/>
  <c r="H492" i="39"/>
  <c r="K491" i="39"/>
  <c r="J491" i="39" a="1"/>
  <c r="J491" i="39" s="1"/>
  <c r="I491" i="39"/>
  <c r="H491" i="39"/>
  <c r="K490" i="39"/>
  <c r="J490" i="39" a="1"/>
  <c r="J490" i="39" s="1"/>
  <c r="I490" i="39"/>
  <c r="H490" i="39"/>
  <c r="K489" i="39"/>
  <c r="J489" i="39" a="1"/>
  <c r="J489" i="39" s="1"/>
  <c r="I489" i="39"/>
  <c r="H489" i="39"/>
  <c r="K488" i="39"/>
  <c r="J488" i="39" a="1"/>
  <c r="J488" i="39" s="1"/>
  <c r="I488" i="39"/>
  <c r="H488" i="39"/>
  <c r="K487" i="39"/>
  <c r="J487" i="39" a="1"/>
  <c r="J487" i="39" s="1"/>
  <c r="I487" i="39"/>
  <c r="H487" i="39"/>
  <c r="K486" i="39"/>
  <c r="J486" i="39" a="1"/>
  <c r="J486" i="39" s="1"/>
  <c r="I486" i="39"/>
  <c r="H486" i="39"/>
  <c r="K485" i="39"/>
  <c r="J485" i="39" a="1"/>
  <c r="J485" i="39" s="1"/>
  <c r="I485" i="39"/>
  <c r="H485" i="39"/>
  <c r="K484" i="39"/>
  <c r="J484" i="39" a="1"/>
  <c r="J484" i="39" s="1"/>
  <c r="I484" i="39"/>
  <c r="H484" i="39"/>
  <c r="K483" i="39"/>
  <c r="J483" i="39" a="1"/>
  <c r="J483" i="39" s="1"/>
  <c r="I483" i="39"/>
  <c r="H483" i="39"/>
  <c r="K482" i="39"/>
  <c r="J482" i="39" a="1"/>
  <c r="J482" i="39" s="1"/>
  <c r="I482" i="39"/>
  <c r="H482" i="39"/>
  <c r="K481" i="39"/>
  <c r="J481" i="39" a="1"/>
  <c r="J481" i="39" s="1"/>
  <c r="I481" i="39"/>
  <c r="H481" i="39"/>
  <c r="K480" i="39"/>
  <c r="J480" i="39" a="1"/>
  <c r="J480" i="39" s="1"/>
  <c r="I480" i="39"/>
  <c r="H480" i="39"/>
  <c r="K479" i="39"/>
  <c r="J479" i="39" a="1"/>
  <c r="J479" i="39" s="1"/>
  <c r="I479" i="39"/>
  <c r="H479" i="39"/>
  <c r="K478" i="39"/>
  <c r="J478" i="39" a="1"/>
  <c r="J478" i="39" s="1"/>
  <c r="I478" i="39"/>
  <c r="H478" i="39"/>
  <c r="K477" i="39"/>
  <c r="J477" i="39"/>
  <c r="J477" i="39" a="1"/>
  <c r="I477" i="39"/>
  <c r="H477" i="39"/>
  <c r="K476" i="39"/>
  <c r="J476" i="39" a="1"/>
  <c r="J476" i="39" s="1"/>
  <c r="I476" i="39"/>
  <c r="H476" i="39"/>
  <c r="K475" i="39"/>
  <c r="J475" i="39" a="1"/>
  <c r="J475" i="39" s="1"/>
  <c r="I475" i="39"/>
  <c r="H475" i="39"/>
  <c r="K474" i="39"/>
  <c r="J474" i="39" a="1"/>
  <c r="J474" i="39" s="1"/>
  <c r="I474" i="39"/>
  <c r="H474" i="39"/>
  <c r="K473" i="39"/>
  <c r="J473" i="39" a="1"/>
  <c r="J473" i="39" s="1"/>
  <c r="I473" i="39"/>
  <c r="H473" i="39"/>
  <c r="K472" i="39"/>
  <c r="J472" i="39" a="1"/>
  <c r="J472" i="39" s="1"/>
  <c r="I472" i="39"/>
  <c r="H472" i="39"/>
  <c r="K471" i="39"/>
  <c r="J471" i="39" a="1"/>
  <c r="J471" i="39" s="1"/>
  <c r="I471" i="39"/>
  <c r="H471" i="39"/>
  <c r="K470" i="39"/>
  <c r="J470" i="39" a="1"/>
  <c r="J470" i="39" s="1"/>
  <c r="I470" i="39"/>
  <c r="H470" i="39"/>
  <c r="K469" i="39"/>
  <c r="J469" i="39" a="1"/>
  <c r="J469" i="39" s="1"/>
  <c r="I469" i="39"/>
  <c r="H469" i="39"/>
  <c r="K468" i="39"/>
  <c r="J468" i="39" a="1"/>
  <c r="J468" i="39" s="1"/>
  <c r="I468" i="39"/>
  <c r="H468" i="39"/>
  <c r="K467" i="39"/>
  <c r="J467" i="39" a="1"/>
  <c r="J467" i="39" s="1"/>
  <c r="I467" i="39"/>
  <c r="H467" i="39"/>
  <c r="K466" i="39"/>
  <c r="J466" i="39" a="1"/>
  <c r="J466" i="39" s="1"/>
  <c r="I466" i="39"/>
  <c r="H466" i="39"/>
  <c r="K465" i="39"/>
  <c r="J465" i="39" a="1"/>
  <c r="J465" i="39" s="1"/>
  <c r="I465" i="39"/>
  <c r="H465" i="39"/>
  <c r="K464" i="39"/>
  <c r="J464" i="39" a="1"/>
  <c r="J464" i="39" s="1"/>
  <c r="I464" i="39"/>
  <c r="H464" i="39"/>
  <c r="K463" i="39"/>
  <c r="J463" i="39" a="1"/>
  <c r="J463" i="39" s="1"/>
  <c r="I463" i="39"/>
  <c r="H463" i="39"/>
  <c r="K462" i="39"/>
  <c r="J462" i="39" a="1"/>
  <c r="J462" i="39" s="1"/>
  <c r="I462" i="39"/>
  <c r="H462" i="39"/>
  <c r="K461" i="39"/>
  <c r="J461" i="39" a="1"/>
  <c r="J461" i="39" s="1"/>
  <c r="I461" i="39"/>
  <c r="H461" i="39"/>
  <c r="K460" i="39"/>
  <c r="J460" i="39" a="1"/>
  <c r="J460" i="39" s="1"/>
  <c r="I460" i="39"/>
  <c r="H460" i="39"/>
  <c r="K459" i="39"/>
  <c r="J459" i="39" a="1"/>
  <c r="J459" i="39" s="1"/>
  <c r="I459" i="39"/>
  <c r="H459" i="39"/>
  <c r="K458" i="39"/>
  <c r="J458" i="39" a="1"/>
  <c r="J458" i="39" s="1"/>
  <c r="I458" i="39"/>
  <c r="H458" i="39"/>
  <c r="K457" i="39"/>
  <c r="J457" i="39" a="1"/>
  <c r="J457" i="39" s="1"/>
  <c r="I457" i="39"/>
  <c r="H457" i="39"/>
  <c r="K456" i="39"/>
  <c r="J456" i="39" a="1"/>
  <c r="J456" i="39" s="1"/>
  <c r="I456" i="39"/>
  <c r="H456" i="39"/>
  <c r="K455" i="39"/>
  <c r="J455" i="39" a="1"/>
  <c r="J455" i="39" s="1"/>
  <c r="I455" i="39"/>
  <c r="H455" i="39"/>
  <c r="K454" i="39"/>
  <c r="J454" i="39" a="1"/>
  <c r="J454" i="39" s="1"/>
  <c r="I454" i="39"/>
  <c r="H454" i="39"/>
  <c r="K453" i="39"/>
  <c r="J453" i="39" a="1"/>
  <c r="J453" i="39" s="1"/>
  <c r="I453" i="39"/>
  <c r="H453" i="39"/>
  <c r="K452" i="39"/>
  <c r="J452" i="39" a="1"/>
  <c r="J452" i="39" s="1"/>
  <c r="I452" i="39"/>
  <c r="H452" i="39"/>
  <c r="K451" i="39"/>
  <c r="J451" i="39" a="1"/>
  <c r="J451" i="39" s="1"/>
  <c r="I451" i="39"/>
  <c r="H451" i="39"/>
  <c r="K450" i="39"/>
  <c r="J450" i="39" a="1"/>
  <c r="J450" i="39" s="1"/>
  <c r="I450" i="39"/>
  <c r="H450" i="39"/>
  <c r="K449" i="39"/>
  <c r="J449" i="39" a="1"/>
  <c r="J449" i="39" s="1"/>
  <c r="I449" i="39"/>
  <c r="H449" i="39"/>
  <c r="K448" i="39"/>
  <c r="J448" i="39" a="1"/>
  <c r="J448" i="39" s="1"/>
  <c r="I448" i="39"/>
  <c r="H448" i="39"/>
  <c r="K447" i="39"/>
  <c r="J447" i="39" a="1"/>
  <c r="J447" i="39" s="1"/>
  <c r="I447" i="39"/>
  <c r="H447" i="39"/>
  <c r="K446" i="39"/>
  <c r="J446" i="39" a="1"/>
  <c r="J446" i="39" s="1"/>
  <c r="I446" i="39"/>
  <c r="H446" i="39"/>
  <c r="K445" i="39"/>
  <c r="J445" i="39" a="1"/>
  <c r="J445" i="39" s="1"/>
  <c r="I445" i="39"/>
  <c r="H445" i="39"/>
  <c r="K444" i="39"/>
  <c r="J444" i="39" a="1"/>
  <c r="J444" i="39" s="1"/>
  <c r="I444" i="39"/>
  <c r="H444" i="39"/>
  <c r="K443" i="39"/>
  <c r="J443" i="39" a="1"/>
  <c r="J443" i="39" s="1"/>
  <c r="I443" i="39"/>
  <c r="H443" i="39"/>
  <c r="K442" i="39"/>
  <c r="J442" i="39" a="1"/>
  <c r="J442" i="39" s="1"/>
  <c r="I442" i="39"/>
  <c r="H442" i="39"/>
  <c r="K441" i="39"/>
  <c r="J441" i="39" a="1"/>
  <c r="J441" i="39" s="1"/>
  <c r="I441" i="39"/>
  <c r="H441" i="39"/>
  <c r="K440" i="39"/>
  <c r="J440" i="39" a="1"/>
  <c r="J440" i="39" s="1"/>
  <c r="I440" i="39"/>
  <c r="H440" i="39"/>
  <c r="K439" i="39"/>
  <c r="J439" i="39" a="1"/>
  <c r="J439" i="39" s="1"/>
  <c r="I439" i="39"/>
  <c r="H439" i="39"/>
  <c r="K438" i="39"/>
  <c r="J438" i="39" a="1"/>
  <c r="J438" i="39" s="1"/>
  <c r="I438" i="39"/>
  <c r="H438" i="39"/>
  <c r="K437" i="39"/>
  <c r="J437" i="39" a="1"/>
  <c r="J437" i="39" s="1"/>
  <c r="I437" i="39"/>
  <c r="H437" i="39"/>
  <c r="K436" i="39"/>
  <c r="J436" i="39" a="1"/>
  <c r="J436" i="39" s="1"/>
  <c r="I436" i="39"/>
  <c r="H436" i="39"/>
  <c r="K435" i="39"/>
  <c r="J435" i="39" a="1"/>
  <c r="J435" i="39" s="1"/>
  <c r="I435" i="39"/>
  <c r="H435" i="39"/>
  <c r="K434" i="39"/>
  <c r="J434" i="39" a="1"/>
  <c r="J434" i="39" s="1"/>
  <c r="I434" i="39"/>
  <c r="H434" i="39"/>
  <c r="K433" i="39"/>
  <c r="J433" i="39" a="1"/>
  <c r="J433" i="39" s="1"/>
  <c r="I433" i="39"/>
  <c r="H433" i="39"/>
  <c r="K432" i="39"/>
  <c r="J432" i="39" a="1"/>
  <c r="J432" i="39" s="1"/>
  <c r="I432" i="39"/>
  <c r="H432" i="39"/>
  <c r="K431" i="39"/>
  <c r="J431" i="39" a="1"/>
  <c r="J431" i="39" s="1"/>
  <c r="I431" i="39"/>
  <c r="H431" i="39"/>
  <c r="K430" i="39"/>
  <c r="J430" i="39" a="1"/>
  <c r="J430" i="39" s="1"/>
  <c r="I430" i="39"/>
  <c r="H430" i="39"/>
  <c r="K429" i="39"/>
  <c r="J429" i="39" a="1"/>
  <c r="J429" i="39" s="1"/>
  <c r="I429" i="39"/>
  <c r="H429" i="39"/>
  <c r="K428" i="39"/>
  <c r="J428" i="39" a="1"/>
  <c r="J428" i="39" s="1"/>
  <c r="I428" i="39"/>
  <c r="H428" i="39"/>
  <c r="K427" i="39"/>
  <c r="J427" i="39" a="1"/>
  <c r="J427" i="39" s="1"/>
  <c r="I427" i="39"/>
  <c r="H427" i="39"/>
  <c r="K426" i="39"/>
  <c r="J426" i="39" a="1"/>
  <c r="J426" i="39" s="1"/>
  <c r="I426" i="39"/>
  <c r="H426" i="39"/>
  <c r="K425" i="39"/>
  <c r="J425" i="39" a="1"/>
  <c r="J425" i="39" s="1"/>
  <c r="I425" i="39"/>
  <c r="H425" i="39"/>
  <c r="K424" i="39"/>
  <c r="J424" i="39" a="1"/>
  <c r="J424" i="39" s="1"/>
  <c r="I424" i="39"/>
  <c r="H424" i="39"/>
  <c r="K423" i="39"/>
  <c r="J423" i="39" a="1"/>
  <c r="J423" i="39" s="1"/>
  <c r="I423" i="39"/>
  <c r="H423" i="39"/>
  <c r="K422" i="39"/>
  <c r="J422" i="39" a="1"/>
  <c r="J422" i="39" s="1"/>
  <c r="I422" i="39"/>
  <c r="H422" i="39"/>
  <c r="K421" i="39"/>
  <c r="J421" i="39" a="1"/>
  <c r="J421" i="39" s="1"/>
  <c r="I421" i="39"/>
  <c r="H421" i="39"/>
  <c r="K420" i="39"/>
  <c r="J420" i="39" a="1"/>
  <c r="J420" i="39" s="1"/>
  <c r="I420" i="39"/>
  <c r="H420" i="39"/>
  <c r="K419" i="39"/>
  <c r="J419" i="39" a="1"/>
  <c r="J419" i="39" s="1"/>
  <c r="I419" i="39"/>
  <c r="H419" i="39"/>
  <c r="K418" i="39"/>
  <c r="J418" i="39" a="1"/>
  <c r="J418" i="39" s="1"/>
  <c r="I418" i="39"/>
  <c r="H418" i="39"/>
  <c r="K417" i="39"/>
  <c r="J417" i="39" a="1"/>
  <c r="J417" i="39" s="1"/>
  <c r="I417" i="39"/>
  <c r="H417" i="39"/>
  <c r="K416" i="39"/>
  <c r="J416" i="39" a="1"/>
  <c r="J416" i="39" s="1"/>
  <c r="I416" i="39"/>
  <c r="H416" i="39"/>
  <c r="K415" i="39"/>
  <c r="J415" i="39" a="1"/>
  <c r="J415" i="39" s="1"/>
  <c r="I415" i="39"/>
  <c r="H415" i="39"/>
  <c r="K414" i="39"/>
  <c r="J414" i="39" a="1"/>
  <c r="J414" i="39" s="1"/>
  <c r="I414" i="39"/>
  <c r="H414" i="39"/>
  <c r="K413" i="39"/>
  <c r="J413" i="39" a="1"/>
  <c r="J413" i="39" s="1"/>
  <c r="I413" i="39"/>
  <c r="H413" i="39"/>
  <c r="K412" i="39"/>
  <c r="J412" i="39" a="1"/>
  <c r="J412" i="39" s="1"/>
  <c r="I412" i="39"/>
  <c r="H412" i="39"/>
  <c r="K411" i="39"/>
  <c r="J411" i="39" a="1"/>
  <c r="J411" i="39" s="1"/>
  <c r="I411" i="39"/>
  <c r="H411" i="39"/>
  <c r="K410" i="39"/>
  <c r="J410" i="39" a="1"/>
  <c r="J410" i="39" s="1"/>
  <c r="I410" i="39"/>
  <c r="H410" i="39"/>
  <c r="K409" i="39"/>
  <c r="J409" i="39" a="1"/>
  <c r="J409" i="39" s="1"/>
  <c r="I409" i="39"/>
  <c r="H409" i="39"/>
  <c r="K408" i="39"/>
  <c r="J408" i="39" a="1"/>
  <c r="J408" i="39" s="1"/>
  <c r="I408" i="39"/>
  <c r="H408" i="39"/>
  <c r="K407" i="39"/>
  <c r="J407" i="39" a="1"/>
  <c r="J407" i="39" s="1"/>
  <c r="I407" i="39"/>
  <c r="H407" i="39"/>
  <c r="K406" i="39"/>
  <c r="J406" i="39" a="1"/>
  <c r="J406" i="39" s="1"/>
  <c r="I406" i="39"/>
  <c r="H406" i="39"/>
  <c r="K405" i="39"/>
  <c r="J405" i="39" a="1"/>
  <c r="J405" i="39" s="1"/>
  <c r="I405" i="39"/>
  <c r="H405" i="39"/>
  <c r="K404" i="39"/>
  <c r="J404" i="39" a="1"/>
  <c r="J404" i="39" s="1"/>
  <c r="I404" i="39"/>
  <c r="H404" i="39"/>
  <c r="K403" i="39"/>
  <c r="J403" i="39" a="1"/>
  <c r="J403" i="39" s="1"/>
  <c r="I403" i="39"/>
  <c r="H403" i="39"/>
  <c r="K402" i="39"/>
  <c r="J402" i="39" a="1"/>
  <c r="J402" i="39" s="1"/>
  <c r="I402" i="39"/>
  <c r="H402" i="39"/>
  <c r="K401" i="39"/>
  <c r="J401" i="39" a="1"/>
  <c r="J401" i="39" s="1"/>
  <c r="I401" i="39"/>
  <c r="H401" i="39"/>
  <c r="K400" i="39"/>
  <c r="J400" i="39" a="1"/>
  <c r="J400" i="39" s="1"/>
  <c r="I400" i="39"/>
  <c r="H400" i="39"/>
  <c r="K399" i="39"/>
  <c r="J399" i="39" a="1"/>
  <c r="J399" i="39" s="1"/>
  <c r="I399" i="39"/>
  <c r="H399" i="39"/>
  <c r="K398" i="39"/>
  <c r="J398" i="39" a="1"/>
  <c r="J398" i="39" s="1"/>
  <c r="I398" i="39"/>
  <c r="H398" i="39"/>
  <c r="K397" i="39"/>
  <c r="J397" i="39" a="1"/>
  <c r="J397" i="39" s="1"/>
  <c r="I397" i="39"/>
  <c r="H397" i="39"/>
  <c r="K396" i="39"/>
  <c r="J396" i="39" a="1"/>
  <c r="J396" i="39" s="1"/>
  <c r="I396" i="39"/>
  <c r="H396" i="39"/>
  <c r="K395" i="39"/>
  <c r="J395" i="39" a="1"/>
  <c r="J395" i="39" s="1"/>
  <c r="I395" i="39"/>
  <c r="H395" i="39"/>
  <c r="K394" i="39"/>
  <c r="J394" i="39" a="1"/>
  <c r="J394" i="39" s="1"/>
  <c r="I394" i="39"/>
  <c r="H394" i="39"/>
  <c r="K393" i="39"/>
  <c r="J393" i="39" a="1"/>
  <c r="J393" i="39" s="1"/>
  <c r="I393" i="39"/>
  <c r="H393" i="39"/>
  <c r="K392" i="39"/>
  <c r="J392" i="39" a="1"/>
  <c r="J392" i="39" s="1"/>
  <c r="I392" i="39"/>
  <c r="H392" i="39"/>
  <c r="K391" i="39"/>
  <c r="J391" i="39" a="1"/>
  <c r="J391" i="39" s="1"/>
  <c r="I391" i="39"/>
  <c r="H391" i="39"/>
  <c r="K390" i="39"/>
  <c r="J390" i="39" a="1"/>
  <c r="J390" i="39" s="1"/>
  <c r="I390" i="39"/>
  <c r="H390" i="39"/>
  <c r="K389" i="39"/>
  <c r="J389" i="39" a="1"/>
  <c r="J389" i="39" s="1"/>
  <c r="I389" i="39"/>
  <c r="H389" i="39"/>
  <c r="K388" i="39"/>
  <c r="J388" i="39" a="1"/>
  <c r="J388" i="39" s="1"/>
  <c r="I388" i="39"/>
  <c r="H388" i="39"/>
  <c r="K387" i="39"/>
  <c r="J387" i="39" a="1"/>
  <c r="J387" i="39" s="1"/>
  <c r="I387" i="39"/>
  <c r="H387" i="39"/>
  <c r="K386" i="39"/>
  <c r="J386" i="39" a="1"/>
  <c r="J386" i="39" s="1"/>
  <c r="I386" i="39"/>
  <c r="H386" i="39"/>
  <c r="K385" i="39"/>
  <c r="J385" i="39" a="1"/>
  <c r="J385" i="39" s="1"/>
  <c r="I385" i="39"/>
  <c r="H385" i="39"/>
  <c r="K384" i="39"/>
  <c r="J384" i="39" a="1"/>
  <c r="J384" i="39" s="1"/>
  <c r="I384" i="39"/>
  <c r="H384" i="39"/>
  <c r="K383" i="39"/>
  <c r="J383" i="39" a="1"/>
  <c r="J383" i="39" s="1"/>
  <c r="I383" i="39"/>
  <c r="H383" i="39"/>
  <c r="K382" i="39"/>
  <c r="J382" i="39" a="1"/>
  <c r="J382" i="39" s="1"/>
  <c r="I382" i="39"/>
  <c r="H382" i="39"/>
  <c r="K381" i="39"/>
  <c r="J381" i="39" a="1"/>
  <c r="J381" i="39" s="1"/>
  <c r="I381" i="39"/>
  <c r="H381" i="39"/>
  <c r="K380" i="39"/>
  <c r="J380" i="39" a="1"/>
  <c r="J380" i="39" s="1"/>
  <c r="I380" i="39"/>
  <c r="H380" i="39"/>
  <c r="K379" i="39"/>
  <c r="J379" i="39" a="1"/>
  <c r="J379" i="39" s="1"/>
  <c r="I379" i="39"/>
  <c r="H379" i="39"/>
  <c r="K378" i="39"/>
  <c r="J378" i="39" a="1"/>
  <c r="J378" i="39" s="1"/>
  <c r="I378" i="39"/>
  <c r="H378" i="39"/>
  <c r="K377" i="39"/>
  <c r="J377" i="39" a="1"/>
  <c r="J377" i="39" s="1"/>
  <c r="I377" i="39"/>
  <c r="H377" i="39"/>
  <c r="K376" i="39"/>
  <c r="J376" i="39" a="1"/>
  <c r="J376" i="39" s="1"/>
  <c r="I376" i="39"/>
  <c r="H376" i="39"/>
  <c r="K375" i="39"/>
  <c r="J375" i="39" a="1"/>
  <c r="J375" i="39" s="1"/>
  <c r="I375" i="39"/>
  <c r="H375" i="39"/>
  <c r="K374" i="39"/>
  <c r="J374" i="39" a="1"/>
  <c r="J374" i="39" s="1"/>
  <c r="I374" i="39"/>
  <c r="H374" i="39"/>
  <c r="K373" i="39"/>
  <c r="J373" i="39" a="1"/>
  <c r="J373" i="39" s="1"/>
  <c r="I373" i="39"/>
  <c r="H373" i="39"/>
  <c r="K372" i="39"/>
  <c r="J372" i="39" a="1"/>
  <c r="J372" i="39" s="1"/>
  <c r="I372" i="39"/>
  <c r="H372" i="39"/>
  <c r="K371" i="39"/>
  <c r="J371" i="39" a="1"/>
  <c r="J371" i="39" s="1"/>
  <c r="I371" i="39"/>
  <c r="H371" i="39"/>
  <c r="K370" i="39"/>
  <c r="J370" i="39" a="1"/>
  <c r="J370" i="39" s="1"/>
  <c r="I370" i="39"/>
  <c r="H370" i="39"/>
  <c r="K369" i="39"/>
  <c r="J369" i="39" a="1"/>
  <c r="J369" i="39" s="1"/>
  <c r="I369" i="39"/>
  <c r="H369" i="39"/>
  <c r="K368" i="39"/>
  <c r="J368" i="39" a="1"/>
  <c r="J368" i="39" s="1"/>
  <c r="I368" i="39"/>
  <c r="H368" i="39"/>
  <c r="K367" i="39"/>
  <c r="J367" i="39" a="1"/>
  <c r="J367" i="39" s="1"/>
  <c r="I367" i="39"/>
  <c r="H367" i="39"/>
  <c r="K366" i="39"/>
  <c r="J366" i="39" a="1"/>
  <c r="J366" i="39" s="1"/>
  <c r="I366" i="39"/>
  <c r="H366" i="39"/>
  <c r="K365" i="39"/>
  <c r="J365" i="39" a="1"/>
  <c r="J365" i="39" s="1"/>
  <c r="I365" i="39"/>
  <c r="H365" i="39"/>
  <c r="K364" i="39"/>
  <c r="J364" i="39" a="1"/>
  <c r="J364" i="39" s="1"/>
  <c r="I364" i="39"/>
  <c r="H364" i="39"/>
  <c r="K363" i="39"/>
  <c r="J363" i="39" a="1"/>
  <c r="J363" i="39" s="1"/>
  <c r="I363" i="39"/>
  <c r="H363" i="39"/>
  <c r="K362" i="39"/>
  <c r="J362" i="39" a="1"/>
  <c r="J362" i="39" s="1"/>
  <c r="I362" i="39"/>
  <c r="H362" i="39"/>
  <c r="K361" i="39"/>
  <c r="J361" i="39" a="1"/>
  <c r="J361" i="39" s="1"/>
  <c r="I361" i="39"/>
  <c r="H361" i="39"/>
  <c r="K360" i="39"/>
  <c r="J360" i="39" a="1"/>
  <c r="J360" i="39" s="1"/>
  <c r="I360" i="39"/>
  <c r="H360" i="39"/>
  <c r="K359" i="39"/>
  <c r="J359" i="39" a="1"/>
  <c r="J359" i="39" s="1"/>
  <c r="I359" i="39"/>
  <c r="H359" i="39"/>
  <c r="K358" i="39"/>
  <c r="J358" i="39" a="1"/>
  <c r="J358" i="39" s="1"/>
  <c r="I358" i="39"/>
  <c r="H358" i="39"/>
  <c r="K357" i="39"/>
  <c r="J357" i="39" a="1"/>
  <c r="J357" i="39" s="1"/>
  <c r="I357" i="39"/>
  <c r="H357" i="39"/>
  <c r="K356" i="39"/>
  <c r="J356" i="39" a="1"/>
  <c r="J356" i="39" s="1"/>
  <c r="I356" i="39"/>
  <c r="H356" i="39"/>
  <c r="K355" i="39"/>
  <c r="J355" i="39" a="1"/>
  <c r="J355" i="39" s="1"/>
  <c r="I355" i="39"/>
  <c r="H355" i="39"/>
  <c r="K354" i="39"/>
  <c r="J354" i="39" a="1"/>
  <c r="J354" i="39" s="1"/>
  <c r="I354" i="39"/>
  <c r="H354" i="39"/>
  <c r="K353" i="39"/>
  <c r="J353" i="39" a="1"/>
  <c r="J353" i="39" s="1"/>
  <c r="I353" i="39"/>
  <c r="H353" i="39"/>
  <c r="K352" i="39"/>
  <c r="J352" i="39" a="1"/>
  <c r="J352" i="39" s="1"/>
  <c r="I352" i="39"/>
  <c r="H352" i="39"/>
  <c r="K351" i="39"/>
  <c r="J351" i="39" a="1"/>
  <c r="J351" i="39" s="1"/>
  <c r="I351" i="39"/>
  <c r="H351" i="39"/>
  <c r="K350" i="39"/>
  <c r="J350" i="39" a="1"/>
  <c r="J350" i="39" s="1"/>
  <c r="I350" i="39"/>
  <c r="H350" i="39"/>
  <c r="K349" i="39"/>
  <c r="J349" i="39" a="1"/>
  <c r="J349" i="39" s="1"/>
  <c r="I349" i="39"/>
  <c r="H349" i="39"/>
  <c r="K348" i="39"/>
  <c r="J348" i="39" a="1"/>
  <c r="J348" i="39" s="1"/>
  <c r="I348" i="39"/>
  <c r="H348" i="39"/>
  <c r="K347" i="39"/>
  <c r="J347" i="39" a="1"/>
  <c r="J347" i="39" s="1"/>
  <c r="I347" i="39"/>
  <c r="H347" i="39"/>
  <c r="K346" i="39"/>
  <c r="J346" i="39" a="1"/>
  <c r="J346" i="39" s="1"/>
  <c r="I346" i="39"/>
  <c r="H346" i="39"/>
  <c r="K345" i="39"/>
  <c r="J345" i="39" a="1"/>
  <c r="J345" i="39" s="1"/>
  <c r="I345" i="39"/>
  <c r="H345" i="39"/>
  <c r="K344" i="39"/>
  <c r="J344" i="39" a="1"/>
  <c r="J344" i="39" s="1"/>
  <c r="I344" i="39"/>
  <c r="H344" i="39"/>
  <c r="K343" i="39"/>
  <c r="J343" i="39" a="1"/>
  <c r="J343" i="39" s="1"/>
  <c r="I343" i="39"/>
  <c r="H343" i="39"/>
  <c r="K342" i="39"/>
  <c r="J342" i="39" a="1"/>
  <c r="J342" i="39" s="1"/>
  <c r="I342" i="39"/>
  <c r="H342" i="39"/>
  <c r="K341" i="39"/>
  <c r="J341" i="39" a="1"/>
  <c r="J341" i="39" s="1"/>
  <c r="I341" i="39"/>
  <c r="H341" i="39"/>
  <c r="K340" i="39"/>
  <c r="J340" i="39" a="1"/>
  <c r="J340" i="39" s="1"/>
  <c r="I340" i="39"/>
  <c r="H340" i="39"/>
  <c r="K339" i="39"/>
  <c r="J339" i="39" a="1"/>
  <c r="J339" i="39" s="1"/>
  <c r="I339" i="39"/>
  <c r="H339" i="39"/>
  <c r="K338" i="39"/>
  <c r="J338" i="39" a="1"/>
  <c r="J338" i="39" s="1"/>
  <c r="I338" i="39"/>
  <c r="H338" i="39"/>
  <c r="K337" i="39"/>
  <c r="J337" i="39" a="1"/>
  <c r="J337" i="39" s="1"/>
  <c r="I337" i="39"/>
  <c r="H337" i="39"/>
  <c r="K336" i="39"/>
  <c r="J336" i="39" a="1"/>
  <c r="J336" i="39" s="1"/>
  <c r="I336" i="39"/>
  <c r="H336" i="39"/>
  <c r="K335" i="39"/>
  <c r="J335" i="39" a="1"/>
  <c r="J335" i="39" s="1"/>
  <c r="I335" i="39"/>
  <c r="H335" i="39"/>
  <c r="K334" i="39"/>
  <c r="J334" i="39" a="1"/>
  <c r="J334" i="39" s="1"/>
  <c r="I334" i="39"/>
  <c r="H334" i="39"/>
  <c r="K333" i="39"/>
  <c r="J333" i="39" a="1"/>
  <c r="J333" i="39" s="1"/>
  <c r="I333" i="39"/>
  <c r="H333" i="39"/>
  <c r="K332" i="39"/>
  <c r="J332" i="39" a="1"/>
  <c r="J332" i="39" s="1"/>
  <c r="I332" i="39"/>
  <c r="H332" i="39"/>
  <c r="K331" i="39"/>
  <c r="J331" i="39" a="1"/>
  <c r="J331" i="39" s="1"/>
  <c r="I331" i="39"/>
  <c r="H331" i="39"/>
  <c r="K330" i="39"/>
  <c r="J330" i="39" a="1"/>
  <c r="J330" i="39" s="1"/>
  <c r="I330" i="39"/>
  <c r="H330" i="39"/>
  <c r="K329" i="39"/>
  <c r="J329" i="39" a="1"/>
  <c r="J329" i="39" s="1"/>
  <c r="I329" i="39"/>
  <c r="H329" i="39"/>
  <c r="K328" i="39"/>
  <c r="J328" i="39" a="1"/>
  <c r="J328" i="39" s="1"/>
  <c r="I328" i="39"/>
  <c r="H328" i="39"/>
  <c r="K327" i="39"/>
  <c r="J327" i="39" a="1"/>
  <c r="J327" i="39" s="1"/>
  <c r="I327" i="39"/>
  <c r="H327" i="39"/>
  <c r="K326" i="39"/>
  <c r="J326" i="39" a="1"/>
  <c r="J326" i="39" s="1"/>
  <c r="I326" i="39"/>
  <c r="H326" i="39"/>
  <c r="K325" i="39"/>
  <c r="J325" i="39" a="1"/>
  <c r="J325" i="39" s="1"/>
  <c r="I325" i="39"/>
  <c r="H325" i="39"/>
  <c r="K324" i="39"/>
  <c r="J324" i="39" a="1"/>
  <c r="J324" i="39" s="1"/>
  <c r="I324" i="39"/>
  <c r="H324" i="39"/>
  <c r="K323" i="39"/>
  <c r="J323" i="39" a="1"/>
  <c r="J323" i="39" s="1"/>
  <c r="I323" i="39"/>
  <c r="H323" i="39"/>
  <c r="K322" i="39"/>
  <c r="J322" i="39" a="1"/>
  <c r="J322" i="39" s="1"/>
  <c r="I322" i="39"/>
  <c r="H322" i="39"/>
  <c r="K321" i="39"/>
  <c r="J321" i="39" a="1"/>
  <c r="J321" i="39" s="1"/>
  <c r="I321" i="39"/>
  <c r="H321" i="39"/>
  <c r="K320" i="39"/>
  <c r="J320" i="39" a="1"/>
  <c r="J320" i="39" s="1"/>
  <c r="I320" i="39"/>
  <c r="H320" i="39"/>
  <c r="K319" i="39"/>
  <c r="J319" i="39" a="1"/>
  <c r="J319" i="39" s="1"/>
  <c r="I319" i="39"/>
  <c r="H319" i="39"/>
  <c r="K318" i="39"/>
  <c r="J318" i="39" a="1"/>
  <c r="J318" i="39" s="1"/>
  <c r="I318" i="39"/>
  <c r="H318" i="39"/>
  <c r="K317" i="39"/>
  <c r="J317" i="39" a="1"/>
  <c r="J317" i="39" s="1"/>
  <c r="I317" i="39"/>
  <c r="H317" i="39"/>
  <c r="K316" i="39"/>
  <c r="J316" i="39" a="1"/>
  <c r="J316" i="39" s="1"/>
  <c r="I316" i="39"/>
  <c r="H316" i="39"/>
  <c r="K315" i="39"/>
  <c r="J315" i="39" a="1"/>
  <c r="J315" i="39" s="1"/>
  <c r="I315" i="39"/>
  <c r="H315" i="39"/>
  <c r="K314" i="39"/>
  <c r="J314" i="39" a="1"/>
  <c r="J314" i="39" s="1"/>
  <c r="I314" i="39"/>
  <c r="H314" i="39"/>
  <c r="K313" i="39"/>
  <c r="J313" i="39" a="1"/>
  <c r="J313" i="39" s="1"/>
  <c r="I313" i="39"/>
  <c r="H313" i="39"/>
  <c r="K312" i="39"/>
  <c r="J312" i="39" a="1"/>
  <c r="J312" i="39" s="1"/>
  <c r="I312" i="39"/>
  <c r="H312" i="39"/>
  <c r="K311" i="39"/>
  <c r="J311" i="39" a="1"/>
  <c r="J311" i="39" s="1"/>
  <c r="I311" i="39"/>
  <c r="H311" i="39"/>
  <c r="K310" i="39"/>
  <c r="J310" i="39" a="1"/>
  <c r="J310" i="39" s="1"/>
  <c r="I310" i="39"/>
  <c r="H310" i="39"/>
  <c r="K309" i="39"/>
  <c r="J309" i="39" a="1"/>
  <c r="J309" i="39" s="1"/>
  <c r="I309" i="39"/>
  <c r="H309" i="39"/>
  <c r="K308" i="39"/>
  <c r="J308" i="39" a="1"/>
  <c r="J308" i="39" s="1"/>
  <c r="I308" i="39"/>
  <c r="H308" i="39"/>
  <c r="K307" i="39"/>
  <c r="J307" i="39" a="1"/>
  <c r="J307" i="39" s="1"/>
  <c r="I307" i="39"/>
  <c r="H307" i="39"/>
  <c r="K306" i="39"/>
  <c r="J306" i="39" a="1"/>
  <c r="J306" i="39" s="1"/>
  <c r="I306" i="39"/>
  <c r="H306" i="39"/>
  <c r="K305" i="39"/>
  <c r="J305" i="39" a="1"/>
  <c r="J305" i="39" s="1"/>
  <c r="I305" i="39"/>
  <c r="H305" i="39"/>
  <c r="K304" i="39"/>
  <c r="J304" i="39" a="1"/>
  <c r="J304" i="39" s="1"/>
  <c r="I304" i="39"/>
  <c r="H304" i="39"/>
  <c r="K303" i="39"/>
  <c r="J303" i="39" a="1"/>
  <c r="J303" i="39" s="1"/>
  <c r="I303" i="39"/>
  <c r="H303" i="39"/>
  <c r="K302" i="39"/>
  <c r="J302" i="39" a="1"/>
  <c r="J302" i="39" s="1"/>
  <c r="I302" i="39"/>
  <c r="H302" i="39"/>
  <c r="K301" i="39"/>
  <c r="J301" i="39" a="1"/>
  <c r="J301" i="39" s="1"/>
  <c r="I301" i="39"/>
  <c r="H301" i="39"/>
  <c r="K300" i="39"/>
  <c r="J300" i="39" a="1"/>
  <c r="J300" i="39" s="1"/>
  <c r="I300" i="39"/>
  <c r="H300" i="39"/>
  <c r="K299" i="39"/>
  <c r="J299" i="39" a="1"/>
  <c r="J299" i="39" s="1"/>
  <c r="I299" i="39"/>
  <c r="H299" i="39"/>
  <c r="K298" i="39"/>
  <c r="J298" i="39" a="1"/>
  <c r="J298" i="39" s="1"/>
  <c r="I298" i="39"/>
  <c r="H298" i="39"/>
  <c r="K297" i="39"/>
  <c r="J297" i="39" a="1"/>
  <c r="J297" i="39" s="1"/>
  <c r="I297" i="39"/>
  <c r="H297" i="39"/>
  <c r="K296" i="39"/>
  <c r="J296" i="39" a="1"/>
  <c r="J296" i="39" s="1"/>
  <c r="I296" i="39"/>
  <c r="H296" i="39"/>
  <c r="K295" i="39"/>
  <c r="J295" i="39" a="1"/>
  <c r="J295" i="39" s="1"/>
  <c r="I295" i="39"/>
  <c r="H295" i="39"/>
  <c r="K294" i="39"/>
  <c r="J294" i="39" a="1"/>
  <c r="J294" i="39" s="1"/>
  <c r="I294" i="39"/>
  <c r="H294" i="39"/>
  <c r="K293" i="39"/>
  <c r="J293" i="39" a="1"/>
  <c r="J293" i="39" s="1"/>
  <c r="I293" i="39"/>
  <c r="H293" i="39"/>
  <c r="K292" i="39"/>
  <c r="J292" i="39" a="1"/>
  <c r="J292" i="39" s="1"/>
  <c r="I292" i="39"/>
  <c r="H292" i="39"/>
  <c r="K291" i="39"/>
  <c r="J291" i="39" a="1"/>
  <c r="J291" i="39" s="1"/>
  <c r="I291" i="39"/>
  <c r="H291" i="39"/>
  <c r="K290" i="39"/>
  <c r="J290" i="39" a="1"/>
  <c r="J290" i="39" s="1"/>
  <c r="I290" i="39"/>
  <c r="H290" i="39"/>
  <c r="K289" i="39"/>
  <c r="J289" i="39" a="1"/>
  <c r="J289" i="39" s="1"/>
  <c r="I289" i="39"/>
  <c r="H289" i="39"/>
  <c r="K288" i="39"/>
  <c r="J288" i="39" a="1"/>
  <c r="J288" i="39" s="1"/>
  <c r="I288" i="39"/>
  <c r="H288" i="39"/>
  <c r="K287" i="39"/>
  <c r="J287" i="39" a="1"/>
  <c r="J287" i="39" s="1"/>
  <c r="I287" i="39"/>
  <c r="H287" i="39"/>
  <c r="K286" i="39"/>
  <c r="J286" i="39" a="1"/>
  <c r="J286" i="39" s="1"/>
  <c r="I286" i="39"/>
  <c r="H286" i="39"/>
  <c r="K285" i="39"/>
  <c r="J285" i="39" a="1"/>
  <c r="J285" i="39" s="1"/>
  <c r="I285" i="39"/>
  <c r="H285" i="39"/>
  <c r="K284" i="39"/>
  <c r="J284" i="39" a="1"/>
  <c r="J284" i="39" s="1"/>
  <c r="I284" i="39"/>
  <c r="H284" i="39"/>
  <c r="K283" i="39"/>
  <c r="J283" i="39" a="1"/>
  <c r="J283" i="39" s="1"/>
  <c r="I283" i="39"/>
  <c r="H283" i="39"/>
  <c r="K282" i="39"/>
  <c r="J282" i="39" a="1"/>
  <c r="J282" i="39" s="1"/>
  <c r="I282" i="39"/>
  <c r="H282" i="39"/>
  <c r="K281" i="39"/>
  <c r="J281" i="39" a="1"/>
  <c r="J281" i="39" s="1"/>
  <c r="I281" i="39"/>
  <c r="H281" i="39"/>
  <c r="K280" i="39"/>
  <c r="J280" i="39" a="1"/>
  <c r="J280" i="39" s="1"/>
  <c r="I280" i="39"/>
  <c r="H280" i="39"/>
  <c r="K279" i="39"/>
  <c r="J279" i="39" a="1"/>
  <c r="J279" i="39" s="1"/>
  <c r="I279" i="39"/>
  <c r="H279" i="39"/>
  <c r="K278" i="39"/>
  <c r="J278" i="39" a="1"/>
  <c r="J278" i="39" s="1"/>
  <c r="I278" i="39"/>
  <c r="H278" i="39"/>
  <c r="K277" i="39"/>
  <c r="J277" i="39" a="1"/>
  <c r="J277" i="39" s="1"/>
  <c r="I277" i="39"/>
  <c r="H277" i="39"/>
  <c r="K276" i="39"/>
  <c r="J276" i="39" a="1"/>
  <c r="J276" i="39" s="1"/>
  <c r="I276" i="39"/>
  <c r="H276" i="39"/>
  <c r="K275" i="39"/>
  <c r="J275" i="39" a="1"/>
  <c r="J275" i="39" s="1"/>
  <c r="I275" i="39"/>
  <c r="H275" i="39"/>
  <c r="K274" i="39"/>
  <c r="J274" i="39" a="1"/>
  <c r="J274" i="39" s="1"/>
  <c r="I274" i="39"/>
  <c r="H274" i="39"/>
  <c r="K273" i="39"/>
  <c r="J273" i="39" a="1"/>
  <c r="J273" i="39" s="1"/>
  <c r="I273" i="39"/>
  <c r="H273" i="39"/>
  <c r="K272" i="39"/>
  <c r="J272" i="39" a="1"/>
  <c r="J272" i="39" s="1"/>
  <c r="I272" i="39"/>
  <c r="H272" i="39"/>
  <c r="K271" i="39"/>
  <c r="J271" i="39" a="1"/>
  <c r="J271" i="39" s="1"/>
  <c r="I271" i="39"/>
  <c r="H271" i="39"/>
  <c r="K270" i="39"/>
  <c r="J270" i="39" a="1"/>
  <c r="J270" i="39" s="1"/>
  <c r="I270" i="39"/>
  <c r="H270" i="39"/>
  <c r="K269" i="39"/>
  <c r="J269" i="39" a="1"/>
  <c r="J269" i="39" s="1"/>
  <c r="I269" i="39"/>
  <c r="H269" i="39"/>
  <c r="K268" i="39"/>
  <c r="J268" i="39" a="1"/>
  <c r="J268" i="39" s="1"/>
  <c r="I268" i="39"/>
  <c r="H268" i="39"/>
  <c r="K267" i="39"/>
  <c r="J267" i="39" a="1"/>
  <c r="J267" i="39" s="1"/>
  <c r="I267" i="39"/>
  <c r="H267" i="39"/>
  <c r="K266" i="39"/>
  <c r="J266" i="39" a="1"/>
  <c r="J266" i="39" s="1"/>
  <c r="I266" i="39"/>
  <c r="H266" i="39"/>
  <c r="K265" i="39"/>
  <c r="J265" i="39" a="1"/>
  <c r="J265" i="39" s="1"/>
  <c r="I265" i="39"/>
  <c r="H265" i="39"/>
  <c r="K264" i="39"/>
  <c r="J264" i="39" a="1"/>
  <c r="J264" i="39" s="1"/>
  <c r="I264" i="39"/>
  <c r="H264" i="39"/>
  <c r="K263" i="39"/>
  <c r="J263" i="39" a="1"/>
  <c r="J263" i="39" s="1"/>
  <c r="I263" i="39"/>
  <c r="H263" i="39"/>
  <c r="K262" i="39"/>
  <c r="J262" i="39" a="1"/>
  <c r="J262" i="39" s="1"/>
  <c r="I262" i="39"/>
  <c r="H262" i="39"/>
  <c r="K261" i="39"/>
  <c r="J261" i="39" a="1"/>
  <c r="J261" i="39" s="1"/>
  <c r="I261" i="39"/>
  <c r="H261" i="39"/>
  <c r="K260" i="39"/>
  <c r="J260" i="39" a="1"/>
  <c r="J260" i="39" s="1"/>
  <c r="I260" i="39"/>
  <c r="H260" i="39"/>
  <c r="K259" i="39"/>
  <c r="J259" i="39" a="1"/>
  <c r="J259" i="39" s="1"/>
  <c r="I259" i="39"/>
  <c r="H259" i="39"/>
  <c r="K258" i="39"/>
  <c r="J258" i="39" a="1"/>
  <c r="J258" i="39" s="1"/>
  <c r="I258" i="39"/>
  <c r="H258" i="39"/>
  <c r="K257" i="39"/>
  <c r="J257" i="39" a="1"/>
  <c r="J257" i="39" s="1"/>
  <c r="I257" i="39"/>
  <c r="H257" i="39"/>
  <c r="K256" i="39"/>
  <c r="J256" i="39" a="1"/>
  <c r="J256" i="39" s="1"/>
  <c r="I256" i="39"/>
  <c r="H256" i="39"/>
  <c r="K255" i="39"/>
  <c r="J255" i="39" a="1"/>
  <c r="J255" i="39" s="1"/>
  <c r="I255" i="39"/>
  <c r="H255" i="39"/>
  <c r="K254" i="39"/>
  <c r="J254" i="39" a="1"/>
  <c r="J254" i="39" s="1"/>
  <c r="I254" i="39"/>
  <c r="H254" i="39"/>
  <c r="K253" i="39"/>
  <c r="J253" i="39" a="1"/>
  <c r="J253" i="39" s="1"/>
  <c r="I253" i="39"/>
  <c r="H253" i="39"/>
  <c r="K252" i="39"/>
  <c r="J252" i="39" a="1"/>
  <c r="J252" i="39" s="1"/>
  <c r="I252" i="39"/>
  <c r="H252" i="39"/>
  <c r="K251" i="39"/>
  <c r="J251" i="39" a="1"/>
  <c r="J251" i="39" s="1"/>
  <c r="I251" i="39"/>
  <c r="H251" i="39"/>
  <c r="K250" i="39"/>
  <c r="J250" i="39" a="1"/>
  <c r="J250" i="39" s="1"/>
  <c r="I250" i="39"/>
  <c r="H250" i="39"/>
  <c r="K249" i="39"/>
  <c r="J249" i="39"/>
  <c r="J249" i="39" a="1"/>
  <c r="I249" i="39"/>
  <c r="H249" i="39"/>
  <c r="K248" i="39"/>
  <c r="J248" i="39" a="1"/>
  <c r="J248" i="39" s="1"/>
  <c r="I248" i="39"/>
  <c r="H248" i="39"/>
  <c r="K247" i="39"/>
  <c r="J247" i="39" a="1"/>
  <c r="J247" i="39" s="1"/>
  <c r="I247" i="39"/>
  <c r="H247" i="39"/>
  <c r="K246" i="39"/>
  <c r="J246" i="39" a="1"/>
  <c r="J246" i="39" s="1"/>
  <c r="I246" i="39"/>
  <c r="H246" i="39"/>
  <c r="K245" i="39"/>
  <c r="J245" i="39" a="1"/>
  <c r="J245" i="39" s="1"/>
  <c r="I245" i="39"/>
  <c r="H245" i="39"/>
  <c r="K244" i="39"/>
  <c r="J244" i="39" a="1"/>
  <c r="J244" i="39" s="1"/>
  <c r="I244" i="39"/>
  <c r="H244" i="39"/>
  <c r="K243" i="39"/>
  <c r="J243" i="39" a="1"/>
  <c r="J243" i="39" s="1"/>
  <c r="I243" i="39"/>
  <c r="H243" i="39"/>
  <c r="K242" i="39"/>
  <c r="J242" i="39" a="1"/>
  <c r="J242" i="39" s="1"/>
  <c r="I242" i="39"/>
  <c r="H242" i="39"/>
  <c r="K241" i="39"/>
  <c r="J241" i="39" a="1"/>
  <c r="J241" i="39" s="1"/>
  <c r="I241" i="39"/>
  <c r="H241" i="39"/>
  <c r="K240" i="39"/>
  <c r="J240" i="39" a="1"/>
  <c r="J240" i="39" s="1"/>
  <c r="I240" i="39"/>
  <c r="H240" i="39"/>
  <c r="K239" i="39"/>
  <c r="J239" i="39" a="1"/>
  <c r="J239" i="39" s="1"/>
  <c r="I239" i="39"/>
  <c r="H239" i="39"/>
  <c r="K238" i="39"/>
  <c r="J238" i="39" a="1"/>
  <c r="J238" i="39" s="1"/>
  <c r="I238" i="39"/>
  <c r="H238" i="39"/>
  <c r="K237" i="39"/>
  <c r="J237" i="39" a="1"/>
  <c r="J237" i="39" s="1"/>
  <c r="I237" i="39"/>
  <c r="H237" i="39"/>
  <c r="K236" i="39"/>
  <c r="J236" i="39" a="1"/>
  <c r="J236" i="39" s="1"/>
  <c r="I236" i="39"/>
  <c r="H236" i="39"/>
  <c r="K235" i="39"/>
  <c r="J235" i="39" a="1"/>
  <c r="J235" i="39" s="1"/>
  <c r="I235" i="39"/>
  <c r="H235" i="39"/>
  <c r="K234" i="39"/>
  <c r="J234" i="39" a="1"/>
  <c r="J234" i="39" s="1"/>
  <c r="I234" i="39"/>
  <c r="H234" i="39"/>
  <c r="K233" i="39"/>
  <c r="J233" i="39" a="1"/>
  <c r="J233" i="39" s="1"/>
  <c r="I233" i="39"/>
  <c r="H233" i="39"/>
  <c r="K232" i="39"/>
  <c r="J232" i="39" a="1"/>
  <c r="J232" i="39" s="1"/>
  <c r="I232" i="39"/>
  <c r="H232" i="39"/>
  <c r="K231" i="39"/>
  <c r="J231" i="39" a="1"/>
  <c r="J231" i="39" s="1"/>
  <c r="I231" i="39"/>
  <c r="H231" i="39"/>
  <c r="K230" i="39"/>
  <c r="J230" i="39" a="1"/>
  <c r="J230" i="39" s="1"/>
  <c r="I230" i="39"/>
  <c r="H230" i="39"/>
  <c r="K229" i="39"/>
  <c r="J229" i="39" a="1"/>
  <c r="J229" i="39" s="1"/>
  <c r="I229" i="39"/>
  <c r="H229" i="39"/>
  <c r="K228" i="39"/>
  <c r="J228" i="39" a="1"/>
  <c r="J228" i="39" s="1"/>
  <c r="I228" i="39"/>
  <c r="H228" i="39"/>
  <c r="K227" i="39"/>
  <c r="J227" i="39" a="1"/>
  <c r="J227" i="39" s="1"/>
  <c r="I227" i="39"/>
  <c r="H227" i="39"/>
  <c r="K226" i="39"/>
  <c r="J226" i="39" a="1"/>
  <c r="J226" i="39" s="1"/>
  <c r="I226" i="39"/>
  <c r="H226" i="39"/>
  <c r="K225" i="39"/>
  <c r="J225" i="39" a="1"/>
  <c r="J225" i="39" s="1"/>
  <c r="I225" i="39"/>
  <c r="H225" i="39"/>
  <c r="K224" i="39"/>
  <c r="J224" i="39" a="1"/>
  <c r="J224" i="39" s="1"/>
  <c r="I224" i="39"/>
  <c r="H224" i="39"/>
  <c r="K223" i="39"/>
  <c r="J223" i="39" a="1"/>
  <c r="J223" i="39" s="1"/>
  <c r="I223" i="39"/>
  <c r="H223" i="39"/>
  <c r="K222" i="39"/>
  <c r="J222" i="39"/>
  <c r="J222" i="39" a="1"/>
  <c r="I222" i="39"/>
  <c r="H222" i="39"/>
  <c r="K221" i="39"/>
  <c r="J221" i="39" a="1"/>
  <c r="J221" i="39" s="1"/>
  <c r="I221" i="39"/>
  <c r="H221" i="39"/>
  <c r="K220" i="39"/>
  <c r="J220" i="39" a="1"/>
  <c r="J220" i="39" s="1"/>
  <c r="I220" i="39"/>
  <c r="H220" i="39"/>
  <c r="K219" i="39"/>
  <c r="J219" i="39" a="1"/>
  <c r="J219" i="39" s="1"/>
  <c r="I219" i="39"/>
  <c r="H219" i="39"/>
  <c r="K218" i="39"/>
  <c r="J218" i="39" a="1"/>
  <c r="J218" i="39" s="1"/>
  <c r="I218" i="39"/>
  <c r="H218" i="39"/>
  <c r="K217" i="39"/>
  <c r="J217" i="39" a="1"/>
  <c r="J217" i="39" s="1"/>
  <c r="I217" i="39"/>
  <c r="H217" i="39"/>
  <c r="K216" i="39"/>
  <c r="J216" i="39" a="1"/>
  <c r="J216" i="39" s="1"/>
  <c r="I216" i="39"/>
  <c r="H216" i="39"/>
  <c r="K215" i="39"/>
  <c r="J215" i="39" a="1"/>
  <c r="J215" i="39" s="1"/>
  <c r="I215" i="39"/>
  <c r="H215" i="39"/>
  <c r="K214" i="39"/>
  <c r="J214" i="39" a="1"/>
  <c r="J214" i="39" s="1"/>
  <c r="I214" i="39"/>
  <c r="H214" i="39"/>
  <c r="K213" i="39"/>
  <c r="J213" i="39" a="1"/>
  <c r="J213" i="39" s="1"/>
  <c r="I213" i="39"/>
  <c r="H213" i="39"/>
  <c r="K212" i="39"/>
  <c r="J212" i="39" a="1"/>
  <c r="J212" i="39" s="1"/>
  <c r="I212" i="39"/>
  <c r="H212" i="39"/>
  <c r="K211" i="39"/>
  <c r="J211" i="39" a="1"/>
  <c r="J211" i="39" s="1"/>
  <c r="I211" i="39"/>
  <c r="H211" i="39"/>
  <c r="K210" i="39"/>
  <c r="J210" i="39" a="1"/>
  <c r="J210" i="39" s="1"/>
  <c r="I210" i="39"/>
  <c r="H210" i="39"/>
  <c r="K209" i="39"/>
  <c r="J209" i="39" a="1"/>
  <c r="J209" i="39" s="1"/>
  <c r="I209" i="39"/>
  <c r="H209" i="39"/>
  <c r="K208" i="39"/>
  <c r="J208" i="39" a="1"/>
  <c r="J208" i="39" s="1"/>
  <c r="I208" i="39"/>
  <c r="H208" i="39"/>
  <c r="K207" i="39"/>
  <c r="J207" i="39" a="1"/>
  <c r="J207" i="39" s="1"/>
  <c r="I207" i="39"/>
  <c r="H207" i="39"/>
  <c r="K206" i="39"/>
  <c r="J206" i="39" a="1"/>
  <c r="J206" i="39" s="1"/>
  <c r="I206" i="39"/>
  <c r="H206" i="39"/>
  <c r="K205" i="39"/>
  <c r="J205" i="39" a="1"/>
  <c r="J205" i="39" s="1"/>
  <c r="I205" i="39"/>
  <c r="H205" i="39"/>
  <c r="K204" i="39"/>
  <c r="J204" i="39" a="1"/>
  <c r="J204" i="39" s="1"/>
  <c r="I204" i="39"/>
  <c r="H204" i="39"/>
  <c r="K203" i="39"/>
  <c r="J203" i="39" a="1"/>
  <c r="J203" i="39" s="1"/>
  <c r="I203" i="39"/>
  <c r="H203" i="39"/>
  <c r="K202" i="39"/>
  <c r="J202" i="39" a="1"/>
  <c r="J202" i="39" s="1"/>
  <c r="I202" i="39"/>
  <c r="H202" i="39"/>
  <c r="K201" i="39"/>
  <c r="J201" i="39" a="1"/>
  <c r="J201" i="39" s="1"/>
  <c r="I201" i="39"/>
  <c r="H201" i="39"/>
  <c r="K200" i="39"/>
  <c r="J200" i="39" a="1"/>
  <c r="J200" i="39" s="1"/>
  <c r="I200" i="39"/>
  <c r="H200" i="39"/>
  <c r="K199" i="39"/>
  <c r="J199" i="39" a="1"/>
  <c r="J199" i="39" s="1"/>
  <c r="I199" i="39"/>
  <c r="H199" i="39"/>
  <c r="K198" i="39"/>
  <c r="J198" i="39" a="1"/>
  <c r="J198" i="39" s="1"/>
  <c r="I198" i="39"/>
  <c r="H198" i="39"/>
  <c r="K197" i="39"/>
  <c r="J197" i="39" a="1"/>
  <c r="J197" i="39" s="1"/>
  <c r="I197" i="39"/>
  <c r="H197" i="39"/>
  <c r="K196" i="39"/>
  <c r="J196" i="39" a="1"/>
  <c r="J196" i="39" s="1"/>
  <c r="I196" i="39"/>
  <c r="H196" i="39"/>
  <c r="K195" i="39"/>
  <c r="J195" i="39" a="1"/>
  <c r="J195" i="39" s="1"/>
  <c r="I195" i="39"/>
  <c r="H195" i="39"/>
  <c r="K194" i="39"/>
  <c r="J194" i="39" a="1"/>
  <c r="J194" i="39" s="1"/>
  <c r="I194" i="39"/>
  <c r="H194" i="39"/>
  <c r="K193" i="39"/>
  <c r="J193" i="39" a="1"/>
  <c r="J193" i="39" s="1"/>
  <c r="I193" i="39"/>
  <c r="H193" i="39"/>
  <c r="K192" i="39"/>
  <c r="J192" i="39" a="1"/>
  <c r="J192" i="39" s="1"/>
  <c r="I192" i="39"/>
  <c r="H192" i="39"/>
  <c r="K191" i="39"/>
  <c r="J191" i="39" a="1"/>
  <c r="J191" i="39" s="1"/>
  <c r="I191" i="39"/>
  <c r="H191" i="39"/>
  <c r="K190" i="39"/>
  <c r="J190" i="39" a="1"/>
  <c r="J190" i="39" s="1"/>
  <c r="I190" i="39"/>
  <c r="H190" i="39"/>
  <c r="K189" i="39"/>
  <c r="J189" i="39" a="1"/>
  <c r="J189" i="39" s="1"/>
  <c r="I189" i="39"/>
  <c r="H189" i="39"/>
  <c r="K188" i="39"/>
  <c r="J188" i="39" a="1"/>
  <c r="J188" i="39" s="1"/>
  <c r="I188" i="39"/>
  <c r="H188" i="39"/>
  <c r="K187" i="39"/>
  <c r="J187" i="39" a="1"/>
  <c r="J187" i="39" s="1"/>
  <c r="I187" i="39"/>
  <c r="H187" i="39"/>
  <c r="K186" i="39"/>
  <c r="J186" i="39" a="1"/>
  <c r="J186" i="39" s="1"/>
  <c r="I186" i="39"/>
  <c r="H186" i="39"/>
  <c r="K185" i="39"/>
  <c r="J185" i="39" a="1"/>
  <c r="J185" i="39" s="1"/>
  <c r="I185" i="39"/>
  <c r="H185" i="39"/>
  <c r="K184" i="39"/>
  <c r="J184" i="39" a="1"/>
  <c r="J184" i="39" s="1"/>
  <c r="I184" i="39"/>
  <c r="H184" i="39"/>
  <c r="K183" i="39"/>
  <c r="J183" i="39" a="1"/>
  <c r="J183" i="39" s="1"/>
  <c r="I183" i="39"/>
  <c r="H183" i="39"/>
  <c r="K182" i="39"/>
  <c r="J182" i="39" a="1"/>
  <c r="J182" i="39" s="1"/>
  <c r="I182" i="39"/>
  <c r="H182" i="39"/>
  <c r="K181" i="39"/>
  <c r="J181" i="39" a="1"/>
  <c r="J181" i="39" s="1"/>
  <c r="I181" i="39"/>
  <c r="H181" i="39"/>
  <c r="K180" i="39"/>
  <c r="J180" i="39" a="1"/>
  <c r="J180" i="39" s="1"/>
  <c r="I180" i="39"/>
  <c r="H180" i="39"/>
  <c r="K179" i="39"/>
  <c r="J179" i="39" a="1"/>
  <c r="J179" i="39" s="1"/>
  <c r="I179" i="39"/>
  <c r="H179" i="39"/>
  <c r="K178" i="39"/>
  <c r="J178" i="39" a="1"/>
  <c r="J178" i="39" s="1"/>
  <c r="I178" i="39"/>
  <c r="H178" i="39"/>
  <c r="K177" i="39"/>
  <c r="J177" i="39" a="1"/>
  <c r="J177" i="39" s="1"/>
  <c r="I177" i="39"/>
  <c r="H177" i="39"/>
  <c r="K176" i="39"/>
  <c r="J176" i="39" a="1"/>
  <c r="J176" i="39" s="1"/>
  <c r="I176" i="39"/>
  <c r="H176" i="39"/>
  <c r="K175" i="39"/>
  <c r="J175" i="39" a="1"/>
  <c r="J175" i="39" s="1"/>
  <c r="I175" i="39"/>
  <c r="H175" i="39"/>
  <c r="K174" i="39"/>
  <c r="J174" i="39" a="1"/>
  <c r="J174" i="39" s="1"/>
  <c r="I174" i="39"/>
  <c r="H174" i="39"/>
  <c r="K173" i="39"/>
  <c r="J173" i="39" a="1"/>
  <c r="J173" i="39" s="1"/>
  <c r="I173" i="39"/>
  <c r="H173" i="39"/>
  <c r="K172" i="39"/>
  <c r="J172" i="39" a="1"/>
  <c r="J172" i="39" s="1"/>
  <c r="I172" i="39"/>
  <c r="H172" i="39"/>
  <c r="K171" i="39"/>
  <c r="J171" i="39" a="1"/>
  <c r="J171" i="39" s="1"/>
  <c r="I171" i="39"/>
  <c r="H171" i="39"/>
  <c r="K170" i="39"/>
  <c r="J170" i="39" a="1"/>
  <c r="J170" i="39" s="1"/>
  <c r="I170" i="39"/>
  <c r="H170" i="39"/>
  <c r="K169" i="39"/>
  <c r="J169" i="39" a="1"/>
  <c r="J169" i="39" s="1"/>
  <c r="I169" i="39"/>
  <c r="H169" i="39"/>
  <c r="K168" i="39"/>
  <c r="J168" i="39" a="1"/>
  <c r="J168" i="39" s="1"/>
  <c r="I168" i="39"/>
  <c r="H168" i="39"/>
  <c r="K167" i="39"/>
  <c r="J167" i="39" a="1"/>
  <c r="J167" i="39" s="1"/>
  <c r="I167" i="39"/>
  <c r="H167" i="39"/>
  <c r="K166" i="39"/>
  <c r="J166" i="39" a="1"/>
  <c r="J166" i="39" s="1"/>
  <c r="I166" i="39"/>
  <c r="H166" i="39"/>
  <c r="K165" i="39"/>
  <c r="J165" i="39" a="1"/>
  <c r="J165" i="39" s="1"/>
  <c r="I165" i="39"/>
  <c r="H165" i="39"/>
  <c r="K164" i="39"/>
  <c r="J164" i="39" a="1"/>
  <c r="J164" i="39" s="1"/>
  <c r="I164" i="39"/>
  <c r="H164" i="39"/>
  <c r="K163" i="39"/>
  <c r="J163" i="39" a="1"/>
  <c r="J163" i="39" s="1"/>
  <c r="I163" i="39"/>
  <c r="H163" i="39"/>
  <c r="K162" i="39"/>
  <c r="J162" i="39" a="1"/>
  <c r="J162" i="39" s="1"/>
  <c r="I162" i="39"/>
  <c r="H162" i="39"/>
  <c r="K161" i="39"/>
  <c r="J161" i="39" a="1"/>
  <c r="J161" i="39" s="1"/>
  <c r="I161" i="39"/>
  <c r="H161" i="39"/>
  <c r="K160" i="39"/>
  <c r="J160" i="39" a="1"/>
  <c r="J160" i="39" s="1"/>
  <c r="I160" i="39"/>
  <c r="H160" i="39"/>
  <c r="K159" i="39"/>
  <c r="J159" i="39" a="1"/>
  <c r="J159" i="39" s="1"/>
  <c r="I159" i="39"/>
  <c r="H159" i="39"/>
  <c r="K158" i="39"/>
  <c r="J158" i="39" a="1"/>
  <c r="J158" i="39" s="1"/>
  <c r="I158" i="39"/>
  <c r="H158" i="39"/>
  <c r="K157" i="39"/>
  <c r="J157" i="39" a="1"/>
  <c r="J157" i="39" s="1"/>
  <c r="I157" i="39"/>
  <c r="H157" i="39"/>
  <c r="K156" i="39"/>
  <c r="J156" i="39" a="1"/>
  <c r="J156" i="39" s="1"/>
  <c r="I156" i="39"/>
  <c r="H156" i="39"/>
  <c r="K155" i="39"/>
  <c r="J155" i="39" a="1"/>
  <c r="J155" i="39" s="1"/>
  <c r="I155" i="39"/>
  <c r="H155" i="39"/>
  <c r="K154" i="39"/>
  <c r="J154" i="39" a="1"/>
  <c r="J154" i="39" s="1"/>
  <c r="I154" i="39"/>
  <c r="H154" i="39"/>
  <c r="K153" i="39"/>
  <c r="J153" i="39" a="1"/>
  <c r="J153" i="39" s="1"/>
  <c r="I153" i="39"/>
  <c r="H153" i="39"/>
  <c r="K152" i="39"/>
  <c r="J152" i="39" a="1"/>
  <c r="J152" i="39" s="1"/>
  <c r="I152" i="39"/>
  <c r="H152" i="39"/>
  <c r="K151" i="39"/>
  <c r="J151" i="39" a="1"/>
  <c r="J151" i="39" s="1"/>
  <c r="I151" i="39"/>
  <c r="H151" i="39"/>
  <c r="K150" i="39"/>
  <c r="J150" i="39" a="1"/>
  <c r="J150" i="39" s="1"/>
  <c r="I150" i="39"/>
  <c r="H150" i="39"/>
  <c r="K149" i="39"/>
  <c r="J149" i="39" a="1"/>
  <c r="J149" i="39" s="1"/>
  <c r="I149" i="39"/>
  <c r="H149" i="39"/>
  <c r="K148" i="39"/>
  <c r="J148" i="39" a="1"/>
  <c r="J148" i="39" s="1"/>
  <c r="I148" i="39"/>
  <c r="H148" i="39"/>
  <c r="K147" i="39"/>
  <c r="J147" i="39" a="1"/>
  <c r="J147" i="39" s="1"/>
  <c r="I147" i="39"/>
  <c r="H147" i="39"/>
  <c r="K146" i="39"/>
  <c r="J146" i="39" a="1"/>
  <c r="J146" i="39" s="1"/>
  <c r="I146" i="39"/>
  <c r="H146" i="39"/>
  <c r="K145" i="39"/>
  <c r="J145" i="39" a="1"/>
  <c r="J145" i="39" s="1"/>
  <c r="I145" i="39"/>
  <c r="H145" i="39"/>
  <c r="K144" i="39"/>
  <c r="J144" i="39" a="1"/>
  <c r="J144" i="39" s="1"/>
  <c r="I144" i="39"/>
  <c r="H144" i="39"/>
  <c r="K143" i="39"/>
  <c r="J143" i="39" a="1"/>
  <c r="J143" i="39" s="1"/>
  <c r="I143" i="39"/>
  <c r="H143" i="39"/>
  <c r="K142" i="39"/>
  <c r="J142" i="39" a="1"/>
  <c r="J142" i="39" s="1"/>
  <c r="I142" i="39"/>
  <c r="H142" i="39"/>
  <c r="K141" i="39"/>
  <c r="J141" i="39" a="1"/>
  <c r="J141" i="39" s="1"/>
  <c r="I141" i="39"/>
  <c r="H141" i="39"/>
  <c r="K140" i="39"/>
  <c r="J140" i="39" a="1"/>
  <c r="J140" i="39" s="1"/>
  <c r="I140" i="39"/>
  <c r="H140" i="39"/>
  <c r="K139" i="39"/>
  <c r="J139" i="39" a="1"/>
  <c r="J139" i="39" s="1"/>
  <c r="I139" i="39"/>
  <c r="H139" i="39"/>
  <c r="K138" i="39"/>
  <c r="J138" i="39" a="1"/>
  <c r="J138" i="39" s="1"/>
  <c r="I138" i="39"/>
  <c r="H138" i="39"/>
  <c r="K137" i="39"/>
  <c r="J137" i="39" a="1"/>
  <c r="J137" i="39" s="1"/>
  <c r="I137" i="39"/>
  <c r="H137" i="39"/>
  <c r="K136" i="39"/>
  <c r="J136" i="39" a="1"/>
  <c r="J136" i="39" s="1"/>
  <c r="I136" i="39"/>
  <c r="H136" i="39"/>
  <c r="K135" i="39"/>
  <c r="J135" i="39" a="1"/>
  <c r="J135" i="39" s="1"/>
  <c r="I135" i="39"/>
  <c r="H135" i="39"/>
  <c r="K134" i="39"/>
  <c r="J134" i="39" a="1"/>
  <c r="J134" i="39" s="1"/>
  <c r="I134" i="39"/>
  <c r="H134" i="39"/>
  <c r="K133" i="39"/>
  <c r="J133" i="39" a="1"/>
  <c r="J133" i="39" s="1"/>
  <c r="I133" i="39"/>
  <c r="H133" i="39"/>
  <c r="K132" i="39"/>
  <c r="J132" i="39" a="1"/>
  <c r="J132" i="39" s="1"/>
  <c r="I132" i="39"/>
  <c r="H132" i="39"/>
  <c r="K131" i="39"/>
  <c r="J131" i="39" a="1"/>
  <c r="J131" i="39" s="1"/>
  <c r="I131" i="39"/>
  <c r="H131" i="39"/>
  <c r="K130" i="39"/>
  <c r="J130" i="39" a="1"/>
  <c r="J130" i="39" s="1"/>
  <c r="I130" i="39"/>
  <c r="H130" i="39"/>
  <c r="K129" i="39"/>
  <c r="J129" i="39" a="1"/>
  <c r="J129" i="39" s="1"/>
  <c r="I129" i="39"/>
  <c r="H129" i="39"/>
  <c r="K128" i="39"/>
  <c r="J128" i="39" a="1"/>
  <c r="J128" i="39" s="1"/>
  <c r="I128" i="39"/>
  <c r="H128" i="39"/>
  <c r="K127" i="39"/>
  <c r="J127" i="39" a="1"/>
  <c r="J127" i="39" s="1"/>
  <c r="I127" i="39"/>
  <c r="H127" i="39"/>
  <c r="K126" i="39"/>
  <c r="J126" i="39" a="1"/>
  <c r="J126" i="39" s="1"/>
  <c r="I126" i="39"/>
  <c r="H126" i="39"/>
  <c r="K125" i="39"/>
  <c r="J125" i="39" a="1"/>
  <c r="J125" i="39" s="1"/>
  <c r="I125" i="39"/>
  <c r="H125" i="39"/>
  <c r="K124" i="39"/>
  <c r="J124" i="39" a="1"/>
  <c r="J124" i="39" s="1"/>
  <c r="I124" i="39"/>
  <c r="H124" i="39"/>
  <c r="K123" i="39"/>
  <c r="J123" i="39" a="1"/>
  <c r="J123" i="39" s="1"/>
  <c r="I123" i="39"/>
  <c r="H123" i="39"/>
  <c r="K122" i="39"/>
  <c r="J122" i="39" a="1"/>
  <c r="J122" i="39" s="1"/>
  <c r="I122" i="39"/>
  <c r="H122" i="39"/>
  <c r="K121" i="39"/>
  <c r="J121" i="39" a="1"/>
  <c r="J121" i="39" s="1"/>
  <c r="I121" i="39"/>
  <c r="H121" i="39"/>
  <c r="K120" i="39"/>
  <c r="J120" i="39" a="1"/>
  <c r="J120" i="39" s="1"/>
  <c r="I120" i="39"/>
  <c r="H120" i="39"/>
  <c r="K119" i="39"/>
  <c r="J119" i="39" a="1"/>
  <c r="J119" i="39" s="1"/>
  <c r="I119" i="39"/>
  <c r="H119" i="39"/>
  <c r="K118" i="39"/>
  <c r="J118" i="39" a="1"/>
  <c r="J118" i="39" s="1"/>
  <c r="I118" i="39"/>
  <c r="H118" i="39"/>
  <c r="K117" i="39"/>
  <c r="J117" i="39" a="1"/>
  <c r="J117" i="39" s="1"/>
  <c r="I117" i="39"/>
  <c r="H117" i="39"/>
  <c r="K116" i="39"/>
  <c r="J116" i="39" a="1"/>
  <c r="J116" i="39" s="1"/>
  <c r="I116" i="39"/>
  <c r="H116" i="39"/>
  <c r="K115" i="39"/>
  <c r="J115" i="39" a="1"/>
  <c r="J115" i="39" s="1"/>
  <c r="I115" i="39"/>
  <c r="H115" i="39"/>
  <c r="K114" i="39"/>
  <c r="J114" i="39" a="1"/>
  <c r="J114" i="39" s="1"/>
  <c r="I114" i="39"/>
  <c r="H114" i="39"/>
  <c r="K113" i="39"/>
  <c r="J113" i="39" a="1"/>
  <c r="J113" i="39" s="1"/>
  <c r="I113" i="39"/>
  <c r="H113" i="39"/>
  <c r="K112" i="39"/>
  <c r="J112" i="39" a="1"/>
  <c r="J112" i="39" s="1"/>
  <c r="I112" i="39"/>
  <c r="H112" i="39"/>
  <c r="K111" i="39"/>
  <c r="J111" i="39" a="1"/>
  <c r="J111" i="39" s="1"/>
  <c r="I111" i="39"/>
  <c r="H111" i="39"/>
  <c r="K110" i="39"/>
  <c r="J110" i="39" a="1"/>
  <c r="J110" i="39" s="1"/>
  <c r="I110" i="39"/>
  <c r="H110" i="39"/>
  <c r="K109" i="39"/>
  <c r="J109" i="39" a="1"/>
  <c r="J109" i="39" s="1"/>
  <c r="I109" i="39"/>
  <c r="H109" i="39"/>
  <c r="K108" i="39"/>
  <c r="J108" i="39" a="1"/>
  <c r="J108" i="39" s="1"/>
  <c r="I108" i="39"/>
  <c r="H108" i="39"/>
  <c r="K107" i="39"/>
  <c r="J107" i="39" a="1"/>
  <c r="J107" i="39" s="1"/>
  <c r="I107" i="39"/>
  <c r="H107" i="39"/>
  <c r="K106" i="39"/>
  <c r="J106" i="39" a="1"/>
  <c r="J106" i="39" s="1"/>
  <c r="I106" i="39"/>
  <c r="H106" i="39"/>
  <c r="K105" i="39"/>
  <c r="J105" i="39" a="1"/>
  <c r="J105" i="39" s="1"/>
  <c r="I105" i="39"/>
  <c r="H105" i="39"/>
  <c r="K104" i="39"/>
  <c r="J104" i="39" a="1"/>
  <c r="J104" i="39" s="1"/>
  <c r="I104" i="39"/>
  <c r="H104" i="39"/>
  <c r="K103" i="39"/>
  <c r="J103" i="39" a="1"/>
  <c r="J103" i="39" s="1"/>
  <c r="I103" i="39"/>
  <c r="H103" i="39"/>
  <c r="K102" i="39"/>
  <c r="J102" i="39" a="1"/>
  <c r="J102" i="39" s="1"/>
  <c r="I102" i="39"/>
  <c r="H102" i="39"/>
  <c r="K101" i="39"/>
  <c r="J101" i="39" a="1"/>
  <c r="J101" i="39" s="1"/>
  <c r="I101" i="39"/>
  <c r="H101" i="39"/>
  <c r="K100" i="39"/>
  <c r="J100" i="39" a="1"/>
  <c r="J100" i="39" s="1"/>
  <c r="I100" i="39"/>
  <c r="H100" i="39"/>
  <c r="K99" i="39"/>
  <c r="J99" i="39" a="1"/>
  <c r="J99" i="39" s="1"/>
  <c r="I99" i="39"/>
  <c r="H99" i="39"/>
  <c r="K98" i="39"/>
  <c r="J98" i="39" a="1"/>
  <c r="J98" i="39" s="1"/>
  <c r="I98" i="39"/>
  <c r="H98" i="39"/>
  <c r="K97" i="39"/>
  <c r="J97" i="39" a="1"/>
  <c r="J97" i="39" s="1"/>
  <c r="I97" i="39"/>
  <c r="H97" i="39"/>
  <c r="K96" i="39"/>
  <c r="J96" i="39" a="1"/>
  <c r="J96" i="39" s="1"/>
  <c r="I96" i="39"/>
  <c r="H96" i="39"/>
  <c r="K95" i="39"/>
  <c r="J95" i="39" a="1"/>
  <c r="J95" i="39" s="1"/>
  <c r="I95" i="39"/>
  <c r="H95" i="39"/>
  <c r="K94" i="39"/>
  <c r="J94" i="39" a="1"/>
  <c r="J94" i="39" s="1"/>
  <c r="I94" i="39"/>
  <c r="H94" i="39"/>
  <c r="K93" i="39"/>
  <c r="J93" i="39" a="1"/>
  <c r="J93" i="39" s="1"/>
  <c r="I93" i="39"/>
  <c r="H93" i="39"/>
  <c r="K92" i="39"/>
  <c r="J92" i="39" a="1"/>
  <c r="J92" i="39" s="1"/>
  <c r="I92" i="39"/>
  <c r="H92" i="39"/>
  <c r="K91" i="39"/>
  <c r="J91" i="39" a="1"/>
  <c r="J91" i="39" s="1"/>
  <c r="I91" i="39"/>
  <c r="H91" i="39"/>
  <c r="K90" i="39"/>
  <c r="J90" i="39" a="1"/>
  <c r="J90" i="39" s="1"/>
  <c r="I90" i="39"/>
  <c r="H90" i="39"/>
  <c r="K89" i="39"/>
  <c r="J89" i="39" a="1"/>
  <c r="J89" i="39" s="1"/>
  <c r="I89" i="39"/>
  <c r="H89" i="39"/>
  <c r="K88" i="39"/>
  <c r="J88" i="39" a="1"/>
  <c r="J88" i="39" s="1"/>
  <c r="I88" i="39"/>
  <c r="H88" i="39"/>
  <c r="K87" i="39"/>
  <c r="J87" i="39" a="1"/>
  <c r="J87" i="39" s="1"/>
  <c r="I87" i="39"/>
  <c r="H87" i="39"/>
  <c r="K86" i="39"/>
  <c r="J86" i="39" a="1"/>
  <c r="J86" i="39" s="1"/>
  <c r="I86" i="39"/>
  <c r="H86" i="39"/>
  <c r="K85" i="39"/>
  <c r="J85" i="39" a="1"/>
  <c r="J85" i="39" s="1"/>
  <c r="I85" i="39"/>
  <c r="H85" i="39"/>
  <c r="K84" i="39"/>
  <c r="J84" i="39" a="1"/>
  <c r="J84" i="39" s="1"/>
  <c r="I84" i="39"/>
  <c r="H84" i="39"/>
  <c r="K83" i="39"/>
  <c r="J83" i="39" a="1"/>
  <c r="J83" i="39" s="1"/>
  <c r="I83" i="39"/>
  <c r="H83" i="39"/>
  <c r="K82" i="39"/>
  <c r="J82" i="39" a="1"/>
  <c r="J82" i="39" s="1"/>
  <c r="I82" i="39"/>
  <c r="H82" i="39"/>
  <c r="K81" i="39"/>
  <c r="J81" i="39" a="1"/>
  <c r="J81" i="39" s="1"/>
  <c r="I81" i="39"/>
  <c r="H81" i="39"/>
  <c r="K80" i="39"/>
  <c r="J80" i="39" a="1"/>
  <c r="J80" i="39" s="1"/>
  <c r="I80" i="39"/>
  <c r="H80" i="39"/>
  <c r="K79" i="39"/>
  <c r="J79" i="39" a="1"/>
  <c r="J79" i="39" s="1"/>
  <c r="I79" i="39"/>
  <c r="H79" i="39"/>
  <c r="K78" i="39"/>
  <c r="J78" i="39" a="1"/>
  <c r="J78" i="39" s="1"/>
  <c r="I78" i="39"/>
  <c r="H78" i="39"/>
  <c r="K77" i="39"/>
  <c r="J77" i="39" a="1"/>
  <c r="J77" i="39" s="1"/>
  <c r="I77" i="39"/>
  <c r="H77" i="39"/>
  <c r="K76" i="39"/>
  <c r="J76" i="39" a="1"/>
  <c r="J76" i="39" s="1"/>
  <c r="I76" i="39"/>
  <c r="H76" i="39"/>
  <c r="K75" i="39"/>
  <c r="J75" i="39" a="1"/>
  <c r="J75" i="39" s="1"/>
  <c r="I75" i="39"/>
  <c r="H75" i="39"/>
  <c r="K74" i="39"/>
  <c r="J74" i="39" a="1"/>
  <c r="J74" i="39" s="1"/>
  <c r="I74" i="39"/>
  <c r="H74" i="39"/>
  <c r="K73" i="39"/>
  <c r="J73" i="39" a="1"/>
  <c r="J73" i="39" s="1"/>
  <c r="I73" i="39"/>
  <c r="H73" i="39"/>
  <c r="K72" i="39"/>
  <c r="J72" i="39" a="1"/>
  <c r="J72" i="39" s="1"/>
  <c r="I72" i="39"/>
  <c r="H72" i="39"/>
  <c r="K71" i="39"/>
  <c r="J71" i="39" a="1"/>
  <c r="J71" i="39" s="1"/>
  <c r="I71" i="39"/>
  <c r="H71" i="39"/>
  <c r="K70" i="39"/>
  <c r="J70" i="39" a="1"/>
  <c r="J70" i="39" s="1"/>
  <c r="I70" i="39"/>
  <c r="H70" i="39"/>
  <c r="K69" i="39"/>
  <c r="J69" i="39" a="1"/>
  <c r="J69" i="39" s="1"/>
  <c r="I69" i="39"/>
  <c r="H69" i="39"/>
  <c r="K68" i="39"/>
  <c r="J68" i="39" a="1"/>
  <c r="J68" i="39" s="1"/>
  <c r="I68" i="39"/>
  <c r="H68" i="39"/>
  <c r="K67" i="39"/>
  <c r="J67" i="39" a="1"/>
  <c r="J67" i="39" s="1"/>
  <c r="I67" i="39"/>
  <c r="H67" i="39"/>
  <c r="K66" i="39"/>
  <c r="J66" i="39" a="1"/>
  <c r="J66" i="39" s="1"/>
  <c r="I66" i="39"/>
  <c r="H66" i="39"/>
  <c r="K65" i="39"/>
  <c r="J65" i="39" a="1"/>
  <c r="J65" i="39" s="1"/>
  <c r="I65" i="39"/>
  <c r="H65" i="39"/>
  <c r="K64" i="39"/>
  <c r="J64" i="39" a="1"/>
  <c r="J64" i="39" s="1"/>
  <c r="I64" i="39"/>
  <c r="H64" i="39"/>
  <c r="K63" i="39"/>
  <c r="J63" i="39" a="1"/>
  <c r="J63" i="39" s="1"/>
  <c r="I63" i="39"/>
  <c r="H63" i="39"/>
  <c r="K62" i="39"/>
  <c r="J62" i="39" a="1"/>
  <c r="J62" i="39" s="1"/>
  <c r="I62" i="39"/>
  <c r="H62" i="39"/>
  <c r="K61" i="39"/>
  <c r="J61" i="39" a="1"/>
  <c r="J61" i="39" s="1"/>
  <c r="I61" i="39"/>
  <c r="H61" i="39"/>
  <c r="K60" i="39"/>
  <c r="J60" i="39" a="1"/>
  <c r="J60" i="39" s="1"/>
  <c r="I60" i="39"/>
  <c r="H60" i="39"/>
  <c r="K59" i="39"/>
  <c r="J59" i="39"/>
  <c r="J59" i="39" a="1"/>
  <c r="I59" i="39"/>
  <c r="H59" i="39"/>
  <c r="K58" i="39"/>
  <c r="J58" i="39" a="1"/>
  <c r="J58" i="39" s="1"/>
  <c r="I58" i="39"/>
  <c r="H58" i="39"/>
  <c r="K57" i="39"/>
  <c r="J57" i="39" a="1"/>
  <c r="J57" i="39" s="1"/>
  <c r="I57" i="39"/>
  <c r="H57" i="39"/>
  <c r="K56" i="39"/>
  <c r="J56" i="39" a="1"/>
  <c r="J56" i="39" s="1"/>
  <c r="I56" i="39"/>
  <c r="H56" i="39"/>
  <c r="K55" i="39"/>
  <c r="J55" i="39"/>
  <c r="J55" i="39" a="1"/>
  <c r="I55" i="39"/>
  <c r="H55" i="39"/>
  <c r="K54" i="39"/>
  <c r="J54" i="39" a="1"/>
  <c r="J54" i="39" s="1"/>
  <c r="I54" i="39"/>
  <c r="H54" i="39"/>
  <c r="K53" i="39"/>
  <c r="J53" i="39" a="1"/>
  <c r="J53" i="39" s="1"/>
  <c r="I53" i="39"/>
  <c r="H53" i="39"/>
  <c r="K52" i="39"/>
  <c r="J52" i="39" a="1"/>
  <c r="J52" i="39" s="1"/>
  <c r="I52" i="39"/>
  <c r="H52" i="39"/>
  <c r="K51" i="39"/>
  <c r="J51" i="39" a="1"/>
  <c r="J51" i="39" s="1"/>
  <c r="I51" i="39"/>
  <c r="H51" i="39"/>
  <c r="K50" i="39"/>
  <c r="J50" i="39" a="1"/>
  <c r="J50" i="39" s="1"/>
  <c r="I50" i="39"/>
  <c r="H50" i="39"/>
  <c r="K49" i="39"/>
  <c r="J49" i="39" a="1"/>
  <c r="J49" i="39" s="1"/>
  <c r="I49" i="39"/>
  <c r="H49" i="39"/>
  <c r="K48" i="39"/>
  <c r="J48" i="39" a="1"/>
  <c r="J48" i="39" s="1"/>
  <c r="I48" i="39"/>
  <c r="H48" i="39"/>
  <c r="K47" i="39"/>
  <c r="J47" i="39" a="1"/>
  <c r="J47" i="39" s="1"/>
  <c r="I47" i="39"/>
  <c r="H47" i="39"/>
  <c r="K46" i="39"/>
  <c r="J46" i="39" a="1"/>
  <c r="J46" i="39" s="1"/>
  <c r="I46" i="39"/>
  <c r="H46" i="39"/>
  <c r="K45" i="39"/>
  <c r="J45" i="39" a="1"/>
  <c r="J45" i="39" s="1"/>
  <c r="I45" i="39"/>
  <c r="H45" i="39"/>
  <c r="K44" i="39"/>
  <c r="J44" i="39" a="1"/>
  <c r="J44" i="39" s="1"/>
  <c r="I44" i="39"/>
  <c r="H44" i="39"/>
  <c r="K43" i="39"/>
  <c r="J43" i="39" a="1"/>
  <c r="J43" i="39" s="1"/>
  <c r="I43" i="39"/>
  <c r="H43" i="39"/>
  <c r="K42" i="39"/>
  <c r="J42" i="39" a="1"/>
  <c r="J42" i="39" s="1"/>
  <c r="I42" i="39"/>
  <c r="H42" i="39"/>
  <c r="K41" i="39"/>
  <c r="J41" i="39" a="1"/>
  <c r="J41" i="39" s="1"/>
  <c r="I41" i="39"/>
  <c r="H41" i="39"/>
  <c r="K40" i="39"/>
  <c r="J40" i="39" a="1"/>
  <c r="J40" i="39" s="1"/>
  <c r="I40" i="39"/>
  <c r="H40" i="39"/>
  <c r="K39" i="39"/>
  <c r="J39" i="39" a="1"/>
  <c r="J39" i="39" s="1"/>
  <c r="I39" i="39"/>
  <c r="H39" i="39"/>
  <c r="K38" i="39"/>
  <c r="J38" i="39" a="1"/>
  <c r="J38" i="39" s="1"/>
  <c r="I38" i="39"/>
  <c r="H38" i="39"/>
  <c r="K37" i="39"/>
  <c r="J37" i="39" a="1"/>
  <c r="J37" i="39" s="1"/>
  <c r="I37" i="39"/>
  <c r="H37" i="39"/>
  <c r="K36" i="39"/>
  <c r="J36" i="39" a="1"/>
  <c r="J36" i="39" s="1"/>
  <c r="I36" i="39"/>
  <c r="H36" i="39"/>
  <c r="K35" i="39"/>
  <c r="J35" i="39" a="1"/>
  <c r="J35" i="39" s="1"/>
  <c r="I35" i="39"/>
  <c r="H35" i="39"/>
  <c r="K34" i="39"/>
  <c r="J34" i="39" a="1"/>
  <c r="J34" i="39" s="1"/>
  <c r="I34" i="39"/>
  <c r="H34" i="39"/>
  <c r="K33" i="39"/>
  <c r="J33" i="39" a="1"/>
  <c r="J33" i="39" s="1"/>
  <c r="I33" i="39"/>
  <c r="H33" i="39"/>
  <c r="K32" i="39"/>
  <c r="J32" i="39" a="1"/>
  <c r="J32" i="39" s="1"/>
  <c r="I32" i="39"/>
  <c r="H32" i="39"/>
  <c r="K31" i="39"/>
  <c r="J31" i="39" a="1"/>
  <c r="J31" i="39" s="1"/>
  <c r="I31" i="39"/>
  <c r="H31" i="39"/>
  <c r="K30" i="39"/>
  <c r="J30" i="39" a="1"/>
  <c r="J30" i="39" s="1"/>
  <c r="I30" i="39"/>
  <c r="H30" i="39"/>
  <c r="K29" i="39"/>
  <c r="J29" i="39" a="1"/>
  <c r="J29" i="39" s="1"/>
  <c r="I29" i="39"/>
  <c r="H29" i="39"/>
  <c r="K28" i="39"/>
  <c r="J28" i="39" a="1"/>
  <c r="J28" i="39" s="1"/>
  <c r="I28" i="39"/>
  <c r="H28" i="39"/>
  <c r="K27" i="39"/>
  <c r="J27" i="39" a="1"/>
  <c r="J27" i="39" s="1"/>
  <c r="I27" i="39"/>
  <c r="H27" i="39"/>
  <c r="K26" i="39"/>
  <c r="J26" i="39" a="1"/>
  <c r="J26" i="39" s="1"/>
  <c r="I26" i="39"/>
  <c r="H26" i="39"/>
  <c r="K25" i="39"/>
  <c r="J25" i="39" a="1"/>
  <c r="J25" i="39" s="1"/>
  <c r="I25" i="39"/>
  <c r="H25" i="39"/>
  <c r="K24" i="39"/>
  <c r="J24" i="39" a="1"/>
  <c r="J24" i="39" s="1"/>
  <c r="I24" i="39"/>
  <c r="H24" i="39"/>
  <c r="K23" i="39"/>
  <c r="J23" i="39" a="1"/>
  <c r="J23" i="39" s="1"/>
  <c r="I23" i="39"/>
  <c r="H23" i="39"/>
  <c r="K22" i="39"/>
  <c r="J22" i="39" a="1"/>
  <c r="J22" i="39" s="1"/>
  <c r="I22" i="39"/>
  <c r="H22" i="39"/>
  <c r="K21" i="39"/>
  <c r="J21" i="39" a="1"/>
  <c r="J21" i="39" s="1"/>
  <c r="I21" i="39"/>
  <c r="H21" i="39"/>
  <c r="K20" i="39"/>
  <c r="J20" i="39" a="1"/>
  <c r="J20" i="39" s="1"/>
  <c r="I20" i="39"/>
  <c r="H20" i="39"/>
  <c r="K19" i="39"/>
  <c r="J19" i="39" a="1"/>
  <c r="J19" i="39" s="1"/>
  <c r="I19" i="39"/>
  <c r="H19" i="39"/>
  <c r="K18" i="39"/>
  <c r="J18" i="39" a="1"/>
  <c r="J18" i="39" s="1"/>
  <c r="I18" i="39"/>
  <c r="H18" i="39"/>
  <c r="K17" i="39"/>
  <c r="J17" i="39" a="1"/>
  <c r="J17" i="39" s="1"/>
  <c r="I17" i="39"/>
  <c r="H17" i="39"/>
  <c r="K16" i="39"/>
  <c r="J16" i="39" a="1"/>
  <c r="J16" i="39" s="1"/>
  <c r="I16" i="39"/>
  <c r="H16" i="39"/>
  <c r="K15" i="39"/>
  <c r="J15" i="39" a="1"/>
  <c r="J15" i="39" s="1"/>
  <c r="I15" i="39"/>
  <c r="H15" i="39"/>
  <c r="K14" i="39"/>
  <c r="J14" i="39" a="1"/>
  <c r="J14" i="39" s="1"/>
  <c r="I14" i="39"/>
  <c r="H14" i="39"/>
  <c r="K13" i="39"/>
  <c r="J13" i="39" a="1"/>
  <c r="J13" i="39" s="1"/>
  <c r="I13" i="39"/>
  <c r="H13" i="39"/>
  <c r="K12" i="39"/>
  <c r="J12" i="39" a="1"/>
  <c r="J12" i="39" s="1"/>
  <c r="I12" i="39"/>
  <c r="H12" i="39"/>
  <c r="K11" i="39"/>
  <c r="J11" i="39" a="1"/>
  <c r="J11" i="39" s="1"/>
  <c r="I11" i="39"/>
  <c r="H11" i="39"/>
  <c r="K10" i="39"/>
  <c r="J10" i="39" a="1"/>
  <c r="J10" i="39" s="1"/>
  <c r="I10" i="39"/>
  <c r="H10" i="39"/>
  <c r="K9" i="39"/>
  <c r="J9" i="39" a="1"/>
  <c r="J9" i="39" s="1"/>
  <c r="I9" i="39"/>
  <c r="H9" i="39"/>
  <c r="K8" i="39"/>
  <c r="J8" i="39" a="1"/>
  <c r="J8" i="39" s="1"/>
  <c r="I8" i="39"/>
  <c r="H8" i="39"/>
  <c r="K7" i="39"/>
  <c r="J7" i="39" a="1"/>
  <c r="J7" i="39" s="1"/>
  <c r="I7" i="39"/>
  <c r="H7" i="39"/>
  <c r="K6" i="39"/>
  <c r="J6" i="39" a="1"/>
  <c r="J6" i="39" s="1"/>
  <c r="I6" i="39"/>
  <c r="H6" i="39"/>
  <c r="K5" i="39"/>
  <c r="J5" i="39" a="1"/>
  <c r="J5" i="39" s="1"/>
  <c r="I5" i="39"/>
  <c r="H5" i="39"/>
  <c r="K4" i="39"/>
  <c r="J4" i="39" a="1"/>
  <c r="J4" i="39" s="1"/>
  <c r="I4" i="39"/>
  <c r="H4" i="39"/>
  <c r="K3" i="39"/>
  <c r="J3" i="39" a="1"/>
  <c r="J3" i="39" s="1"/>
  <c r="I3" i="39"/>
  <c r="H3" i="39"/>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K1002" i="20"/>
  <c r="J3" i="20" a="1"/>
  <c r="J3" i="20" s="1"/>
  <c r="J4" i="20" a="1"/>
  <c r="J4" i="20" s="1"/>
  <c r="J5" i="20" a="1"/>
  <c r="J5" i="20" s="1"/>
  <c r="J6" i="20" a="1"/>
  <c r="J6" i="20" s="1"/>
  <c r="J7" i="20" a="1"/>
  <c r="J7" i="20" s="1"/>
  <c r="J8" i="20" a="1"/>
  <c r="J8" i="20" s="1"/>
  <c r="J9" i="20" a="1"/>
  <c r="J9" i="20" s="1"/>
  <c r="J10" i="20" a="1"/>
  <c r="J10" i="20" s="1"/>
  <c r="J11" i="20" a="1"/>
  <c r="J11" i="20" s="1"/>
  <c r="J12" i="20" a="1"/>
  <c r="J12" i="20" s="1"/>
  <c r="J13" i="20" a="1"/>
  <c r="J13" i="20" s="1"/>
  <c r="J14" i="20" a="1"/>
  <c r="J14" i="20" s="1"/>
  <c r="J15" i="20" a="1"/>
  <c r="J15" i="20" s="1"/>
  <c r="J16" i="20" a="1"/>
  <c r="J16" i="20" s="1"/>
  <c r="J17" i="20" a="1"/>
  <c r="J17" i="20" s="1"/>
  <c r="J18" i="20" a="1"/>
  <c r="J18" i="20" s="1"/>
  <c r="J19" i="20" a="1"/>
  <c r="J19" i="20" s="1"/>
  <c r="J20" i="20" a="1"/>
  <c r="J20" i="20" s="1"/>
  <c r="J21" i="20" a="1"/>
  <c r="J21" i="20" s="1"/>
  <c r="J22" i="20" a="1"/>
  <c r="J22" i="20" s="1"/>
  <c r="J23" i="20" a="1"/>
  <c r="J23" i="20" s="1"/>
  <c r="J24" i="20" a="1"/>
  <c r="J24" i="20" s="1"/>
  <c r="J25" i="20" a="1"/>
  <c r="J25" i="20" s="1"/>
  <c r="J26" i="20" a="1"/>
  <c r="J26" i="20" s="1"/>
  <c r="J27" i="20" a="1"/>
  <c r="J27" i="20" s="1"/>
  <c r="J28" i="20" a="1"/>
  <c r="J28" i="20" s="1"/>
  <c r="J29" i="20" a="1"/>
  <c r="J29" i="20" s="1"/>
  <c r="J30" i="20" a="1"/>
  <c r="J30" i="20" s="1"/>
  <c r="J31" i="20" a="1"/>
  <c r="J31" i="20" s="1"/>
  <c r="J32" i="20" a="1"/>
  <c r="J32" i="20" s="1"/>
  <c r="J33" i="20" a="1"/>
  <c r="J33" i="20" s="1"/>
  <c r="J34" i="20" a="1"/>
  <c r="J34" i="20" s="1"/>
  <c r="J35" i="20" a="1"/>
  <c r="J35" i="20" s="1"/>
  <c r="J36" i="20" a="1"/>
  <c r="J36" i="20" s="1"/>
  <c r="J37" i="20" a="1"/>
  <c r="J37" i="20" s="1"/>
  <c r="J38" i="20" a="1"/>
  <c r="J38" i="20" s="1"/>
  <c r="J39" i="20" a="1"/>
  <c r="J39" i="20" s="1"/>
  <c r="J40" i="20" a="1"/>
  <c r="J40" i="20" s="1"/>
  <c r="J41" i="20" a="1"/>
  <c r="J41" i="20" s="1"/>
  <c r="J42" i="20" a="1"/>
  <c r="J42" i="20" s="1"/>
  <c r="J43" i="20" a="1"/>
  <c r="J43" i="20" s="1"/>
  <c r="J44" i="20" a="1"/>
  <c r="J44" i="20" s="1"/>
  <c r="J45" i="20" a="1"/>
  <c r="J45" i="20" s="1"/>
  <c r="J46" i="20" a="1"/>
  <c r="J46" i="20" s="1"/>
  <c r="J47" i="20" a="1"/>
  <c r="J47" i="20" s="1"/>
  <c r="J48" i="20" a="1"/>
  <c r="J48" i="20" s="1"/>
  <c r="J49" i="20" a="1"/>
  <c r="J49" i="20" s="1"/>
  <c r="J50" i="20" a="1"/>
  <c r="J50" i="20" s="1"/>
  <c r="J51" i="20" a="1"/>
  <c r="J51" i="20" s="1"/>
  <c r="J52" i="20" a="1"/>
  <c r="J52" i="20" s="1"/>
  <c r="J53" i="20" a="1"/>
  <c r="J53" i="20" s="1"/>
  <c r="J54" i="20" a="1"/>
  <c r="J54" i="20" s="1"/>
  <c r="J55" i="20" a="1"/>
  <c r="J55" i="20" s="1"/>
  <c r="J56" i="20" a="1"/>
  <c r="J56" i="20" s="1"/>
  <c r="J57" i="20" a="1"/>
  <c r="J57" i="20" s="1"/>
  <c r="J58" i="20" a="1"/>
  <c r="J58" i="20" s="1"/>
  <c r="J59" i="20" a="1"/>
  <c r="J59" i="20" s="1"/>
  <c r="J60" i="20" a="1"/>
  <c r="J60" i="20" s="1"/>
  <c r="J61" i="20" a="1"/>
  <c r="J61" i="20" s="1"/>
  <c r="J62" i="20" a="1"/>
  <c r="J62" i="20" s="1"/>
  <c r="J63" i="20" a="1"/>
  <c r="J63" i="20" s="1"/>
  <c r="J64" i="20" a="1"/>
  <c r="J64" i="20" s="1"/>
  <c r="J65" i="20" a="1"/>
  <c r="J65" i="20" s="1"/>
  <c r="J66" i="20" a="1"/>
  <c r="J66" i="20" s="1"/>
  <c r="J67" i="20" a="1"/>
  <c r="J67" i="20" s="1"/>
  <c r="J68" i="20" a="1"/>
  <c r="J68" i="20" s="1"/>
  <c r="J69" i="20" a="1"/>
  <c r="J69" i="20" s="1"/>
  <c r="J70" i="20" a="1"/>
  <c r="J70" i="20" s="1"/>
  <c r="J71" i="20" a="1"/>
  <c r="J71" i="20" s="1"/>
  <c r="J72" i="20" a="1"/>
  <c r="J72" i="20" s="1"/>
  <c r="J73" i="20" a="1"/>
  <c r="J73" i="20" s="1"/>
  <c r="J74" i="20" a="1"/>
  <c r="J74" i="20" s="1"/>
  <c r="J75" i="20" a="1"/>
  <c r="J75" i="20" s="1"/>
  <c r="J76" i="20" a="1"/>
  <c r="J76" i="20" s="1"/>
  <c r="J77" i="20" a="1"/>
  <c r="J77" i="20" s="1"/>
  <c r="J78" i="20" a="1"/>
  <c r="J78" i="20" s="1"/>
  <c r="J79" i="20" a="1"/>
  <c r="J79" i="20" s="1"/>
  <c r="J80" i="20" a="1"/>
  <c r="J80" i="20" s="1"/>
  <c r="J81" i="20" a="1"/>
  <c r="J81" i="20" s="1"/>
  <c r="J82" i="20" a="1"/>
  <c r="J82" i="20" s="1"/>
  <c r="J83" i="20" a="1"/>
  <c r="J83" i="20" s="1"/>
  <c r="J84" i="20" a="1"/>
  <c r="J84" i="20" s="1"/>
  <c r="J85" i="20" a="1"/>
  <c r="J85" i="20" s="1"/>
  <c r="J86" i="20" a="1"/>
  <c r="J86" i="20" s="1"/>
  <c r="J87" i="20" a="1"/>
  <c r="J87" i="20" s="1"/>
  <c r="J88" i="20" a="1"/>
  <c r="J88" i="20" s="1"/>
  <c r="J89" i="20" a="1"/>
  <c r="J89" i="20" s="1"/>
  <c r="J90" i="20" a="1"/>
  <c r="J90" i="20" s="1"/>
  <c r="J91" i="20" a="1"/>
  <c r="J91" i="20" s="1"/>
  <c r="J92" i="20" a="1"/>
  <c r="J92" i="20" s="1"/>
  <c r="J93" i="20" a="1"/>
  <c r="J93" i="20" s="1"/>
  <c r="J94" i="20" a="1"/>
  <c r="J94" i="20" s="1"/>
  <c r="J95" i="20" a="1"/>
  <c r="J95" i="20" s="1"/>
  <c r="J96" i="20" a="1"/>
  <c r="J96" i="20" s="1"/>
  <c r="J97" i="20" a="1"/>
  <c r="J97" i="20" s="1"/>
  <c r="J98" i="20" a="1"/>
  <c r="J98" i="20" s="1"/>
  <c r="J99" i="20" a="1"/>
  <c r="J99" i="20" s="1"/>
  <c r="J100" i="20" a="1"/>
  <c r="J100" i="20" s="1"/>
  <c r="J101" i="20" a="1"/>
  <c r="J101" i="20" s="1"/>
  <c r="J102" i="20" a="1"/>
  <c r="J102" i="20" s="1"/>
  <c r="J103" i="20" a="1"/>
  <c r="J103" i="20" s="1"/>
  <c r="J104" i="20" a="1"/>
  <c r="J104" i="20" s="1"/>
  <c r="J105" i="20" a="1"/>
  <c r="J105" i="20" s="1"/>
  <c r="J106" i="20" a="1"/>
  <c r="J106" i="20" s="1"/>
  <c r="J107" i="20" a="1"/>
  <c r="J107" i="20" s="1"/>
  <c r="J108" i="20" a="1"/>
  <c r="J108" i="20" s="1"/>
  <c r="J109" i="20" a="1"/>
  <c r="J109" i="20" s="1"/>
  <c r="J110" i="20" a="1"/>
  <c r="J110" i="20" s="1"/>
  <c r="J111" i="20" a="1"/>
  <c r="J111" i="20" s="1"/>
  <c r="J112" i="20" a="1"/>
  <c r="J112" i="20" s="1"/>
  <c r="J113" i="20" a="1"/>
  <c r="J113" i="20" s="1"/>
  <c r="J114" i="20" a="1"/>
  <c r="J114" i="20" s="1"/>
  <c r="J115" i="20" a="1"/>
  <c r="J115" i="20" s="1"/>
  <c r="J116" i="20" a="1"/>
  <c r="J116" i="20" s="1"/>
  <c r="J117" i="20" a="1"/>
  <c r="J117" i="20" s="1"/>
  <c r="J118" i="20" a="1"/>
  <c r="J118" i="20" s="1"/>
  <c r="J119" i="20" a="1"/>
  <c r="J119" i="20" s="1"/>
  <c r="J120" i="20" a="1"/>
  <c r="J120" i="20" s="1"/>
  <c r="J121" i="20" a="1"/>
  <c r="J121" i="20" s="1"/>
  <c r="J122" i="20" a="1"/>
  <c r="J122" i="20" s="1"/>
  <c r="J123" i="20" a="1"/>
  <c r="J123" i="20" s="1"/>
  <c r="J124" i="20" a="1"/>
  <c r="J124" i="20" s="1"/>
  <c r="J125" i="20" a="1"/>
  <c r="J125" i="20" s="1"/>
  <c r="J126" i="20" a="1"/>
  <c r="J126" i="20" s="1"/>
  <c r="J127" i="20" a="1"/>
  <c r="J127" i="20" s="1"/>
  <c r="J128" i="20" a="1"/>
  <c r="J128" i="20" s="1"/>
  <c r="J129" i="20" a="1"/>
  <c r="J129" i="20" s="1"/>
  <c r="J130" i="20" a="1"/>
  <c r="J130" i="20" s="1"/>
  <c r="J131" i="20" a="1"/>
  <c r="J131" i="20" s="1"/>
  <c r="J132" i="20" a="1"/>
  <c r="J132" i="20" s="1"/>
  <c r="J133" i="20" a="1"/>
  <c r="J133" i="20" s="1"/>
  <c r="J134" i="20" a="1"/>
  <c r="J134" i="20" s="1"/>
  <c r="J135" i="20" a="1"/>
  <c r="J135" i="20" s="1"/>
  <c r="J136" i="20" a="1"/>
  <c r="J136" i="20" s="1"/>
  <c r="J137" i="20" a="1"/>
  <c r="J137" i="20" s="1"/>
  <c r="J138" i="20" a="1"/>
  <c r="J138" i="20" s="1"/>
  <c r="J139" i="20" a="1"/>
  <c r="J139" i="20" s="1"/>
  <c r="J140" i="20" a="1"/>
  <c r="J140" i="20" s="1"/>
  <c r="J141" i="20" a="1"/>
  <c r="J141" i="20" s="1"/>
  <c r="J142" i="20" a="1"/>
  <c r="J142" i="20" s="1"/>
  <c r="J143" i="20" a="1"/>
  <c r="J143" i="20" s="1"/>
  <c r="J144" i="20" a="1"/>
  <c r="J144" i="20" s="1"/>
  <c r="J145" i="20" a="1"/>
  <c r="J145" i="20" s="1"/>
  <c r="J146" i="20" a="1"/>
  <c r="J146" i="20" s="1"/>
  <c r="J147" i="20" a="1"/>
  <c r="J147" i="20" s="1"/>
  <c r="J148" i="20" a="1"/>
  <c r="J148" i="20" s="1"/>
  <c r="J149" i="20" a="1"/>
  <c r="J149" i="20" s="1"/>
  <c r="J150" i="20" a="1"/>
  <c r="J150" i="20" s="1"/>
  <c r="J151" i="20" a="1"/>
  <c r="J151" i="20" s="1"/>
  <c r="J152" i="20" a="1"/>
  <c r="J152" i="20" s="1"/>
  <c r="J153" i="20" a="1"/>
  <c r="J153" i="20" s="1"/>
  <c r="J154" i="20" a="1"/>
  <c r="J154" i="20" s="1"/>
  <c r="J155" i="20" a="1"/>
  <c r="J155" i="20" s="1"/>
  <c r="J156" i="20" a="1"/>
  <c r="J156" i="20" s="1"/>
  <c r="J157" i="20" a="1"/>
  <c r="J157" i="20" s="1"/>
  <c r="J158" i="20" a="1"/>
  <c r="J158" i="20" s="1"/>
  <c r="J159" i="20" a="1"/>
  <c r="J159" i="20" s="1"/>
  <c r="J160" i="20" a="1"/>
  <c r="J160" i="20" s="1"/>
  <c r="J161" i="20" a="1"/>
  <c r="J161" i="20" s="1"/>
  <c r="J162" i="20" a="1"/>
  <c r="J162" i="20" s="1"/>
  <c r="J163" i="20" a="1"/>
  <c r="J163" i="20" s="1"/>
  <c r="J164" i="20" a="1"/>
  <c r="J164" i="20" s="1"/>
  <c r="J165" i="20" a="1"/>
  <c r="J165" i="20" s="1"/>
  <c r="J166" i="20" a="1"/>
  <c r="J166" i="20" s="1"/>
  <c r="J167" i="20" a="1"/>
  <c r="J167" i="20" s="1"/>
  <c r="J168" i="20" a="1"/>
  <c r="J168" i="20" s="1"/>
  <c r="J169" i="20" a="1"/>
  <c r="J169" i="20" s="1"/>
  <c r="J170" i="20" a="1"/>
  <c r="J170" i="20" s="1"/>
  <c r="J171" i="20" a="1"/>
  <c r="J171" i="20" s="1"/>
  <c r="J172" i="20" a="1"/>
  <c r="J172" i="20"/>
  <c r="J173" i="20" a="1"/>
  <c r="J173" i="20" s="1"/>
  <c r="J174" i="20" a="1"/>
  <c r="J174" i="20" s="1"/>
  <c r="J175" i="20" a="1"/>
  <c r="J175" i="20" s="1"/>
  <c r="J176" i="20" a="1"/>
  <c r="J176" i="20" s="1"/>
  <c r="J177" i="20" a="1"/>
  <c r="J177" i="20" s="1"/>
  <c r="J178" i="20" a="1"/>
  <c r="J178" i="20" s="1"/>
  <c r="J179" i="20" a="1"/>
  <c r="J179" i="20" s="1"/>
  <c r="J180" i="20" a="1"/>
  <c r="J180" i="20" s="1"/>
  <c r="J181" i="20" a="1"/>
  <c r="J181" i="20" s="1"/>
  <c r="J182" i="20" a="1"/>
  <c r="J182" i="20" s="1"/>
  <c r="J183" i="20" a="1"/>
  <c r="J183" i="20" s="1"/>
  <c r="J184" i="20" a="1"/>
  <c r="J184" i="20" s="1"/>
  <c r="J185" i="20" a="1"/>
  <c r="J185" i="20" s="1"/>
  <c r="J186" i="20" a="1"/>
  <c r="J186" i="20" s="1"/>
  <c r="J187" i="20" a="1"/>
  <c r="J187" i="20" s="1"/>
  <c r="J188" i="20" a="1"/>
  <c r="J188" i="20" s="1"/>
  <c r="J189" i="20" a="1"/>
  <c r="J189" i="20" s="1"/>
  <c r="J190" i="20" a="1"/>
  <c r="J190" i="20" s="1"/>
  <c r="J191" i="20" a="1"/>
  <c r="J191" i="20" s="1"/>
  <c r="J192" i="20" a="1"/>
  <c r="J192" i="20" s="1"/>
  <c r="J193" i="20" a="1"/>
  <c r="J193" i="20" s="1"/>
  <c r="J194" i="20" a="1"/>
  <c r="J194" i="20" s="1"/>
  <c r="J195" i="20" a="1"/>
  <c r="J195" i="20" s="1"/>
  <c r="J196" i="20" a="1"/>
  <c r="J196" i="20" s="1"/>
  <c r="J197" i="20" a="1"/>
  <c r="J197" i="20" s="1"/>
  <c r="J198" i="20" a="1"/>
  <c r="J198" i="20" s="1"/>
  <c r="J199" i="20" a="1"/>
  <c r="J199" i="20" s="1"/>
  <c r="J200" i="20" a="1"/>
  <c r="J200" i="20" s="1"/>
  <c r="J201" i="20" a="1"/>
  <c r="J201" i="20" s="1"/>
  <c r="J202" i="20" a="1"/>
  <c r="J202" i="20" s="1"/>
  <c r="J203" i="20" a="1"/>
  <c r="J203" i="20" s="1"/>
  <c r="J204" i="20" a="1"/>
  <c r="J204" i="20" s="1"/>
  <c r="J205" i="20" a="1"/>
  <c r="J205" i="20" s="1"/>
  <c r="J206" i="20" a="1"/>
  <c r="J206" i="20" s="1"/>
  <c r="J207" i="20" a="1"/>
  <c r="J207" i="20" s="1"/>
  <c r="J208" i="20" a="1"/>
  <c r="J208" i="20" s="1"/>
  <c r="J209" i="20" a="1"/>
  <c r="J209" i="20" s="1"/>
  <c r="J210" i="20" a="1"/>
  <c r="J210" i="20" s="1"/>
  <c r="J211" i="20" a="1"/>
  <c r="J211" i="20" s="1"/>
  <c r="J212" i="20" a="1"/>
  <c r="J212" i="20" s="1"/>
  <c r="J213" i="20" a="1"/>
  <c r="J213" i="20" s="1"/>
  <c r="J214" i="20" a="1"/>
  <c r="J214" i="20" s="1"/>
  <c r="J215" i="20" a="1"/>
  <c r="J215" i="20" s="1"/>
  <c r="J216" i="20" a="1"/>
  <c r="J216" i="20" s="1"/>
  <c r="J217" i="20" a="1"/>
  <c r="J217" i="20" s="1"/>
  <c r="J218" i="20" a="1"/>
  <c r="J218" i="20" s="1"/>
  <c r="J219" i="20" a="1"/>
  <c r="J219" i="20" s="1"/>
  <c r="J220" i="20" a="1"/>
  <c r="J220" i="20" s="1"/>
  <c r="J221" i="20" a="1"/>
  <c r="J221" i="20" s="1"/>
  <c r="J222" i="20" a="1"/>
  <c r="J222" i="20" s="1"/>
  <c r="J223" i="20" a="1"/>
  <c r="J223" i="20" s="1"/>
  <c r="J224" i="20" a="1"/>
  <c r="J224" i="20" s="1"/>
  <c r="J225" i="20" a="1"/>
  <c r="J225" i="20" s="1"/>
  <c r="J226" i="20" a="1"/>
  <c r="J226" i="20" s="1"/>
  <c r="J227" i="20" a="1"/>
  <c r="J227" i="20" s="1"/>
  <c r="J228" i="20" a="1"/>
  <c r="J228" i="20" s="1"/>
  <c r="J229" i="20" a="1"/>
  <c r="J229" i="20" s="1"/>
  <c r="J230" i="20" a="1"/>
  <c r="J230" i="20" s="1"/>
  <c r="J231" i="20" a="1"/>
  <c r="J231" i="20" s="1"/>
  <c r="J232" i="20" a="1"/>
  <c r="J232" i="20" s="1"/>
  <c r="J233" i="20" a="1"/>
  <c r="J233" i="20" s="1"/>
  <c r="J234" i="20" a="1"/>
  <c r="J234" i="20" s="1"/>
  <c r="J235" i="20" a="1"/>
  <c r="J235" i="20" s="1"/>
  <c r="J236" i="20" a="1"/>
  <c r="J236" i="20" s="1"/>
  <c r="J237" i="20" a="1"/>
  <c r="J237" i="20" s="1"/>
  <c r="J238" i="20" a="1"/>
  <c r="J238" i="20" s="1"/>
  <c r="J239" i="20" a="1"/>
  <c r="J239" i="20" s="1"/>
  <c r="J240" i="20" a="1"/>
  <c r="J240" i="20" s="1"/>
  <c r="J241" i="20" a="1"/>
  <c r="J241" i="20" s="1"/>
  <c r="J242" i="20" a="1"/>
  <c r="J242" i="20" s="1"/>
  <c r="J243" i="20" a="1"/>
  <c r="J243" i="20" s="1"/>
  <c r="J244" i="20" a="1"/>
  <c r="J244" i="20" s="1"/>
  <c r="J245" i="20" a="1"/>
  <c r="J245" i="20" s="1"/>
  <c r="J246" i="20" a="1"/>
  <c r="J246" i="20" s="1"/>
  <c r="J247" i="20" a="1"/>
  <c r="J247" i="20" s="1"/>
  <c r="J248" i="20" a="1"/>
  <c r="J248" i="20" s="1"/>
  <c r="J249" i="20" a="1"/>
  <c r="J249" i="20" s="1"/>
  <c r="J250" i="20" a="1"/>
  <c r="J250" i="20" s="1"/>
  <c r="J251" i="20" a="1"/>
  <c r="J251" i="20" s="1"/>
  <c r="J252" i="20" a="1"/>
  <c r="J252" i="20" s="1"/>
  <c r="J253" i="20" a="1"/>
  <c r="J253" i="20" s="1"/>
  <c r="J254" i="20" a="1"/>
  <c r="J254" i="20" s="1"/>
  <c r="J255" i="20" a="1"/>
  <c r="J255" i="20" s="1"/>
  <c r="J256" i="20" a="1"/>
  <c r="J256" i="20" s="1"/>
  <c r="J257" i="20" a="1"/>
  <c r="J257" i="20" s="1"/>
  <c r="J258" i="20" a="1"/>
  <c r="J258" i="20" s="1"/>
  <c r="J259" i="20" a="1"/>
  <c r="J259" i="20" s="1"/>
  <c r="J260" i="20" a="1"/>
  <c r="J260" i="20" s="1"/>
  <c r="J261" i="20" a="1"/>
  <c r="J261" i="20" s="1"/>
  <c r="J262" i="20" a="1"/>
  <c r="J262" i="20" s="1"/>
  <c r="J263" i="20" a="1"/>
  <c r="J263" i="20" s="1"/>
  <c r="J264" i="20" a="1"/>
  <c r="J264" i="20" s="1"/>
  <c r="J265" i="20" a="1"/>
  <c r="J265" i="20" s="1"/>
  <c r="J266" i="20" a="1"/>
  <c r="J266" i="20" s="1"/>
  <c r="J267" i="20" a="1"/>
  <c r="J267" i="20" s="1"/>
  <c r="J268" i="20" a="1"/>
  <c r="J268" i="20" s="1"/>
  <c r="J269" i="20" a="1"/>
  <c r="J269" i="20" s="1"/>
  <c r="J270" i="20" a="1"/>
  <c r="J270" i="20" s="1"/>
  <c r="J271" i="20" a="1"/>
  <c r="J271" i="20" s="1"/>
  <c r="J272" i="20" a="1"/>
  <c r="J272" i="20" s="1"/>
  <c r="J273" i="20" a="1"/>
  <c r="J273" i="20" s="1"/>
  <c r="J274" i="20" a="1"/>
  <c r="J274" i="20" s="1"/>
  <c r="J275" i="20" a="1"/>
  <c r="J275" i="20" s="1"/>
  <c r="J276" i="20" a="1"/>
  <c r="J276" i="20" s="1"/>
  <c r="J277" i="20" a="1"/>
  <c r="J277" i="20" s="1"/>
  <c r="J278" i="20" a="1"/>
  <c r="J278" i="20" s="1"/>
  <c r="J279" i="20" a="1"/>
  <c r="J279" i="20" s="1"/>
  <c r="J280" i="20" a="1"/>
  <c r="J280" i="20" s="1"/>
  <c r="J281" i="20" a="1"/>
  <c r="J281" i="20" s="1"/>
  <c r="J282" i="20" a="1"/>
  <c r="J282" i="20" s="1"/>
  <c r="J283" i="20" a="1"/>
  <c r="J283" i="20" s="1"/>
  <c r="J284" i="20" a="1"/>
  <c r="J284" i="20" s="1"/>
  <c r="J285" i="20" a="1"/>
  <c r="J285" i="20" s="1"/>
  <c r="J286" i="20" a="1"/>
  <c r="J286" i="20" s="1"/>
  <c r="J287" i="20" a="1"/>
  <c r="J287" i="20" s="1"/>
  <c r="J288" i="20" a="1"/>
  <c r="J288" i="20" s="1"/>
  <c r="J289" i="20" a="1"/>
  <c r="J289" i="20" s="1"/>
  <c r="J290" i="20" a="1"/>
  <c r="J290" i="20" s="1"/>
  <c r="J291" i="20" a="1"/>
  <c r="J291" i="20" s="1"/>
  <c r="J292" i="20" a="1"/>
  <c r="J292" i="20" s="1"/>
  <c r="J293" i="20" a="1"/>
  <c r="J293" i="20" s="1"/>
  <c r="J294" i="20" a="1"/>
  <c r="J294" i="20" s="1"/>
  <c r="J295" i="20" a="1"/>
  <c r="J295" i="20" s="1"/>
  <c r="J296" i="20" a="1"/>
  <c r="J296" i="20" s="1"/>
  <c r="J297" i="20" a="1"/>
  <c r="J297" i="20" s="1"/>
  <c r="J298" i="20" a="1"/>
  <c r="J298" i="20" s="1"/>
  <c r="J299" i="20" a="1"/>
  <c r="J299" i="20" s="1"/>
  <c r="J300" i="20" a="1"/>
  <c r="J300" i="20" s="1"/>
  <c r="J301" i="20" a="1"/>
  <c r="J301" i="20" s="1"/>
  <c r="J302" i="20" a="1"/>
  <c r="J302" i="20" s="1"/>
  <c r="J303" i="20" a="1"/>
  <c r="J303" i="20" s="1"/>
  <c r="J304" i="20" a="1"/>
  <c r="J304" i="20" s="1"/>
  <c r="J305" i="20" a="1"/>
  <c r="J305" i="20" s="1"/>
  <c r="J306" i="20" a="1"/>
  <c r="J306" i="20" s="1"/>
  <c r="J307" i="20" a="1"/>
  <c r="J307" i="20" s="1"/>
  <c r="J308" i="20" a="1"/>
  <c r="J308" i="20" s="1"/>
  <c r="J309" i="20" a="1"/>
  <c r="J309" i="20" s="1"/>
  <c r="J310" i="20" a="1"/>
  <c r="J310" i="20" s="1"/>
  <c r="J311" i="20" a="1"/>
  <c r="J311" i="20" s="1"/>
  <c r="J312" i="20" a="1"/>
  <c r="J312" i="20"/>
  <c r="J313" i="20" a="1"/>
  <c r="J313" i="20" s="1"/>
  <c r="J314" i="20" a="1"/>
  <c r="J314" i="20" s="1"/>
  <c r="J315" i="20" a="1"/>
  <c r="J315" i="20" s="1"/>
  <c r="J316" i="20" a="1"/>
  <c r="J316" i="20" s="1"/>
  <c r="J317" i="20" a="1"/>
  <c r="J317" i="20" s="1"/>
  <c r="J318" i="20" a="1"/>
  <c r="J318" i="20" s="1"/>
  <c r="J319" i="20" a="1"/>
  <c r="J319" i="20" s="1"/>
  <c r="J320" i="20" a="1"/>
  <c r="J320" i="20" s="1"/>
  <c r="J321" i="20" a="1"/>
  <c r="J321" i="20" s="1"/>
  <c r="J322" i="20" a="1"/>
  <c r="J322" i="20" s="1"/>
  <c r="J323" i="20" a="1"/>
  <c r="J323" i="20" s="1"/>
  <c r="J324" i="20" a="1"/>
  <c r="J324" i="20" s="1"/>
  <c r="J325" i="20" a="1"/>
  <c r="J325" i="20" s="1"/>
  <c r="J326" i="20" a="1"/>
  <c r="J326" i="20" s="1"/>
  <c r="J327" i="20" a="1"/>
  <c r="J327" i="20"/>
  <c r="J328" i="20" a="1"/>
  <c r="J328" i="20" s="1"/>
  <c r="J329" i="20" a="1"/>
  <c r="J329" i="20" s="1"/>
  <c r="J330" i="20" a="1"/>
  <c r="J330" i="20" s="1"/>
  <c r="J331" i="20" a="1"/>
  <c r="J331" i="20" s="1"/>
  <c r="J332" i="20" a="1"/>
  <c r="J332" i="20" s="1"/>
  <c r="J333" i="20" a="1"/>
  <c r="J333" i="20" s="1"/>
  <c r="J334" i="20" a="1"/>
  <c r="J334" i="20" s="1"/>
  <c r="J335" i="20" a="1"/>
  <c r="J335" i="20" s="1"/>
  <c r="J336" i="20" a="1"/>
  <c r="J336" i="20" s="1"/>
  <c r="J337" i="20" a="1"/>
  <c r="J337" i="20" s="1"/>
  <c r="J338" i="20" a="1"/>
  <c r="J338" i="20" s="1"/>
  <c r="J339" i="20" a="1"/>
  <c r="J339" i="20" s="1"/>
  <c r="J340" i="20" a="1"/>
  <c r="J340" i="20" s="1"/>
  <c r="J341" i="20" a="1"/>
  <c r="J341" i="20" s="1"/>
  <c r="J342" i="20" a="1"/>
  <c r="J342" i="20" s="1"/>
  <c r="J343" i="20" a="1"/>
  <c r="J343" i="20" s="1"/>
  <c r="J344" i="20" a="1"/>
  <c r="J344" i="20" s="1"/>
  <c r="J345" i="20" a="1"/>
  <c r="J345" i="20" s="1"/>
  <c r="J346" i="20" a="1"/>
  <c r="J346" i="20" s="1"/>
  <c r="J347" i="20" a="1"/>
  <c r="J347" i="20" s="1"/>
  <c r="J348" i="20" a="1"/>
  <c r="J348" i="20" s="1"/>
  <c r="J349" i="20" a="1"/>
  <c r="J349" i="20" s="1"/>
  <c r="J350" i="20" a="1"/>
  <c r="J350" i="20" s="1"/>
  <c r="J351" i="20" a="1"/>
  <c r="J351" i="20" s="1"/>
  <c r="J352" i="20" a="1"/>
  <c r="J352" i="20" s="1"/>
  <c r="J353" i="20" a="1"/>
  <c r="J353" i="20" s="1"/>
  <c r="J354" i="20" a="1"/>
  <c r="J354" i="20" s="1"/>
  <c r="J355" i="20" a="1"/>
  <c r="J355" i="20" s="1"/>
  <c r="J356" i="20" a="1"/>
  <c r="J356" i="20" s="1"/>
  <c r="J357" i="20" a="1"/>
  <c r="J357" i="20" s="1"/>
  <c r="J358" i="20" a="1"/>
  <c r="J358" i="20" s="1"/>
  <c r="J359" i="20" a="1"/>
  <c r="J359" i="20" s="1"/>
  <c r="J360" i="20" a="1"/>
  <c r="J360" i="20" s="1"/>
  <c r="J361" i="20" a="1"/>
  <c r="J361" i="20" s="1"/>
  <c r="J362" i="20" a="1"/>
  <c r="J362" i="20" s="1"/>
  <c r="J363" i="20" a="1"/>
  <c r="J363" i="20" s="1"/>
  <c r="J364" i="20" a="1"/>
  <c r="J364" i="20" s="1"/>
  <c r="J365" i="20" a="1"/>
  <c r="J365" i="20" s="1"/>
  <c r="J366" i="20" a="1"/>
  <c r="J366" i="20" s="1"/>
  <c r="J367" i="20" a="1"/>
  <c r="J367" i="20" s="1"/>
  <c r="J368" i="20" a="1"/>
  <c r="J368" i="20" s="1"/>
  <c r="J369" i="20" a="1"/>
  <c r="J369" i="20" s="1"/>
  <c r="J370" i="20" a="1"/>
  <c r="J370" i="20" s="1"/>
  <c r="J371" i="20" a="1"/>
  <c r="J371" i="20" s="1"/>
  <c r="J372" i="20" a="1"/>
  <c r="J372" i="20" s="1"/>
  <c r="J373" i="20" a="1"/>
  <c r="J373" i="20" s="1"/>
  <c r="J374" i="20" a="1"/>
  <c r="J374" i="20" s="1"/>
  <c r="J375" i="20" a="1"/>
  <c r="J375" i="20" s="1"/>
  <c r="J376" i="20" a="1"/>
  <c r="J376" i="20" s="1"/>
  <c r="J377" i="20" a="1"/>
  <c r="J377" i="20" s="1"/>
  <c r="J378" i="20" a="1"/>
  <c r="J378" i="20" s="1"/>
  <c r="J379" i="20" a="1"/>
  <c r="J379" i="20" s="1"/>
  <c r="J380" i="20" a="1"/>
  <c r="J380" i="20" s="1"/>
  <c r="J381" i="20" a="1"/>
  <c r="J381" i="20" s="1"/>
  <c r="J382" i="20" a="1"/>
  <c r="J382" i="20" s="1"/>
  <c r="J383" i="20" a="1"/>
  <c r="J383" i="20" s="1"/>
  <c r="J384" i="20" a="1"/>
  <c r="J384" i="20" s="1"/>
  <c r="J385" i="20" a="1"/>
  <c r="J385" i="20" s="1"/>
  <c r="J386" i="20" a="1"/>
  <c r="J386" i="20" s="1"/>
  <c r="J387" i="20" a="1"/>
  <c r="J387" i="20" s="1"/>
  <c r="J388" i="20" a="1"/>
  <c r="J388" i="20" s="1"/>
  <c r="J389" i="20" a="1"/>
  <c r="J389" i="20" s="1"/>
  <c r="J390" i="20" a="1"/>
  <c r="J390" i="20" s="1"/>
  <c r="J391" i="20" a="1"/>
  <c r="J391" i="20" s="1"/>
  <c r="J392" i="20" a="1"/>
  <c r="J392" i="20" s="1"/>
  <c r="J393" i="20" a="1"/>
  <c r="J393" i="20" s="1"/>
  <c r="J394" i="20" a="1"/>
  <c r="J394" i="20" s="1"/>
  <c r="J395" i="20" a="1"/>
  <c r="J395" i="20" s="1"/>
  <c r="J396" i="20" a="1"/>
  <c r="J396" i="20" s="1"/>
  <c r="J397" i="20" a="1"/>
  <c r="J397" i="20" s="1"/>
  <c r="J398" i="20" a="1"/>
  <c r="J398" i="20" s="1"/>
  <c r="J399" i="20" a="1"/>
  <c r="J399" i="20" s="1"/>
  <c r="J400" i="20" a="1"/>
  <c r="J400" i="20" s="1"/>
  <c r="J401" i="20" a="1"/>
  <c r="J401" i="20" s="1"/>
  <c r="J402" i="20" a="1"/>
  <c r="J402" i="20" s="1"/>
  <c r="J403" i="20" a="1"/>
  <c r="J403" i="20" s="1"/>
  <c r="J404" i="20" a="1"/>
  <c r="J404" i="20" s="1"/>
  <c r="J405" i="20" a="1"/>
  <c r="J405" i="20" s="1"/>
  <c r="J406" i="20" a="1"/>
  <c r="J406" i="20" s="1"/>
  <c r="J407" i="20" a="1"/>
  <c r="J407" i="20" s="1"/>
  <c r="J408" i="20" a="1"/>
  <c r="J408" i="20" s="1"/>
  <c r="J409" i="20" a="1"/>
  <c r="J409" i="20" s="1"/>
  <c r="J410" i="20" a="1"/>
  <c r="J410" i="20" s="1"/>
  <c r="J411" i="20" a="1"/>
  <c r="J411" i="20" s="1"/>
  <c r="J412" i="20" a="1"/>
  <c r="J412" i="20" s="1"/>
  <c r="J413" i="20" a="1"/>
  <c r="J413" i="20" s="1"/>
  <c r="J414" i="20" a="1"/>
  <c r="J414" i="20" s="1"/>
  <c r="J415" i="20" a="1"/>
  <c r="J415" i="20" s="1"/>
  <c r="J416" i="20" a="1"/>
  <c r="J416" i="20" s="1"/>
  <c r="J417" i="20" a="1"/>
  <c r="J417" i="20" s="1"/>
  <c r="J418" i="20" a="1"/>
  <c r="J418" i="20" s="1"/>
  <c r="J419" i="20" a="1"/>
  <c r="J419" i="20" s="1"/>
  <c r="J420" i="20" a="1"/>
  <c r="J420" i="20" s="1"/>
  <c r="J421" i="20" a="1"/>
  <c r="J421" i="20" s="1"/>
  <c r="J422" i="20" a="1"/>
  <c r="J422" i="20" s="1"/>
  <c r="J423" i="20" a="1"/>
  <c r="J423" i="20" s="1"/>
  <c r="J424" i="20" a="1"/>
  <c r="J424" i="20" s="1"/>
  <c r="J425" i="20" a="1"/>
  <c r="J425" i="20" s="1"/>
  <c r="J426" i="20" a="1"/>
  <c r="J426" i="20" s="1"/>
  <c r="J427" i="20" a="1"/>
  <c r="J427" i="20" s="1"/>
  <c r="J428" i="20" a="1"/>
  <c r="J428" i="20" s="1"/>
  <c r="J429" i="20" a="1"/>
  <c r="J429" i="20" s="1"/>
  <c r="J430" i="20" a="1"/>
  <c r="J430" i="20" s="1"/>
  <c r="J431" i="20" a="1"/>
  <c r="J431" i="20" s="1"/>
  <c r="J432" i="20" a="1"/>
  <c r="J432" i="20" s="1"/>
  <c r="J433" i="20" a="1"/>
  <c r="J433" i="20" s="1"/>
  <c r="J434" i="20" a="1"/>
  <c r="J434" i="20" s="1"/>
  <c r="J435" i="20" a="1"/>
  <c r="J435" i="20" s="1"/>
  <c r="J436" i="20" a="1"/>
  <c r="J436" i="20" s="1"/>
  <c r="J437" i="20" a="1"/>
  <c r="J437" i="20" s="1"/>
  <c r="J438" i="20" a="1"/>
  <c r="J438" i="20" s="1"/>
  <c r="J439" i="20" a="1"/>
  <c r="J439" i="20" s="1"/>
  <c r="J440" i="20" a="1"/>
  <c r="J440" i="20" s="1"/>
  <c r="J441" i="20" a="1"/>
  <c r="J441" i="20" s="1"/>
  <c r="J442" i="20" a="1"/>
  <c r="J442" i="20" s="1"/>
  <c r="J443" i="20" a="1"/>
  <c r="J443" i="20" s="1"/>
  <c r="J444" i="20" a="1"/>
  <c r="J444" i="20" s="1"/>
  <c r="J445" i="20" a="1"/>
  <c r="J445" i="20" s="1"/>
  <c r="J446" i="20" a="1"/>
  <c r="J446" i="20" s="1"/>
  <c r="J447" i="20" a="1"/>
  <c r="J447" i="20" s="1"/>
  <c r="J448" i="20" a="1"/>
  <c r="J448" i="20" s="1"/>
  <c r="J449" i="20" a="1"/>
  <c r="J449" i="20" s="1"/>
  <c r="J450" i="20" a="1"/>
  <c r="J450" i="20" s="1"/>
  <c r="J451" i="20" a="1"/>
  <c r="J451" i="20" s="1"/>
  <c r="J452" i="20" a="1"/>
  <c r="J452" i="20" s="1"/>
  <c r="J453" i="20" a="1"/>
  <c r="J453" i="20" s="1"/>
  <c r="J454" i="20" a="1"/>
  <c r="J454" i="20" s="1"/>
  <c r="J455" i="20" a="1"/>
  <c r="J455" i="20" s="1"/>
  <c r="J456" i="20" a="1"/>
  <c r="J456" i="20" s="1"/>
  <c r="J457" i="20" a="1"/>
  <c r="J457" i="20" s="1"/>
  <c r="J458" i="20" a="1"/>
  <c r="J458" i="20" s="1"/>
  <c r="J459" i="20" a="1"/>
  <c r="J459" i="20" s="1"/>
  <c r="J460" i="20" a="1"/>
  <c r="J460" i="20" s="1"/>
  <c r="J461" i="20" a="1"/>
  <c r="J461" i="20" s="1"/>
  <c r="J462" i="20" a="1"/>
  <c r="J462" i="20" s="1"/>
  <c r="J463" i="20" a="1"/>
  <c r="J463" i="20" s="1"/>
  <c r="J464" i="20" a="1"/>
  <c r="J464" i="20" s="1"/>
  <c r="J465" i="20" a="1"/>
  <c r="J465" i="20" s="1"/>
  <c r="J466" i="20" a="1"/>
  <c r="J466" i="20" s="1"/>
  <c r="J467" i="20" a="1"/>
  <c r="J467" i="20" s="1"/>
  <c r="J468" i="20" a="1"/>
  <c r="J468" i="20" s="1"/>
  <c r="J469" i="20" a="1"/>
  <c r="J469" i="20" s="1"/>
  <c r="J470" i="20" a="1"/>
  <c r="J470" i="20" s="1"/>
  <c r="J471" i="20" a="1"/>
  <c r="J471" i="20" s="1"/>
  <c r="J472" i="20" a="1"/>
  <c r="J472" i="20" s="1"/>
  <c r="J473" i="20" a="1"/>
  <c r="J473" i="20" s="1"/>
  <c r="J474" i="20" a="1"/>
  <c r="J474" i="20" s="1"/>
  <c r="J475" i="20" a="1"/>
  <c r="J475" i="20" s="1"/>
  <c r="J476" i="20" a="1"/>
  <c r="J476" i="20" s="1"/>
  <c r="J477" i="20" a="1"/>
  <c r="J477" i="20" s="1"/>
  <c r="J478" i="20" a="1"/>
  <c r="J478" i="20" s="1"/>
  <c r="J479" i="20" a="1"/>
  <c r="J479" i="20" s="1"/>
  <c r="J480" i="20" a="1"/>
  <c r="J480" i="20" s="1"/>
  <c r="J481" i="20" a="1"/>
  <c r="J481" i="20" s="1"/>
  <c r="J482" i="20" a="1"/>
  <c r="J482" i="20" s="1"/>
  <c r="J483" i="20" a="1"/>
  <c r="J483" i="20" s="1"/>
  <c r="J484" i="20" a="1"/>
  <c r="J484" i="20" s="1"/>
  <c r="J485" i="20" a="1"/>
  <c r="J485" i="20" s="1"/>
  <c r="J486" i="20" a="1"/>
  <c r="J486" i="20" s="1"/>
  <c r="J487" i="20" a="1"/>
  <c r="J487" i="20" s="1"/>
  <c r="J488" i="20" a="1"/>
  <c r="J488" i="20" s="1"/>
  <c r="J489" i="20" a="1"/>
  <c r="J489" i="20" s="1"/>
  <c r="J490" i="20" a="1"/>
  <c r="J490" i="20" s="1"/>
  <c r="J491" i="20" a="1"/>
  <c r="J491" i="20" s="1"/>
  <c r="J492" i="20" a="1"/>
  <c r="J492" i="20" s="1"/>
  <c r="J493" i="20" a="1"/>
  <c r="J493" i="20" s="1"/>
  <c r="J494" i="20" a="1"/>
  <c r="J494" i="20" s="1"/>
  <c r="J495" i="20" a="1"/>
  <c r="J495" i="20" s="1"/>
  <c r="J496" i="20" a="1"/>
  <c r="J496" i="20" s="1"/>
  <c r="J497" i="20" a="1"/>
  <c r="J497" i="20" s="1"/>
  <c r="J498" i="20" a="1"/>
  <c r="J498" i="20" s="1"/>
  <c r="J499" i="20" a="1"/>
  <c r="J499" i="20" s="1"/>
  <c r="J500" i="20" a="1"/>
  <c r="J500" i="20" s="1"/>
  <c r="J501" i="20" a="1"/>
  <c r="J501" i="20" s="1"/>
  <c r="J502" i="20" a="1"/>
  <c r="J502" i="20" s="1"/>
  <c r="J503" i="20" a="1"/>
  <c r="J503" i="20" s="1"/>
  <c r="J504" i="20" a="1"/>
  <c r="J504" i="20" s="1"/>
  <c r="J505" i="20" a="1"/>
  <c r="J505" i="20" s="1"/>
  <c r="J506" i="20" a="1"/>
  <c r="J506" i="20" s="1"/>
  <c r="J507" i="20" a="1"/>
  <c r="J507" i="20" s="1"/>
  <c r="J508" i="20" a="1"/>
  <c r="J508" i="20" s="1"/>
  <c r="J509" i="20" a="1"/>
  <c r="J509" i="20" s="1"/>
  <c r="J510" i="20" a="1"/>
  <c r="J510" i="20" s="1"/>
  <c r="J511" i="20" a="1"/>
  <c r="J511" i="20" s="1"/>
  <c r="J512" i="20" a="1"/>
  <c r="J512" i="20" s="1"/>
  <c r="J513" i="20" a="1"/>
  <c r="J513" i="20" s="1"/>
  <c r="J514" i="20" a="1"/>
  <c r="J514" i="20" s="1"/>
  <c r="J515" i="20" a="1"/>
  <c r="J515" i="20" s="1"/>
  <c r="J516" i="20" a="1"/>
  <c r="J516" i="20" s="1"/>
  <c r="J517" i="20" a="1"/>
  <c r="J517" i="20" s="1"/>
  <c r="J518" i="20" a="1"/>
  <c r="J518" i="20" s="1"/>
  <c r="J519" i="20" a="1"/>
  <c r="J519" i="20" s="1"/>
  <c r="J520" i="20" a="1"/>
  <c r="J520" i="20" s="1"/>
  <c r="J521" i="20" a="1"/>
  <c r="J521" i="20" s="1"/>
  <c r="J522" i="20" a="1"/>
  <c r="J522" i="20" s="1"/>
  <c r="J523" i="20" a="1"/>
  <c r="J523" i="20" s="1"/>
  <c r="J524" i="20" a="1"/>
  <c r="J524" i="20" s="1"/>
  <c r="J525" i="20" a="1"/>
  <c r="J525" i="20" s="1"/>
  <c r="J526" i="20" a="1"/>
  <c r="J526" i="20" s="1"/>
  <c r="J527" i="20" a="1"/>
  <c r="J527" i="20" s="1"/>
  <c r="J528" i="20" a="1"/>
  <c r="J528" i="20" s="1"/>
  <c r="J529" i="20" a="1"/>
  <c r="J529" i="20" s="1"/>
  <c r="J530" i="20" a="1"/>
  <c r="J530" i="20" s="1"/>
  <c r="J531" i="20" a="1"/>
  <c r="J531" i="20" s="1"/>
  <c r="J532" i="20" a="1"/>
  <c r="J532" i="20" s="1"/>
  <c r="J533" i="20" a="1"/>
  <c r="J533" i="20" s="1"/>
  <c r="J534" i="20" a="1"/>
  <c r="J534" i="20" s="1"/>
  <c r="J535" i="20" a="1"/>
  <c r="J535" i="20" s="1"/>
  <c r="J536" i="20" a="1"/>
  <c r="J536" i="20" s="1"/>
  <c r="J537" i="20" a="1"/>
  <c r="J537" i="20" s="1"/>
  <c r="J538" i="20" a="1"/>
  <c r="J538" i="20" s="1"/>
  <c r="J539" i="20" a="1"/>
  <c r="J539" i="20" s="1"/>
  <c r="J540" i="20" a="1"/>
  <c r="J540" i="20" s="1"/>
  <c r="J541" i="20" a="1"/>
  <c r="J541" i="20" s="1"/>
  <c r="J542" i="20" a="1"/>
  <c r="J542" i="20" s="1"/>
  <c r="J543" i="20" a="1"/>
  <c r="J543" i="20" s="1"/>
  <c r="J544" i="20" a="1"/>
  <c r="J544" i="20" s="1"/>
  <c r="J545" i="20" a="1"/>
  <c r="J545" i="20" s="1"/>
  <c r="J546" i="20" a="1"/>
  <c r="J546" i="20" s="1"/>
  <c r="J547" i="20" a="1"/>
  <c r="J547" i="20" s="1"/>
  <c r="J548" i="20" a="1"/>
  <c r="J548" i="20" s="1"/>
  <c r="J549" i="20" a="1"/>
  <c r="J549" i="20" s="1"/>
  <c r="J550" i="20" a="1"/>
  <c r="J550" i="20" s="1"/>
  <c r="J551" i="20" a="1"/>
  <c r="J551" i="20" s="1"/>
  <c r="J552" i="20" a="1"/>
  <c r="J552" i="20" s="1"/>
  <c r="J553" i="20" a="1"/>
  <c r="J553" i="20" s="1"/>
  <c r="J554" i="20" a="1"/>
  <c r="J554" i="20" s="1"/>
  <c r="J555" i="20" a="1"/>
  <c r="J555" i="20" s="1"/>
  <c r="J556" i="20" a="1"/>
  <c r="J556" i="20" s="1"/>
  <c r="J557" i="20" a="1"/>
  <c r="J557" i="20" s="1"/>
  <c r="J558" i="20" a="1"/>
  <c r="J558" i="20" s="1"/>
  <c r="J559" i="20" a="1"/>
  <c r="J559" i="20" s="1"/>
  <c r="J560" i="20" a="1"/>
  <c r="J560" i="20" s="1"/>
  <c r="J561" i="20" a="1"/>
  <c r="J561" i="20" s="1"/>
  <c r="J562" i="20" a="1"/>
  <c r="J562" i="20" s="1"/>
  <c r="J563" i="20" a="1"/>
  <c r="J563" i="20" s="1"/>
  <c r="J564" i="20" a="1"/>
  <c r="J564" i="20" s="1"/>
  <c r="J565" i="20" a="1"/>
  <c r="J565" i="20" s="1"/>
  <c r="J566" i="20" a="1"/>
  <c r="J566" i="20" s="1"/>
  <c r="J567" i="20" a="1"/>
  <c r="J567" i="20" s="1"/>
  <c r="J568" i="20" a="1"/>
  <c r="J568" i="20" s="1"/>
  <c r="J569" i="20" a="1"/>
  <c r="J569" i="20" s="1"/>
  <c r="J570" i="20" a="1"/>
  <c r="J570" i="20" s="1"/>
  <c r="J571" i="20" a="1"/>
  <c r="J571" i="20" s="1"/>
  <c r="J572" i="20" a="1"/>
  <c r="J572" i="20" s="1"/>
  <c r="J573" i="20" a="1"/>
  <c r="J573" i="20" s="1"/>
  <c r="J574" i="20" a="1"/>
  <c r="J574" i="20" s="1"/>
  <c r="J575" i="20" a="1"/>
  <c r="J575" i="20" s="1"/>
  <c r="J576" i="20" a="1"/>
  <c r="J576" i="20" s="1"/>
  <c r="J577" i="20" a="1"/>
  <c r="J577" i="20" s="1"/>
  <c r="J578" i="20" a="1"/>
  <c r="J578" i="20" s="1"/>
  <c r="J579" i="20" a="1"/>
  <c r="J579" i="20" s="1"/>
  <c r="J580" i="20" a="1"/>
  <c r="J580" i="20" s="1"/>
  <c r="J581" i="20" a="1"/>
  <c r="J581" i="20" s="1"/>
  <c r="J582" i="20" a="1"/>
  <c r="J582" i="20" s="1"/>
  <c r="J583" i="20" a="1"/>
  <c r="J583" i="20" s="1"/>
  <c r="J584" i="20" a="1"/>
  <c r="J584" i="20" s="1"/>
  <c r="J585" i="20" a="1"/>
  <c r="J585" i="20" s="1"/>
  <c r="J586" i="20" a="1"/>
  <c r="J586" i="20" s="1"/>
  <c r="J587" i="20" a="1"/>
  <c r="J587" i="20" s="1"/>
  <c r="J588" i="20" a="1"/>
  <c r="J588" i="20" s="1"/>
  <c r="J589" i="20" a="1"/>
  <c r="J589" i="20" s="1"/>
  <c r="J590" i="20" a="1"/>
  <c r="J590" i="20" s="1"/>
  <c r="J591" i="20" a="1"/>
  <c r="J591" i="20" s="1"/>
  <c r="J592" i="20" a="1"/>
  <c r="J592" i="20" s="1"/>
  <c r="J593" i="20" a="1"/>
  <c r="J593" i="20" s="1"/>
  <c r="J594" i="20" a="1"/>
  <c r="J594" i="20" s="1"/>
  <c r="J595" i="20" a="1"/>
  <c r="J595" i="20" s="1"/>
  <c r="J596" i="20" a="1"/>
  <c r="J596" i="20" s="1"/>
  <c r="J597" i="20" a="1"/>
  <c r="J597" i="20" s="1"/>
  <c r="J598" i="20" a="1"/>
  <c r="J598" i="20" s="1"/>
  <c r="J599" i="20" a="1"/>
  <c r="J599" i="20" s="1"/>
  <c r="J600" i="20" a="1"/>
  <c r="J600" i="20" s="1"/>
  <c r="J601" i="20" a="1"/>
  <c r="J601" i="20" s="1"/>
  <c r="J602" i="20" a="1"/>
  <c r="J602" i="20" s="1"/>
  <c r="J603" i="20" a="1"/>
  <c r="J603" i="20" s="1"/>
  <c r="J604" i="20" a="1"/>
  <c r="J604" i="20" s="1"/>
  <c r="J605" i="20" a="1"/>
  <c r="J605" i="20" s="1"/>
  <c r="J606" i="20" a="1"/>
  <c r="J606" i="20" s="1"/>
  <c r="J607" i="20" a="1"/>
  <c r="J607" i="20" s="1"/>
  <c r="J608" i="20" a="1"/>
  <c r="J608" i="20" s="1"/>
  <c r="J609" i="20" a="1"/>
  <c r="J609" i="20" s="1"/>
  <c r="J610" i="20" a="1"/>
  <c r="J610" i="20" s="1"/>
  <c r="J611" i="20" a="1"/>
  <c r="J611" i="20" s="1"/>
  <c r="J612" i="20" a="1"/>
  <c r="J612" i="20" s="1"/>
  <c r="J613" i="20" a="1"/>
  <c r="J613" i="20" s="1"/>
  <c r="J614" i="20" a="1"/>
  <c r="J614" i="20" s="1"/>
  <c r="J615" i="20" a="1"/>
  <c r="J615" i="20" s="1"/>
  <c r="J616" i="20" a="1"/>
  <c r="J616" i="20" s="1"/>
  <c r="J617" i="20" a="1"/>
  <c r="J617" i="20" s="1"/>
  <c r="J618" i="20" a="1"/>
  <c r="J618" i="20" s="1"/>
  <c r="J619" i="20" a="1"/>
  <c r="J619" i="20" s="1"/>
  <c r="J620" i="20" a="1"/>
  <c r="J620" i="20" s="1"/>
  <c r="J621" i="20" a="1"/>
  <c r="J621" i="20" s="1"/>
  <c r="J622" i="20" a="1"/>
  <c r="J622" i="20" s="1"/>
  <c r="J623" i="20" a="1"/>
  <c r="J623" i="20" s="1"/>
  <c r="J624" i="20" a="1"/>
  <c r="J624" i="20" s="1"/>
  <c r="J625" i="20" a="1"/>
  <c r="J625" i="20" s="1"/>
  <c r="J626" i="20" a="1"/>
  <c r="J626" i="20" s="1"/>
  <c r="J627" i="20" a="1"/>
  <c r="J627" i="20" s="1"/>
  <c r="J628" i="20" a="1"/>
  <c r="J628" i="20" s="1"/>
  <c r="J629" i="20" a="1"/>
  <c r="J629" i="20" s="1"/>
  <c r="J630" i="20" a="1"/>
  <c r="J630" i="20" s="1"/>
  <c r="J631" i="20" a="1"/>
  <c r="J631" i="20" s="1"/>
  <c r="J632" i="20" a="1"/>
  <c r="J632" i="20" s="1"/>
  <c r="J633" i="20" a="1"/>
  <c r="J633" i="20" s="1"/>
  <c r="J634" i="20" a="1"/>
  <c r="J634" i="20" s="1"/>
  <c r="J635" i="20" a="1"/>
  <c r="J635" i="20" s="1"/>
  <c r="J636" i="20" a="1"/>
  <c r="J636" i="20" s="1"/>
  <c r="J637" i="20" a="1"/>
  <c r="J637" i="20" s="1"/>
  <c r="J638" i="20" a="1"/>
  <c r="J638" i="20" s="1"/>
  <c r="J639" i="20" a="1"/>
  <c r="J639" i="20" s="1"/>
  <c r="J640" i="20" a="1"/>
  <c r="J640" i="20" s="1"/>
  <c r="J641" i="20" a="1"/>
  <c r="J641" i="20" s="1"/>
  <c r="J642" i="20" a="1"/>
  <c r="J642" i="20" s="1"/>
  <c r="J643" i="20" a="1"/>
  <c r="J643" i="20" s="1"/>
  <c r="J644" i="20" a="1"/>
  <c r="J644" i="20" s="1"/>
  <c r="J645" i="20" a="1"/>
  <c r="J645" i="20" s="1"/>
  <c r="J646" i="20" a="1"/>
  <c r="J646" i="20" s="1"/>
  <c r="J647" i="20" a="1"/>
  <c r="J647" i="20" s="1"/>
  <c r="J648" i="20" a="1"/>
  <c r="J648" i="20" s="1"/>
  <c r="J649" i="20" a="1"/>
  <c r="J649" i="20" s="1"/>
  <c r="J650" i="20" a="1"/>
  <c r="J650" i="20" s="1"/>
  <c r="J651" i="20" a="1"/>
  <c r="J651" i="20" s="1"/>
  <c r="J652" i="20" a="1"/>
  <c r="J652" i="20" s="1"/>
  <c r="J653" i="20" a="1"/>
  <c r="J653" i="20" s="1"/>
  <c r="J654" i="20" a="1"/>
  <c r="J654" i="20" s="1"/>
  <c r="J655" i="20" a="1"/>
  <c r="J655" i="20" s="1"/>
  <c r="J656" i="20" a="1"/>
  <c r="J656" i="20" s="1"/>
  <c r="J657" i="20" a="1"/>
  <c r="J657" i="20" s="1"/>
  <c r="J658" i="20" a="1"/>
  <c r="J658" i="20" s="1"/>
  <c r="J659" i="20" a="1"/>
  <c r="J659" i="20" s="1"/>
  <c r="J660" i="20" a="1"/>
  <c r="J660" i="20" s="1"/>
  <c r="J661" i="20" a="1"/>
  <c r="J661" i="20" s="1"/>
  <c r="J662" i="20" a="1"/>
  <c r="J662" i="20" s="1"/>
  <c r="J663" i="20" a="1"/>
  <c r="J663" i="20" s="1"/>
  <c r="J664" i="20" a="1"/>
  <c r="J664" i="20" s="1"/>
  <c r="J665" i="20" a="1"/>
  <c r="J665" i="20" s="1"/>
  <c r="J666" i="20" a="1"/>
  <c r="J666" i="20" s="1"/>
  <c r="J667" i="20" a="1"/>
  <c r="J667" i="20" s="1"/>
  <c r="J668" i="20" a="1"/>
  <c r="J668" i="20" s="1"/>
  <c r="J669" i="20" a="1"/>
  <c r="J669" i="20" s="1"/>
  <c r="J670" i="20" a="1"/>
  <c r="J670" i="20" s="1"/>
  <c r="J671" i="20" a="1"/>
  <c r="J671" i="20" s="1"/>
  <c r="J672" i="20" a="1"/>
  <c r="J672" i="20" s="1"/>
  <c r="J673" i="20" a="1"/>
  <c r="J673" i="20" s="1"/>
  <c r="J674" i="20" a="1"/>
  <c r="J674" i="20" s="1"/>
  <c r="J675" i="20" a="1"/>
  <c r="J675" i="20" s="1"/>
  <c r="J676" i="20" a="1"/>
  <c r="J676" i="20" s="1"/>
  <c r="J677" i="20" a="1"/>
  <c r="J677" i="20" s="1"/>
  <c r="J678" i="20" a="1"/>
  <c r="J678" i="20" s="1"/>
  <c r="J679" i="20" a="1"/>
  <c r="J679" i="20" s="1"/>
  <c r="J680" i="20" a="1"/>
  <c r="J680" i="20" s="1"/>
  <c r="J681" i="20" a="1"/>
  <c r="J681" i="20" s="1"/>
  <c r="J682" i="20" a="1"/>
  <c r="J682" i="20" s="1"/>
  <c r="J683" i="20" a="1"/>
  <c r="J683" i="20" s="1"/>
  <c r="J684" i="20" a="1"/>
  <c r="J684" i="20" s="1"/>
  <c r="J685" i="20" a="1"/>
  <c r="J685" i="20" s="1"/>
  <c r="J686" i="20" a="1"/>
  <c r="J686" i="20" s="1"/>
  <c r="J687" i="20" a="1"/>
  <c r="J687" i="20" s="1"/>
  <c r="J688" i="20" a="1"/>
  <c r="J688" i="20" s="1"/>
  <c r="J689" i="20" a="1"/>
  <c r="J689" i="20" s="1"/>
  <c r="J690" i="20" a="1"/>
  <c r="J690" i="20" s="1"/>
  <c r="J691" i="20" a="1"/>
  <c r="J691" i="20" s="1"/>
  <c r="J692" i="20" a="1"/>
  <c r="J692" i="20" s="1"/>
  <c r="J693" i="20" a="1"/>
  <c r="J693" i="20" s="1"/>
  <c r="J694" i="20" a="1"/>
  <c r="J694" i="20" s="1"/>
  <c r="J695" i="20" a="1"/>
  <c r="J695" i="20" s="1"/>
  <c r="J696" i="20" a="1"/>
  <c r="J696" i="20" s="1"/>
  <c r="J697" i="20" a="1"/>
  <c r="J697" i="20" s="1"/>
  <c r="J698" i="20" a="1"/>
  <c r="J698" i="20" s="1"/>
  <c r="J699" i="20" a="1"/>
  <c r="J699" i="20" s="1"/>
  <c r="J700" i="20" a="1"/>
  <c r="J700" i="20" s="1"/>
  <c r="J701" i="20" a="1"/>
  <c r="J701" i="20" s="1"/>
  <c r="J702" i="20" a="1"/>
  <c r="J702" i="20" s="1"/>
  <c r="J703" i="20" a="1"/>
  <c r="J703" i="20" s="1"/>
  <c r="J704" i="20" a="1"/>
  <c r="J704" i="20" s="1"/>
  <c r="J705" i="20" a="1"/>
  <c r="J705" i="20" s="1"/>
  <c r="J706" i="20" a="1"/>
  <c r="J706" i="20" s="1"/>
  <c r="J707" i="20" a="1"/>
  <c r="J707" i="20" s="1"/>
  <c r="J708" i="20" a="1"/>
  <c r="J708" i="20" s="1"/>
  <c r="J709" i="20" a="1"/>
  <c r="J709" i="20" s="1"/>
  <c r="J710" i="20" a="1"/>
  <c r="J710" i="20" s="1"/>
  <c r="J711" i="20" a="1"/>
  <c r="J711" i="20" s="1"/>
  <c r="J712" i="20" a="1"/>
  <c r="J712" i="20" s="1"/>
  <c r="J713" i="20" a="1"/>
  <c r="J713" i="20" s="1"/>
  <c r="J714" i="20" a="1"/>
  <c r="J714" i="20" s="1"/>
  <c r="J715" i="20" a="1"/>
  <c r="J715" i="20" s="1"/>
  <c r="J716" i="20" a="1"/>
  <c r="J716" i="20" s="1"/>
  <c r="J717" i="20" a="1"/>
  <c r="J717" i="20" s="1"/>
  <c r="J718" i="20" a="1"/>
  <c r="J718" i="20" s="1"/>
  <c r="J719" i="20" a="1"/>
  <c r="J719" i="20" s="1"/>
  <c r="J720" i="20" a="1"/>
  <c r="J720" i="20" s="1"/>
  <c r="J721" i="20" a="1"/>
  <c r="J721" i="20" s="1"/>
  <c r="J722" i="20" a="1"/>
  <c r="J722" i="20" s="1"/>
  <c r="J723" i="20" a="1"/>
  <c r="J723" i="20" s="1"/>
  <c r="J724" i="20" a="1"/>
  <c r="J724" i="20" s="1"/>
  <c r="J725" i="20" a="1"/>
  <c r="J725" i="20" s="1"/>
  <c r="J726" i="20" a="1"/>
  <c r="J726" i="20" s="1"/>
  <c r="J727" i="20" a="1"/>
  <c r="J727" i="20" s="1"/>
  <c r="J728" i="20" a="1"/>
  <c r="J728" i="20" s="1"/>
  <c r="J729" i="20" a="1"/>
  <c r="J729" i="20" s="1"/>
  <c r="J730" i="20" a="1"/>
  <c r="J730" i="20" s="1"/>
  <c r="J731" i="20" a="1"/>
  <c r="J731" i="20" s="1"/>
  <c r="J732" i="20" a="1"/>
  <c r="J732" i="20" s="1"/>
  <c r="J733" i="20" a="1"/>
  <c r="J733" i="20" s="1"/>
  <c r="J734" i="20" a="1"/>
  <c r="J734" i="20" s="1"/>
  <c r="J735" i="20" a="1"/>
  <c r="J735" i="20" s="1"/>
  <c r="J736" i="20" a="1"/>
  <c r="J736" i="20" s="1"/>
  <c r="J737" i="20" a="1"/>
  <c r="J737" i="20" s="1"/>
  <c r="J738" i="20" a="1"/>
  <c r="J738" i="20" s="1"/>
  <c r="J739" i="20" a="1"/>
  <c r="J739" i="20" s="1"/>
  <c r="J740" i="20" a="1"/>
  <c r="J740" i="20" s="1"/>
  <c r="J741" i="20" a="1"/>
  <c r="J741" i="20" s="1"/>
  <c r="J742" i="20" a="1"/>
  <c r="J742" i="20" s="1"/>
  <c r="J743" i="20" a="1"/>
  <c r="J743" i="20" s="1"/>
  <c r="J744" i="20" a="1"/>
  <c r="J744" i="20" s="1"/>
  <c r="J745" i="20" a="1"/>
  <c r="J745" i="20" s="1"/>
  <c r="J746" i="20" a="1"/>
  <c r="J746" i="20" s="1"/>
  <c r="J747" i="20" a="1"/>
  <c r="J747" i="20" s="1"/>
  <c r="J748" i="20" a="1"/>
  <c r="J748" i="20" s="1"/>
  <c r="J749" i="20" a="1"/>
  <c r="J749" i="20" s="1"/>
  <c r="J750" i="20" a="1"/>
  <c r="J750" i="20" s="1"/>
  <c r="J751" i="20" a="1"/>
  <c r="J751" i="20" s="1"/>
  <c r="J752" i="20" a="1"/>
  <c r="J752" i="20" s="1"/>
  <c r="J753" i="20" a="1"/>
  <c r="J753" i="20" s="1"/>
  <c r="J754" i="20" a="1"/>
  <c r="J754" i="20" s="1"/>
  <c r="J755" i="20" a="1"/>
  <c r="J755" i="20" s="1"/>
  <c r="J756" i="20" a="1"/>
  <c r="J756" i="20" s="1"/>
  <c r="J757" i="20" a="1"/>
  <c r="J757" i="20" s="1"/>
  <c r="J758" i="20" a="1"/>
  <c r="J758" i="20" s="1"/>
  <c r="J759" i="20" a="1"/>
  <c r="J759" i="20" s="1"/>
  <c r="J760" i="20" a="1"/>
  <c r="J760" i="20" s="1"/>
  <c r="J761" i="20" a="1"/>
  <c r="J761" i="20" s="1"/>
  <c r="J762" i="20" a="1"/>
  <c r="J762" i="20" s="1"/>
  <c r="J763" i="20" a="1"/>
  <c r="J763" i="20" s="1"/>
  <c r="J764" i="20" a="1"/>
  <c r="J764" i="20" s="1"/>
  <c r="J765" i="20" a="1"/>
  <c r="J765" i="20" s="1"/>
  <c r="J766" i="20" a="1"/>
  <c r="J766" i="20" s="1"/>
  <c r="J767" i="20" a="1"/>
  <c r="J767" i="20" s="1"/>
  <c r="J768" i="20" a="1"/>
  <c r="J768" i="20" s="1"/>
  <c r="J769" i="20" a="1"/>
  <c r="J769" i="20" s="1"/>
  <c r="J770" i="20" a="1"/>
  <c r="J770" i="20" s="1"/>
  <c r="J771" i="20" a="1"/>
  <c r="J771" i="20" s="1"/>
  <c r="J772" i="20" a="1"/>
  <c r="J772" i="20" s="1"/>
  <c r="J773" i="20" a="1"/>
  <c r="J773" i="20" s="1"/>
  <c r="J774" i="20" a="1"/>
  <c r="J774" i="20" s="1"/>
  <c r="J775" i="20" a="1"/>
  <c r="J775" i="20" s="1"/>
  <c r="J776" i="20" a="1"/>
  <c r="J776" i="20" s="1"/>
  <c r="J777" i="20" a="1"/>
  <c r="J777" i="20" s="1"/>
  <c r="J778" i="20" a="1"/>
  <c r="J778" i="20" s="1"/>
  <c r="J779" i="20" a="1"/>
  <c r="J779" i="20" s="1"/>
  <c r="J780" i="20" a="1"/>
  <c r="J780" i="20" s="1"/>
  <c r="J781" i="20" a="1"/>
  <c r="J781" i="20" s="1"/>
  <c r="J782" i="20" a="1"/>
  <c r="J782" i="20" s="1"/>
  <c r="J783" i="20" a="1"/>
  <c r="J783" i="20" s="1"/>
  <c r="J784" i="20" a="1"/>
  <c r="J784" i="20" s="1"/>
  <c r="J785" i="20" a="1"/>
  <c r="J785" i="20" s="1"/>
  <c r="J786" i="20" a="1"/>
  <c r="J786" i="20" s="1"/>
  <c r="J787" i="20" a="1"/>
  <c r="J787" i="20" s="1"/>
  <c r="J788" i="20" a="1"/>
  <c r="J788" i="20" s="1"/>
  <c r="J789" i="20" a="1"/>
  <c r="J789" i="20" s="1"/>
  <c r="J790" i="20" a="1"/>
  <c r="J790" i="20" s="1"/>
  <c r="J791" i="20" a="1"/>
  <c r="J791" i="20" s="1"/>
  <c r="J792" i="20" a="1"/>
  <c r="J792" i="20" s="1"/>
  <c r="J793" i="20" a="1"/>
  <c r="J793" i="20" s="1"/>
  <c r="J794" i="20" a="1"/>
  <c r="J794" i="20" s="1"/>
  <c r="J795" i="20" a="1"/>
  <c r="J795" i="20" s="1"/>
  <c r="J796" i="20" a="1"/>
  <c r="J796" i="20" s="1"/>
  <c r="J797" i="20" a="1"/>
  <c r="J797" i="20" s="1"/>
  <c r="J798" i="20" a="1"/>
  <c r="J798" i="20" s="1"/>
  <c r="J799" i="20" a="1"/>
  <c r="J799" i="20" s="1"/>
  <c r="J800" i="20" a="1"/>
  <c r="J800" i="20" s="1"/>
  <c r="J801" i="20" a="1"/>
  <c r="J801" i="20" s="1"/>
  <c r="J802" i="20" a="1"/>
  <c r="J802" i="20" s="1"/>
  <c r="J803" i="20" a="1"/>
  <c r="J803" i="20" s="1"/>
  <c r="J804" i="20" a="1"/>
  <c r="J804" i="20" s="1"/>
  <c r="J805" i="20" a="1"/>
  <c r="J805" i="20" s="1"/>
  <c r="J806" i="20" a="1"/>
  <c r="J806" i="20" s="1"/>
  <c r="J807" i="20" a="1"/>
  <c r="J807" i="20" s="1"/>
  <c r="J808" i="20" a="1"/>
  <c r="J808" i="20" s="1"/>
  <c r="J809" i="20" a="1"/>
  <c r="J809" i="20" s="1"/>
  <c r="J810" i="20" a="1"/>
  <c r="J810" i="20" s="1"/>
  <c r="J811" i="20" a="1"/>
  <c r="J811" i="20" s="1"/>
  <c r="J812" i="20" a="1"/>
  <c r="J812" i="20" s="1"/>
  <c r="J813" i="20" a="1"/>
  <c r="J813" i="20" s="1"/>
  <c r="J814" i="20" a="1"/>
  <c r="J814" i="20" s="1"/>
  <c r="J815" i="20" a="1"/>
  <c r="J815" i="20" s="1"/>
  <c r="J816" i="20" a="1"/>
  <c r="J816" i="20" s="1"/>
  <c r="J817" i="20" a="1"/>
  <c r="J817" i="20" s="1"/>
  <c r="J818" i="20" a="1"/>
  <c r="J818" i="20" s="1"/>
  <c r="J819" i="20" a="1"/>
  <c r="J819" i="20" s="1"/>
  <c r="J820" i="20" a="1"/>
  <c r="J820" i="20" s="1"/>
  <c r="J821" i="20" a="1"/>
  <c r="J821" i="20" s="1"/>
  <c r="J822" i="20" a="1"/>
  <c r="J822" i="20" s="1"/>
  <c r="J823" i="20" a="1"/>
  <c r="J823" i="20" s="1"/>
  <c r="J824" i="20" a="1"/>
  <c r="J824" i="20" s="1"/>
  <c r="J825" i="20" a="1"/>
  <c r="J825" i="20" s="1"/>
  <c r="J826" i="20" a="1"/>
  <c r="J826" i="20" s="1"/>
  <c r="J827" i="20" a="1"/>
  <c r="J827" i="20" s="1"/>
  <c r="J828" i="20" a="1"/>
  <c r="J828" i="20" s="1"/>
  <c r="J829" i="20" a="1"/>
  <c r="J829" i="20" s="1"/>
  <c r="J830" i="20" a="1"/>
  <c r="J830" i="20" s="1"/>
  <c r="J831" i="20" a="1"/>
  <c r="J831" i="20" s="1"/>
  <c r="J832" i="20" a="1"/>
  <c r="J832" i="20" s="1"/>
  <c r="J833" i="20" a="1"/>
  <c r="J833" i="20" s="1"/>
  <c r="J834" i="20" a="1"/>
  <c r="J834" i="20" s="1"/>
  <c r="J835" i="20" a="1"/>
  <c r="J835" i="20" s="1"/>
  <c r="J836" i="20" a="1"/>
  <c r="J836" i="20" s="1"/>
  <c r="J837" i="20" a="1"/>
  <c r="J837" i="20" s="1"/>
  <c r="J838" i="20" a="1"/>
  <c r="J838" i="20" s="1"/>
  <c r="J839" i="20" a="1"/>
  <c r="J839" i="20" s="1"/>
  <c r="J840" i="20" a="1"/>
  <c r="J840" i="20" s="1"/>
  <c r="J841" i="20" a="1"/>
  <c r="J841" i="20" s="1"/>
  <c r="J842" i="20" a="1"/>
  <c r="J842" i="20" s="1"/>
  <c r="J843" i="20" a="1"/>
  <c r="J843" i="20" s="1"/>
  <c r="J844" i="20" a="1"/>
  <c r="J844" i="20" s="1"/>
  <c r="J845" i="20" a="1"/>
  <c r="J845" i="20" s="1"/>
  <c r="J846" i="20" a="1"/>
  <c r="J846" i="20" s="1"/>
  <c r="J847" i="20" a="1"/>
  <c r="J847" i="20" s="1"/>
  <c r="J848" i="20" a="1"/>
  <c r="J848" i="20" s="1"/>
  <c r="J849" i="20" a="1"/>
  <c r="J849" i="20" s="1"/>
  <c r="J850" i="20" a="1"/>
  <c r="J850" i="20" s="1"/>
  <c r="J851" i="20" a="1"/>
  <c r="J851" i="20" s="1"/>
  <c r="J852" i="20" a="1"/>
  <c r="J852" i="20" s="1"/>
  <c r="J853" i="20" a="1"/>
  <c r="J853" i="20" s="1"/>
  <c r="J854" i="20" a="1"/>
  <c r="J854" i="20" s="1"/>
  <c r="J855" i="20" a="1"/>
  <c r="J855" i="20" s="1"/>
  <c r="J856" i="20" a="1"/>
  <c r="J856" i="20" s="1"/>
  <c r="J857" i="20" a="1"/>
  <c r="J857" i="20" s="1"/>
  <c r="J858" i="20" a="1"/>
  <c r="J858" i="20" s="1"/>
  <c r="J859" i="20" a="1"/>
  <c r="J859" i="20" s="1"/>
  <c r="J860" i="20" a="1"/>
  <c r="J860" i="20" s="1"/>
  <c r="J861" i="20" a="1"/>
  <c r="J861" i="20" s="1"/>
  <c r="J862" i="20" a="1"/>
  <c r="J862" i="20" s="1"/>
  <c r="J863" i="20" a="1"/>
  <c r="J863" i="20" s="1"/>
  <c r="J864" i="20" a="1"/>
  <c r="J864" i="20" s="1"/>
  <c r="J865" i="20" a="1"/>
  <c r="J865" i="20" s="1"/>
  <c r="J866" i="20" a="1"/>
  <c r="J866" i="20" s="1"/>
  <c r="J867" i="20" a="1"/>
  <c r="J867" i="20" s="1"/>
  <c r="J868" i="20" a="1"/>
  <c r="J868" i="20" s="1"/>
  <c r="J869" i="20" a="1"/>
  <c r="J869" i="20" s="1"/>
  <c r="J870" i="20" a="1"/>
  <c r="J870" i="20" s="1"/>
  <c r="J871" i="20" a="1"/>
  <c r="J871" i="20" s="1"/>
  <c r="J872" i="20" a="1"/>
  <c r="J872" i="20" s="1"/>
  <c r="J873" i="20" a="1"/>
  <c r="J873" i="20" s="1"/>
  <c r="J874" i="20" a="1"/>
  <c r="J874" i="20" s="1"/>
  <c r="J875" i="20" a="1"/>
  <c r="J875" i="20" s="1"/>
  <c r="J876" i="20" a="1"/>
  <c r="J876" i="20" s="1"/>
  <c r="J877" i="20" a="1"/>
  <c r="J877" i="20" s="1"/>
  <c r="J878" i="20" a="1"/>
  <c r="J878" i="20" s="1"/>
  <c r="J879" i="20" a="1"/>
  <c r="J879" i="20" s="1"/>
  <c r="J880" i="20" a="1"/>
  <c r="J880" i="20" s="1"/>
  <c r="J881" i="20" a="1"/>
  <c r="J881" i="20" s="1"/>
  <c r="J882" i="20" a="1"/>
  <c r="J882" i="20" s="1"/>
  <c r="J883" i="20" a="1"/>
  <c r="J883" i="20" s="1"/>
  <c r="J884" i="20" a="1"/>
  <c r="J884" i="20" s="1"/>
  <c r="J885" i="20" a="1"/>
  <c r="J885" i="20" s="1"/>
  <c r="J886" i="20" a="1"/>
  <c r="J886" i="20" s="1"/>
  <c r="J887" i="20" a="1"/>
  <c r="J887" i="20" s="1"/>
  <c r="J888" i="20" a="1"/>
  <c r="J888" i="20" s="1"/>
  <c r="J889" i="20" a="1"/>
  <c r="J889" i="20" s="1"/>
  <c r="J890" i="20" a="1"/>
  <c r="J890" i="20" s="1"/>
  <c r="J891" i="20" a="1"/>
  <c r="J891" i="20" s="1"/>
  <c r="J892" i="20" a="1"/>
  <c r="J892" i="20" s="1"/>
  <c r="J893" i="20" a="1"/>
  <c r="J893" i="20" s="1"/>
  <c r="J894" i="20" a="1"/>
  <c r="J894" i="20" s="1"/>
  <c r="J895" i="20" a="1"/>
  <c r="J895" i="20" s="1"/>
  <c r="J896" i="20" a="1"/>
  <c r="J896" i="20" s="1"/>
  <c r="J897" i="20" a="1"/>
  <c r="J897" i="20" s="1"/>
  <c r="J898" i="20" a="1"/>
  <c r="J898" i="20" s="1"/>
  <c r="J899" i="20" a="1"/>
  <c r="J899" i="20" s="1"/>
  <c r="J900" i="20" a="1"/>
  <c r="J900" i="20" s="1"/>
  <c r="J901" i="20" a="1"/>
  <c r="J901" i="20" s="1"/>
  <c r="J902" i="20" a="1"/>
  <c r="J902" i="20" s="1"/>
  <c r="J903" i="20" a="1"/>
  <c r="J903" i="20" s="1"/>
  <c r="J904" i="20" a="1"/>
  <c r="J904" i="20" s="1"/>
  <c r="J905" i="20" a="1"/>
  <c r="J905" i="20" s="1"/>
  <c r="J906" i="20" a="1"/>
  <c r="J906" i="20" s="1"/>
  <c r="J907" i="20" a="1"/>
  <c r="J907" i="20" s="1"/>
  <c r="J908" i="20" a="1"/>
  <c r="J908" i="20" s="1"/>
  <c r="J909" i="20" a="1"/>
  <c r="J909" i="20" s="1"/>
  <c r="J910" i="20" a="1"/>
  <c r="J910" i="20" s="1"/>
  <c r="J911" i="20" a="1"/>
  <c r="J911" i="20" s="1"/>
  <c r="J912" i="20" a="1"/>
  <c r="J912" i="20" s="1"/>
  <c r="J913" i="20" a="1"/>
  <c r="J913" i="20" s="1"/>
  <c r="J914" i="20" a="1"/>
  <c r="J914" i="20" s="1"/>
  <c r="J915" i="20" a="1"/>
  <c r="J915" i="20" s="1"/>
  <c r="J916" i="20" a="1"/>
  <c r="J916" i="20" s="1"/>
  <c r="J917" i="20" a="1"/>
  <c r="J917" i="20" s="1"/>
  <c r="J918" i="20" a="1"/>
  <c r="J918" i="20" s="1"/>
  <c r="J919" i="20" a="1"/>
  <c r="J919" i="20" s="1"/>
  <c r="J920" i="20" a="1"/>
  <c r="J920" i="20" s="1"/>
  <c r="J921" i="20" a="1"/>
  <c r="J921" i="20" s="1"/>
  <c r="J922" i="20" a="1"/>
  <c r="J922" i="20" s="1"/>
  <c r="J923" i="20" a="1"/>
  <c r="J923" i="20" s="1"/>
  <c r="J924" i="20" a="1"/>
  <c r="J924" i="20" s="1"/>
  <c r="J925" i="20" a="1"/>
  <c r="J925" i="20" s="1"/>
  <c r="J926" i="20" a="1"/>
  <c r="J926" i="20" s="1"/>
  <c r="J927" i="20" a="1"/>
  <c r="J927" i="20" s="1"/>
  <c r="J928" i="20" a="1"/>
  <c r="J928" i="20" s="1"/>
  <c r="J929" i="20" a="1"/>
  <c r="J929" i="20" s="1"/>
  <c r="J930" i="20" a="1"/>
  <c r="J930" i="20" s="1"/>
  <c r="J931" i="20" a="1"/>
  <c r="J931" i="20" s="1"/>
  <c r="J932" i="20" a="1"/>
  <c r="J932" i="20" s="1"/>
  <c r="J933" i="20" a="1"/>
  <c r="J933" i="20" s="1"/>
  <c r="J934" i="20" a="1"/>
  <c r="J934" i="20" s="1"/>
  <c r="J935" i="20" a="1"/>
  <c r="J935" i="20" s="1"/>
  <c r="J936" i="20" a="1"/>
  <c r="J936" i="20" s="1"/>
  <c r="J937" i="20" a="1"/>
  <c r="J937" i="20" s="1"/>
  <c r="J938" i="20" a="1"/>
  <c r="J938" i="20" s="1"/>
  <c r="J939" i="20" a="1"/>
  <c r="J939" i="20" s="1"/>
  <c r="J940" i="20" a="1"/>
  <c r="J940" i="20" s="1"/>
  <c r="J941" i="20" a="1"/>
  <c r="J941" i="20" s="1"/>
  <c r="J942" i="20" a="1"/>
  <c r="J942" i="20" s="1"/>
  <c r="J943" i="20" a="1"/>
  <c r="J943" i="20" s="1"/>
  <c r="J944" i="20" a="1"/>
  <c r="J944" i="20" s="1"/>
  <c r="J945" i="20" a="1"/>
  <c r="J945" i="20" s="1"/>
  <c r="J946" i="20" a="1"/>
  <c r="J946" i="20" s="1"/>
  <c r="J947" i="20" a="1"/>
  <c r="J947" i="20" s="1"/>
  <c r="J948" i="20" a="1"/>
  <c r="J948" i="20" s="1"/>
  <c r="J949" i="20" a="1"/>
  <c r="J949" i="20" s="1"/>
  <c r="J950" i="20" a="1"/>
  <c r="J950" i="20" s="1"/>
  <c r="J951" i="20" a="1"/>
  <c r="J951" i="20" s="1"/>
  <c r="J952" i="20" a="1"/>
  <c r="J952" i="20" s="1"/>
  <c r="J953" i="20" a="1"/>
  <c r="J953" i="20" s="1"/>
  <c r="J954" i="20" a="1"/>
  <c r="J954" i="20" s="1"/>
  <c r="J955" i="20" a="1"/>
  <c r="J955" i="20" s="1"/>
  <c r="J956" i="20" a="1"/>
  <c r="J956" i="20" s="1"/>
  <c r="J957" i="20" a="1"/>
  <c r="J957" i="20" s="1"/>
  <c r="J958" i="20" a="1"/>
  <c r="J958" i="20" s="1"/>
  <c r="J959" i="20" a="1"/>
  <c r="J959" i="20" s="1"/>
  <c r="J960" i="20" a="1"/>
  <c r="J960" i="20" s="1"/>
  <c r="J961" i="20" a="1"/>
  <c r="J961" i="20" s="1"/>
  <c r="J962" i="20" a="1"/>
  <c r="J962" i="20" s="1"/>
  <c r="J963" i="20" a="1"/>
  <c r="J963" i="20" s="1"/>
  <c r="J964" i="20" a="1"/>
  <c r="J964" i="20" s="1"/>
  <c r="J965" i="20" a="1"/>
  <c r="J965" i="20" s="1"/>
  <c r="J966" i="20" a="1"/>
  <c r="J966" i="20" s="1"/>
  <c r="J967" i="20" a="1"/>
  <c r="J967" i="20" s="1"/>
  <c r="J968" i="20" a="1"/>
  <c r="J968" i="20" s="1"/>
  <c r="J969" i="20" a="1"/>
  <c r="J969" i="20" s="1"/>
  <c r="J970" i="20" a="1"/>
  <c r="J970" i="20" s="1"/>
  <c r="J971" i="20" a="1"/>
  <c r="J971" i="20" s="1"/>
  <c r="J972" i="20" a="1"/>
  <c r="J972" i="20" s="1"/>
  <c r="J973" i="20" a="1"/>
  <c r="J973" i="20" s="1"/>
  <c r="J974" i="20" a="1"/>
  <c r="J974" i="20" s="1"/>
  <c r="J975" i="20" a="1"/>
  <c r="J975" i="20" s="1"/>
  <c r="J976" i="20" a="1"/>
  <c r="J976" i="20" s="1"/>
  <c r="J977" i="20" a="1"/>
  <c r="J977" i="20" s="1"/>
  <c r="J978" i="20" a="1"/>
  <c r="J978" i="20" s="1"/>
  <c r="J979" i="20" a="1"/>
  <c r="J979" i="20" s="1"/>
  <c r="J980" i="20" a="1"/>
  <c r="J980" i="20" s="1"/>
  <c r="J981" i="20" a="1"/>
  <c r="J981" i="20" s="1"/>
  <c r="J982" i="20" a="1"/>
  <c r="J982" i="20" s="1"/>
  <c r="J983" i="20" a="1"/>
  <c r="J983" i="20" s="1"/>
  <c r="J984" i="20" a="1"/>
  <c r="J984" i="20" s="1"/>
  <c r="J985" i="20" a="1"/>
  <c r="J985" i="20" s="1"/>
  <c r="J986" i="20" a="1"/>
  <c r="J986" i="20" s="1"/>
  <c r="J987" i="20" a="1"/>
  <c r="J987" i="20" s="1"/>
  <c r="J988" i="20" a="1"/>
  <c r="J988" i="20" s="1"/>
  <c r="J989" i="20" a="1"/>
  <c r="J989" i="20" s="1"/>
  <c r="J990" i="20" a="1"/>
  <c r="J990" i="20" s="1"/>
  <c r="J991" i="20" a="1"/>
  <c r="J991" i="20" s="1"/>
  <c r="J992" i="20" a="1"/>
  <c r="J992" i="20" s="1"/>
  <c r="J993" i="20" a="1"/>
  <c r="J993" i="20" s="1"/>
  <c r="J994" i="20" a="1"/>
  <c r="J994" i="20" s="1"/>
  <c r="J995" i="20" a="1"/>
  <c r="J995" i="20" s="1"/>
  <c r="J996" i="20" a="1"/>
  <c r="J996" i="20" s="1"/>
  <c r="J997" i="20" a="1"/>
  <c r="J997" i="20" s="1"/>
  <c r="J998" i="20" a="1"/>
  <c r="J998" i="20" s="1"/>
  <c r="J999" i="20" a="1"/>
  <c r="J999" i="20" s="1"/>
  <c r="J1000" i="20" a="1"/>
  <c r="J1000" i="20" s="1"/>
  <c r="J1001" i="20" a="1"/>
  <c r="J1001" i="20" s="1"/>
  <c r="J1002" i="20" a="1"/>
  <c r="J1002" i="20" s="1"/>
  <c r="I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H3" i="20"/>
  <c r="H4" i="20"/>
  <c r="H5" i="20"/>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321" i="20"/>
  <c r="H322" i="20"/>
  <c r="H323" i="20"/>
  <c r="H324" i="20"/>
  <c r="H325" i="20"/>
  <c r="H326" i="20"/>
  <c r="H327" i="20"/>
  <c r="H328" i="20"/>
  <c r="H329" i="20"/>
  <c r="H330" i="20"/>
  <c r="H331" i="20"/>
  <c r="H332" i="20"/>
  <c r="H333" i="20"/>
  <c r="H334" i="20"/>
  <c r="H335" i="20"/>
  <c r="H336" i="20"/>
  <c r="H337" i="20"/>
  <c r="H338" i="20"/>
  <c r="H339" i="20"/>
  <c r="H340" i="20"/>
  <c r="H341" i="20"/>
  <c r="H342" i="20"/>
  <c r="H343" i="20"/>
  <c r="H344" i="20"/>
  <c r="H345" i="20"/>
  <c r="H346" i="20"/>
  <c r="H347" i="20"/>
  <c r="H348" i="20"/>
  <c r="H349" i="20"/>
  <c r="H350" i="20"/>
  <c r="H351" i="20"/>
  <c r="H352" i="20"/>
  <c r="H353" i="20"/>
  <c r="H354" i="20"/>
  <c r="H355" i="20"/>
  <c r="H356" i="20"/>
  <c r="H357" i="20"/>
  <c r="H358" i="20"/>
  <c r="H359" i="20"/>
  <c r="H360" i="20"/>
  <c r="H361" i="20"/>
  <c r="H362" i="20"/>
  <c r="H363" i="20"/>
  <c r="H364" i="20"/>
  <c r="H365" i="20"/>
  <c r="H366" i="20"/>
  <c r="H367" i="20"/>
  <c r="H368" i="20"/>
  <c r="H369" i="20"/>
  <c r="H370" i="20"/>
  <c r="H371" i="20"/>
  <c r="H372" i="20"/>
  <c r="H373" i="20"/>
  <c r="H374" i="20"/>
  <c r="H375" i="20"/>
  <c r="H376" i="20"/>
  <c r="H377" i="20"/>
  <c r="H378" i="20"/>
  <c r="H379" i="20"/>
  <c r="H380" i="20"/>
  <c r="H381" i="20"/>
  <c r="H382" i="20"/>
  <c r="H383" i="20"/>
  <c r="H384" i="20"/>
  <c r="H385" i="20"/>
  <c r="H386" i="20"/>
  <c r="H387" i="20"/>
  <c r="H388" i="20"/>
  <c r="H389" i="20"/>
  <c r="H390" i="20"/>
  <c r="H391" i="20"/>
  <c r="H392" i="20"/>
  <c r="H393" i="20"/>
  <c r="H394" i="20"/>
  <c r="H395" i="20"/>
  <c r="H396" i="20"/>
  <c r="H397" i="20"/>
  <c r="H398" i="20"/>
  <c r="H399" i="20"/>
  <c r="H400" i="20"/>
  <c r="H401" i="20"/>
  <c r="H402" i="20"/>
  <c r="H403" i="20"/>
  <c r="H404" i="20"/>
  <c r="H405" i="20"/>
  <c r="H406" i="20"/>
  <c r="H407" i="20"/>
  <c r="H408" i="20"/>
  <c r="H409" i="20"/>
  <c r="H410" i="20"/>
  <c r="H411" i="20"/>
  <c r="H412" i="20"/>
  <c r="H413" i="20"/>
  <c r="H414" i="20"/>
  <c r="H415" i="20"/>
  <c r="H416" i="20"/>
  <c r="H417" i="20"/>
  <c r="H418" i="20"/>
  <c r="H419" i="20"/>
  <c r="H420" i="20"/>
  <c r="H421" i="20"/>
  <c r="H422" i="20"/>
  <c r="H423" i="20"/>
  <c r="H424" i="20"/>
  <c r="H425" i="20"/>
  <c r="H426" i="20"/>
  <c r="H427" i="20"/>
  <c r="H428" i="20"/>
  <c r="H429" i="20"/>
  <c r="H430" i="20"/>
  <c r="H431" i="20"/>
  <c r="H432" i="20"/>
  <c r="H433" i="20"/>
  <c r="H434" i="20"/>
  <c r="H435" i="20"/>
  <c r="H436" i="20"/>
  <c r="H437" i="20"/>
  <c r="H438" i="20"/>
  <c r="H439" i="20"/>
  <c r="H440" i="20"/>
  <c r="H441" i="20"/>
  <c r="H442" i="20"/>
  <c r="H443" i="20"/>
  <c r="H444" i="20"/>
  <c r="H445" i="20"/>
  <c r="H446" i="20"/>
  <c r="H447" i="20"/>
  <c r="H448" i="20"/>
  <c r="H449" i="20"/>
  <c r="H450" i="20"/>
  <c r="H451" i="20"/>
  <c r="H452" i="20"/>
  <c r="H453" i="20"/>
  <c r="H454" i="20"/>
  <c r="H455" i="20"/>
  <c r="H456" i="20"/>
  <c r="H457" i="20"/>
  <c r="H458" i="20"/>
  <c r="H459" i="20"/>
  <c r="H460" i="20"/>
  <c r="H461" i="20"/>
  <c r="H462" i="20"/>
  <c r="H463" i="20"/>
  <c r="H464" i="20"/>
  <c r="H465" i="20"/>
  <c r="H466" i="20"/>
  <c r="H467" i="20"/>
  <c r="H468" i="20"/>
  <c r="H469" i="20"/>
  <c r="H470" i="20"/>
  <c r="H471" i="20"/>
  <c r="H472" i="20"/>
  <c r="H473" i="20"/>
  <c r="H474" i="20"/>
  <c r="H475" i="20"/>
  <c r="H476" i="20"/>
  <c r="H477" i="20"/>
  <c r="H478" i="20"/>
  <c r="H479" i="20"/>
  <c r="H480" i="20"/>
  <c r="H481" i="20"/>
  <c r="H482" i="20"/>
  <c r="H483" i="20"/>
  <c r="H484" i="20"/>
  <c r="H485" i="20"/>
  <c r="H486" i="20"/>
  <c r="H487" i="20"/>
  <c r="H488" i="20"/>
  <c r="H489" i="20"/>
  <c r="H490" i="20"/>
  <c r="H491" i="20"/>
  <c r="H492" i="20"/>
  <c r="H493" i="20"/>
  <c r="H494" i="20"/>
  <c r="H495" i="20"/>
  <c r="H496" i="20"/>
  <c r="H497" i="20"/>
  <c r="H498" i="20"/>
  <c r="H499" i="20"/>
  <c r="H500" i="20"/>
  <c r="H501" i="20"/>
  <c r="H502" i="20"/>
  <c r="H503" i="20"/>
  <c r="H504" i="20"/>
  <c r="H505" i="20"/>
  <c r="H506" i="20"/>
  <c r="H507" i="20"/>
  <c r="H508" i="20"/>
  <c r="H509" i="20"/>
  <c r="H510" i="20"/>
  <c r="H511" i="20"/>
  <c r="H512" i="20"/>
  <c r="H513" i="20"/>
  <c r="H514" i="20"/>
  <c r="H515" i="20"/>
  <c r="H516" i="20"/>
  <c r="H517" i="20"/>
  <c r="H518" i="20"/>
  <c r="H519" i="20"/>
  <c r="H520" i="20"/>
  <c r="H521" i="20"/>
  <c r="H522" i="20"/>
  <c r="H523" i="20"/>
  <c r="H524" i="20"/>
  <c r="H525" i="20"/>
  <c r="H526" i="20"/>
  <c r="H527" i="20"/>
  <c r="H528" i="20"/>
  <c r="H529" i="20"/>
  <c r="H530" i="20"/>
  <c r="H531" i="20"/>
  <c r="H532" i="20"/>
  <c r="H533" i="20"/>
  <c r="H534" i="20"/>
  <c r="H535" i="20"/>
  <c r="H536" i="20"/>
  <c r="H537" i="20"/>
  <c r="H538" i="20"/>
  <c r="H539" i="20"/>
  <c r="H540" i="20"/>
  <c r="H541" i="20"/>
  <c r="H542" i="20"/>
  <c r="H543" i="20"/>
  <c r="H544" i="20"/>
  <c r="H545" i="20"/>
  <c r="H546" i="20"/>
  <c r="H547" i="20"/>
  <c r="H548" i="20"/>
  <c r="H549" i="20"/>
  <c r="H550" i="20"/>
  <c r="H551" i="20"/>
  <c r="H552" i="20"/>
  <c r="H553" i="20"/>
  <c r="H554" i="20"/>
  <c r="H555" i="20"/>
  <c r="H556" i="20"/>
  <c r="H557" i="20"/>
  <c r="H558" i="20"/>
  <c r="H559" i="20"/>
  <c r="H560" i="20"/>
  <c r="H561" i="20"/>
  <c r="H562" i="20"/>
  <c r="H563" i="20"/>
  <c r="H564" i="20"/>
  <c r="H565" i="20"/>
  <c r="H566" i="20"/>
  <c r="H567" i="20"/>
  <c r="H568" i="20"/>
  <c r="H569" i="20"/>
  <c r="H570" i="20"/>
  <c r="H571" i="20"/>
  <c r="H572" i="20"/>
  <c r="H573" i="20"/>
  <c r="H574" i="20"/>
  <c r="H575" i="20"/>
  <c r="H576" i="20"/>
  <c r="H577" i="20"/>
  <c r="H578" i="20"/>
  <c r="H579" i="20"/>
  <c r="H580" i="20"/>
  <c r="H581" i="20"/>
  <c r="H582" i="20"/>
  <c r="H583" i="20"/>
  <c r="H584" i="20"/>
  <c r="H585" i="20"/>
  <c r="H586" i="20"/>
  <c r="H587" i="20"/>
  <c r="H588" i="20"/>
  <c r="H589" i="20"/>
  <c r="H590" i="20"/>
  <c r="H591" i="20"/>
  <c r="H592" i="20"/>
  <c r="H593" i="20"/>
  <c r="H594" i="20"/>
  <c r="H595" i="20"/>
  <c r="H596" i="20"/>
  <c r="H597" i="20"/>
  <c r="H598" i="20"/>
  <c r="H599" i="20"/>
  <c r="H600" i="20"/>
  <c r="H601" i="20"/>
  <c r="H602" i="20"/>
  <c r="H603" i="20"/>
  <c r="H604" i="20"/>
  <c r="H605" i="20"/>
  <c r="H606" i="20"/>
  <c r="H607" i="20"/>
  <c r="H608" i="20"/>
  <c r="H609" i="20"/>
  <c r="H610" i="20"/>
  <c r="H611" i="20"/>
  <c r="H612" i="20"/>
  <c r="H613" i="20"/>
  <c r="H614" i="20"/>
  <c r="H615" i="20"/>
  <c r="H616" i="20"/>
  <c r="H617" i="20"/>
  <c r="H618" i="20"/>
  <c r="H619" i="20"/>
  <c r="H620" i="20"/>
  <c r="H621" i="20"/>
  <c r="H622" i="20"/>
  <c r="H623" i="20"/>
  <c r="H624" i="20"/>
  <c r="H625" i="20"/>
  <c r="H626" i="20"/>
  <c r="H627" i="20"/>
  <c r="H628" i="20"/>
  <c r="H629" i="20"/>
  <c r="H630" i="20"/>
  <c r="H631" i="20"/>
  <c r="H632" i="20"/>
  <c r="H633" i="20"/>
  <c r="H634" i="20"/>
  <c r="H635" i="20"/>
  <c r="H636" i="20"/>
  <c r="H637" i="20"/>
  <c r="H638" i="20"/>
  <c r="H639" i="20"/>
  <c r="H640" i="20"/>
  <c r="H641" i="20"/>
  <c r="H642" i="20"/>
  <c r="H643" i="20"/>
  <c r="H644" i="20"/>
  <c r="H645" i="20"/>
  <c r="H646" i="20"/>
  <c r="H647" i="20"/>
  <c r="H648" i="20"/>
  <c r="H649" i="20"/>
  <c r="H650" i="20"/>
  <c r="H651" i="20"/>
  <c r="H652" i="20"/>
  <c r="H653" i="20"/>
  <c r="H654" i="20"/>
  <c r="H655" i="20"/>
  <c r="H656" i="20"/>
  <c r="H657" i="20"/>
  <c r="H658" i="20"/>
  <c r="H659" i="20"/>
  <c r="H660" i="20"/>
  <c r="H661" i="20"/>
  <c r="H662" i="20"/>
  <c r="H663" i="20"/>
  <c r="H664" i="20"/>
  <c r="H665" i="20"/>
  <c r="H666" i="20"/>
  <c r="H667" i="20"/>
  <c r="H668" i="20"/>
  <c r="H669" i="20"/>
  <c r="H670" i="20"/>
  <c r="H671" i="20"/>
  <c r="H672" i="20"/>
  <c r="H673" i="20"/>
  <c r="H674" i="20"/>
  <c r="H675" i="20"/>
  <c r="H676" i="20"/>
  <c r="H677" i="20"/>
  <c r="H678" i="20"/>
  <c r="H679" i="20"/>
  <c r="H680" i="20"/>
  <c r="H681" i="20"/>
  <c r="H682" i="20"/>
  <c r="H683" i="20"/>
  <c r="H684" i="20"/>
  <c r="H685" i="20"/>
  <c r="H686" i="20"/>
  <c r="H687" i="20"/>
  <c r="H688" i="20"/>
  <c r="H689" i="20"/>
  <c r="H690" i="20"/>
  <c r="H691" i="20"/>
  <c r="H692" i="20"/>
  <c r="H693" i="20"/>
  <c r="H694" i="20"/>
  <c r="H695" i="20"/>
  <c r="H696" i="20"/>
  <c r="H697" i="20"/>
  <c r="H698" i="20"/>
  <c r="H699" i="20"/>
  <c r="H700" i="20"/>
  <c r="H701" i="20"/>
  <c r="H702" i="20"/>
  <c r="H703" i="20"/>
  <c r="H704" i="20"/>
  <c r="H705" i="20"/>
  <c r="H706" i="20"/>
  <c r="H707" i="20"/>
  <c r="H708" i="20"/>
  <c r="H709" i="20"/>
  <c r="H710" i="20"/>
  <c r="H711" i="20"/>
  <c r="H712" i="20"/>
  <c r="H713" i="20"/>
  <c r="H714" i="20"/>
  <c r="H715" i="20"/>
  <c r="H716" i="20"/>
  <c r="H717" i="20"/>
  <c r="H718" i="20"/>
  <c r="H719" i="20"/>
  <c r="H720" i="20"/>
  <c r="H721" i="20"/>
  <c r="H722" i="20"/>
  <c r="H723" i="20"/>
  <c r="H724" i="20"/>
  <c r="H725" i="20"/>
  <c r="H726" i="20"/>
  <c r="H727" i="20"/>
  <c r="H728" i="20"/>
  <c r="H729" i="20"/>
  <c r="H730" i="20"/>
  <c r="H731" i="20"/>
  <c r="H732" i="20"/>
  <c r="H733" i="20"/>
  <c r="H734" i="20"/>
  <c r="H735" i="20"/>
  <c r="H736" i="20"/>
  <c r="H737" i="20"/>
  <c r="H738" i="20"/>
  <c r="H739" i="20"/>
  <c r="H740" i="20"/>
  <c r="H741" i="20"/>
  <c r="H742" i="20"/>
  <c r="H743" i="20"/>
  <c r="H744" i="20"/>
  <c r="H745" i="20"/>
  <c r="H746" i="20"/>
  <c r="H747" i="20"/>
  <c r="H748" i="20"/>
  <c r="H749" i="20"/>
  <c r="H750" i="20"/>
  <c r="H751" i="20"/>
  <c r="H752" i="20"/>
  <c r="H753" i="20"/>
  <c r="H754" i="20"/>
  <c r="H755" i="20"/>
  <c r="H756" i="20"/>
  <c r="H757" i="20"/>
  <c r="H758" i="20"/>
  <c r="H759" i="20"/>
  <c r="H760" i="20"/>
  <c r="H761" i="20"/>
  <c r="H762" i="20"/>
  <c r="H763" i="20"/>
  <c r="H764" i="20"/>
  <c r="H765" i="20"/>
  <c r="H766" i="20"/>
  <c r="H767" i="20"/>
  <c r="H768" i="20"/>
  <c r="H769" i="20"/>
  <c r="H770" i="20"/>
  <c r="H771" i="20"/>
  <c r="H772" i="20"/>
  <c r="H773" i="20"/>
  <c r="H774" i="20"/>
  <c r="H775" i="20"/>
  <c r="H776" i="20"/>
  <c r="H777" i="20"/>
  <c r="H778" i="20"/>
  <c r="H779" i="20"/>
  <c r="H780" i="20"/>
  <c r="H781" i="20"/>
  <c r="H782" i="20"/>
  <c r="H783" i="20"/>
  <c r="H784" i="20"/>
  <c r="H785" i="20"/>
  <c r="H786" i="20"/>
  <c r="H787" i="20"/>
  <c r="H788" i="20"/>
  <c r="H789" i="20"/>
  <c r="H790" i="20"/>
  <c r="H791" i="20"/>
  <c r="H792" i="20"/>
  <c r="H793" i="20"/>
  <c r="H794" i="20"/>
  <c r="H795" i="20"/>
  <c r="H796" i="20"/>
  <c r="H797" i="20"/>
  <c r="H798" i="20"/>
  <c r="H799" i="20"/>
  <c r="H800" i="20"/>
  <c r="H801" i="20"/>
  <c r="H802" i="20"/>
  <c r="H803" i="20"/>
  <c r="H804" i="20"/>
  <c r="H805" i="20"/>
  <c r="H806" i="20"/>
  <c r="H807" i="20"/>
  <c r="H808" i="20"/>
  <c r="H809" i="20"/>
  <c r="H810" i="20"/>
  <c r="H811" i="20"/>
  <c r="H812" i="20"/>
  <c r="H813" i="20"/>
  <c r="H814" i="20"/>
  <c r="H815" i="20"/>
  <c r="H816" i="20"/>
  <c r="H817" i="20"/>
  <c r="H818" i="20"/>
  <c r="H819" i="20"/>
  <c r="H820" i="20"/>
  <c r="H821" i="20"/>
  <c r="H822" i="20"/>
  <c r="H823" i="20"/>
  <c r="H824" i="20"/>
  <c r="H825" i="20"/>
  <c r="H826" i="20"/>
  <c r="H827" i="20"/>
  <c r="H828" i="20"/>
  <c r="H829" i="20"/>
  <c r="H830" i="20"/>
  <c r="H831" i="20"/>
  <c r="H832" i="20"/>
  <c r="H833" i="20"/>
  <c r="H834" i="20"/>
  <c r="H835" i="20"/>
  <c r="H836" i="20"/>
  <c r="H837" i="20"/>
  <c r="H838" i="20"/>
  <c r="H839" i="20"/>
  <c r="H840" i="20"/>
  <c r="H841" i="20"/>
  <c r="H842" i="20"/>
  <c r="H843" i="20"/>
  <c r="H844" i="20"/>
  <c r="H845" i="20"/>
  <c r="H846" i="20"/>
  <c r="H847" i="20"/>
  <c r="H848" i="20"/>
  <c r="H849" i="20"/>
  <c r="H850" i="20"/>
  <c r="H851" i="20"/>
  <c r="H852" i="20"/>
  <c r="H853" i="20"/>
  <c r="H854" i="20"/>
  <c r="H855" i="20"/>
  <c r="H856" i="20"/>
  <c r="H857" i="20"/>
  <c r="H858" i="20"/>
  <c r="H859" i="20"/>
  <c r="H860" i="20"/>
  <c r="H861" i="20"/>
  <c r="H862" i="20"/>
  <c r="H863" i="20"/>
  <c r="H864" i="20"/>
  <c r="H865" i="20"/>
  <c r="H866" i="20"/>
  <c r="H867" i="20"/>
  <c r="H868" i="20"/>
  <c r="H869" i="20"/>
  <c r="H870" i="20"/>
  <c r="H871" i="20"/>
  <c r="H872" i="20"/>
  <c r="H873" i="20"/>
  <c r="H874" i="20"/>
  <c r="H875" i="20"/>
  <c r="H876" i="20"/>
  <c r="H877" i="20"/>
  <c r="H878" i="20"/>
  <c r="H879" i="20"/>
  <c r="H880" i="20"/>
  <c r="H881" i="20"/>
  <c r="H882" i="20"/>
  <c r="H883" i="20"/>
  <c r="H884" i="20"/>
  <c r="H885" i="20"/>
  <c r="H886" i="20"/>
  <c r="H887" i="20"/>
  <c r="H888" i="20"/>
  <c r="H889" i="20"/>
  <c r="H890" i="20"/>
  <c r="H891" i="20"/>
  <c r="H892" i="20"/>
  <c r="H893" i="20"/>
  <c r="H894" i="20"/>
  <c r="H895" i="20"/>
  <c r="H896" i="20"/>
  <c r="H897" i="20"/>
  <c r="H898" i="20"/>
  <c r="H899" i="20"/>
  <c r="H900" i="20"/>
  <c r="H901" i="20"/>
  <c r="H902" i="20"/>
  <c r="H903" i="20"/>
  <c r="H904" i="20"/>
  <c r="H905" i="20"/>
  <c r="H906" i="20"/>
  <c r="H907" i="20"/>
  <c r="H908" i="20"/>
  <c r="H909" i="20"/>
  <c r="H910" i="20"/>
  <c r="H911" i="20"/>
  <c r="H912" i="20"/>
  <c r="H913" i="20"/>
  <c r="H914" i="20"/>
  <c r="H915" i="20"/>
  <c r="H916" i="20"/>
  <c r="H917" i="20"/>
  <c r="H918" i="20"/>
  <c r="H919" i="20"/>
  <c r="H920" i="20"/>
  <c r="H921" i="20"/>
  <c r="H922" i="20"/>
  <c r="H923" i="20"/>
  <c r="H924" i="20"/>
  <c r="H925" i="20"/>
  <c r="H926" i="20"/>
  <c r="H927" i="20"/>
  <c r="H928" i="20"/>
  <c r="H929" i="20"/>
  <c r="H930" i="20"/>
  <c r="H931" i="20"/>
  <c r="H932" i="20"/>
  <c r="H933" i="20"/>
  <c r="H934" i="20"/>
  <c r="H935" i="20"/>
  <c r="H936" i="20"/>
  <c r="H937" i="20"/>
  <c r="H938" i="20"/>
  <c r="H939" i="20"/>
  <c r="H940" i="20"/>
  <c r="H941" i="20"/>
  <c r="H942" i="20"/>
  <c r="H943" i="20"/>
  <c r="H944" i="20"/>
  <c r="H945" i="20"/>
  <c r="H946" i="20"/>
  <c r="H947" i="20"/>
  <c r="H948" i="20"/>
  <c r="H949" i="20"/>
  <c r="H950" i="20"/>
  <c r="H951" i="20"/>
  <c r="H952" i="20"/>
  <c r="H953" i="20"/>
  <c r="H954" i="20"/>
  <c r="H955" i="20"/>
  <c r="H956" i="20"/>
  <c r="H957" i="20"/>
  <c r="H958" i="20"/>
  <c r="H959" i="20"/>
  <c r="H960" i="20"/>
  <c r="H961" i="20"/>
  <c r="H962" i="20"/>
  <c r="H963" i="20"/>
  <c r="H964" i="20"/>
  <c r="H965" i="20"/>
  <c r="H966" i="20"/>
  <c r="H967" i="20"/>
  <c r="H968" i="20"/>
  <c r="H969" i="20"/>
  <c r="H970" i="20"/>
  <c r="H971" i="20"/>
  <c r="H972" i="20"/>
  <c r="H973" i="20"/>
  <c r="H974" i="20"/>
  <c r="H975" i="20"/>
  <c r="H976" i="20"/>
  <c r="H977" i="20"/>
  <c r="H978" i="20"/>
  <c r="H979" i="20"/>
  <c r="H980" i="20"/>
  <c r="H981" i="20"/>
  <c r="H982" i="20"/>
  <c r="H983" i="20"/>
  <c r="H984" i="20"/>
  <c r="H985" i="20"/>
  <c r="H986" i="20"/>
  <c r="H987" i="20"/>
  <c r="H988" i="20"/>
  <c r="H989" i="20"/>
  <c r="H990" i="20"/>
  <c r="H991" i="20"/>
  <c r="H992" i="20"/>
  <c r="H993" i="20"/>
  <c r="H994" i="20"/>
  <c r="H995" i="20"/>
  <c r="H996" i="20"/>
  <c r="H997" i="20"/>
  <c r="H998" i="20"/>
  <c r="H999" i="20"/>
  <c r="H1000" i="20"/>
  <c r="H1001" i="20"/>
  <c r="H1002" i="20"/>
  <c r="D3" i="18" l="1"/>
  <c r="G4" i="18"/>
  <c r="D4" i="18"/>
  <c r="A4" i="18"/>
  <c r="A6" i="18" a="1"/>
  <c r="A6" i="18" s="1"/>
  <c r="B6" i="18" a="1"/>
  <c r="B6" i="18" s="1"/>
  <c r="B4" i="18" s="1"/>
  <c r="K355" i="3" a="1"/>
  <c r="K355" i="3" s="1"/>
  <c r="K153" i="3" a="1"/>
  <c r="K153" i="3" s="1"/>
  <c r="K138" i="3" a="1"/>
  <c r="K138" i="3" s="1"/>
  <c r="K134" i="3" a="1"/>
  <c r="K134" i="3" s="1"/>
  <c r="C62" i="16" a="1"/>
  <c r="C62" i="16" s="1"/>
  <c r="B62" i="16" a="1"/>
  <c r="B62" i="16" s="1"/>
  <c r="B57" i="16" a="1"/>
  <c r="B57" i="16" s="1"/>
  <c r="C53" i="16" a="1"/>
  <c r="C53" i="16" s="1"/>
  <c r="B52" i="16"/>
  <c r="A35" i="16" a="1"/>
  <c r="A35" i="16" s="1"/>
  <c r="A31" i="16" a="1"/>
  <c r="A31" i="16" s="1"/>
  <c r="B25" i="16"/>
  <c r="D13" i="16"/>
  <c r="D12" i="16"/>
  <c r="B16" i="16"/>
  <c r="B15" i="16"/>
  <c r="B14" i="16"/>
  <c r="B13" i="16"/>
  <c r="B12" i="16"/>
  <c r="B20" i="15"/>
  <c r="B19" i="15"/>
  <c r="B17" i="15"/>
  <c r="B18" i="15" s="1" a="1"/>
  <c r="B18" i="15" s="1"/>
  <c r="B9" i="15"/>
  <c r="B10" i="15"/>
  <c r="A3" i="13" a="1"/>
  <c r="A3" i="13" s="1"/>
  <c r="D4" i="13" s="1"/>
  <c r="D12" i="12" a="1"/>
  <c r="D12" i="12" s="1"/>
  <c r="D11" i="12" a="1"/>
  <c r="D11" i="12" s="1"/>
  <c r="D10" i="12" a="1"/>
  <c r="D10" i="12" s="1"/>
  <c r="D9" i="12" a="1"/>
  <c r="D9" i="12" s="1"/>
  <c r="D8" i="12" a="1"/>
  <c r="D8" i="12" s="1"/>
  <c r="D7" i="12" a="1"/>
  <c r="D7" i="12" s="1"/>
  <c r="E6" i="12"/>
  <c r="E5" i="12"/>
  <c r="D6" i="12"/>
  <c r="D5" i="12"/>
  <c r="O18" i="12" a="1"/>
  <c r="O18" i="12" s="1"/>
  <c r="I17" i="12" a="1"/>
  <c r="I17" i="12" s="1"/>
  <c r="C17" i="12" a="1"/>
  <c r="C17" i="12" s="1"/>
  <c r="C14" i="12"/>
  <c r="C6" i="12"/>
  <c r="C12" i="12"/>
  <c r="C11" i="12"/>
  <c r="C10" i="12"/>
  <c r="C9" i="12"/>
  <c r="C8" i="12"/>
  <c r="C7" i="12"/>
  <c r="C5" i="12"/>
  <c r="C3" i="13" l="1"/>
  <c r="D18" i="13"/>
  <c r="G6" i="18" a="1"/>
  <c r="G6" i="18" s="1"/>
  <c r="C6" i="18" a="1"/>
  <c r="C6" i="18" s="1"/>
  <c r="C19" i="18" s="1"/>
  <c r="D6" i="18" a="1"/>
  <c r="D6" i="18" s="1"/>
  <c r="K126" i="3" a="1"/>
  <c r="K126" i="3" s="1"/>
  <c r="K117" i="3" a="1"/>
  <c r="K117" i="3" s="1"/>
  <c r="K118" i="3" a="1"/>
  <c r="K118" i="3" s="1"/>
  <c r="K109" i="3" a="1"/>
  <c r="K109" i="3" s="1"/>
  <c r="K94" i="3" a="1"/>
  <c r="K94" i="3" s="1"/>
  <c r="K95" i="3" a="1"/>
  <c r="K95" i="3" s="1"/>
  <c r="K83" i="3" a="1"/>
  <c r="K83" i="3" s="1"/>
  <c r="K84" i="3" a="1"/>
  <c r="K84" i="3" s="1"/>
  <c r="K35" i="3" a="1"/>
  <c r="K35" i="3" s="1"/>
  <c r="K36" i="3" a="1"/>
  <c r="K36" i="3" s="1"/>
  <c r="L6" i="5" a="1"/>
  <c r="L6" i="5" s="1"/>
  <c r="N6" i="5" a="1"/>
  <c r="N6" i="5" s="1"/>
  <c r="L22" i="5" a="1"/>
  <c r="L22" i="5" s="1"/>
  <c r="G59" i="5"/>
  <c r="E59" i="5"/>
  <c r="E6" i="18" l="1" a="1"/>
  <c r="E6" i="18" s="1"/>
  <c r="F6" i="18" s="1" a="1"/>
  <c r="F6"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28D005-0F24-4B1D-BDDF-1572C65385C7}" keepAlive="1" name="Query - Olympics Medal Table" description="Connection to the 'Olympics Medal Table' query in the workbook." type="5" refreshedVersion="8" background="1" saveData="1">
    <dbPr connection="Provider=Microsoft.Mashup.OleDb.1;Data Source=$Workbook$;Location=&quot;Olympics Medal Table&quot;;Extended Properties=&quot;&quot;" command="SELECT * FROM [Olympics Medal Table]"/>
  </connection>
  <connection id="2" xr16:uid="{8D91C0ED-2011-4928-A48A-69C63ED68B69}" keepAlive="1" name="Query - Table_Lookup" description="Connection to the 'Table_Lookup' query in the workbook." type="5" refreshedVersion="8" background="1" saveData="1">
    <dbPr connection="Provider=Microsoft.Mashup.OleDb.1;Data Source=$Workbook$;Location=Table_Lookup;Extended Properties=&quot;&quot;" command="SELECT * FROM [Table_Lookup]"/>
  </connection>
  <connection id="3" xr16:uid="{0A63AC01-D7E9-49D9-8278-51030725E93D}" keepAlive="1" name="Query - Xl to Power Query" description="Connection to the 'Xl to Power Query' query in the workbook." type="5" refreshedVersion="8" background="1" saveData="1">
    <dbPr connection="Provider=Microsoft.Mashup.OleDb.1;Data Source=$Workbook$;Location=&quot;Xl to Power Query&quot;;Extended Properties=&quot;&quot;" command="SELECT * FROM [Xl to Power Query]"/>
  </connection>
  <connection id="4" xr16:uid="{90AB686A-EC4F-46E1-9606-1C254C0AD3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DE31626-8CBC-47F3-BC40-7964655D859F}" name="WorksheetConnection_Excel 4 Data Analysis.xlsx!Call_Table_Data" type="102" refreshedVersion="8" minRefreshableVersion="5">
    <extLst>
      <ext xmlns:x15="http://schemas.microsoft.com/office/spreadsheetml/2010/11/main" uri="{DE250136-89BD-433C-8126-D09CA5730AF9}">
        <x15:connection id="Call_Table_Data" autoDelete="1">
          <x15:rangePr sourceName="_xlcn.WorksheetConnection_Excel4DataAnalysis.xlsxCall_Table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<sst xmlns="http://schemas.openxmlformats.org/spreadsheetml/2006/main" count="12060" uniqueCount="2720">
  <si>
    <t xml:space="preserve">Inorder to use elegantly, press ALT button briefly, and access the Letter to screw up the all other shortcut cut keys which is not inbuilt </t>
  </si>
  <si>
    <t xml:space="preserve">Eg., To apply shortcut key for Clear specific column filter, there is no inbuilt short cut key, inorder to access the clear filter, Press ALT and access Home Shortcut key H and access to sort and filter tab shortcut lettr and finally acess to clear specific filter Shortcut Letter
Note: need to keep the tab active where inbuilt keys works </t>
  </si>
  <si>
    <t>Functions</t>
  </si>
  <si>
    <t>Sub Functions</t>
  </si>
  <si>
    <t>Hot Keys</t>
  </si>
  <si>
    <t>Access</t>
  </si>
  <si>
    <t>Output</t>
  </si>
  <si>
    <t>To Select</t>
  </si>
  <si>
    <t>By Row</t>
  </si>
  <si>
    <t xml:space="preserve">Ctrl+shift+down/up key </t>
  </si>
  <si>
    <t>select all cell data Column</t>
  </si>
  <si>
    <t>By Column</t>
  </si>
  <si>
    <t xml:space="preserve">Ctrl+shift+Right /left key </t>
  </si>
  <si>
    <t xml:space="preserve">select all cell data row </t>
  </si>
  <si>
    <t>Filters</t>
  </si>
  <si>
    <t>Clear All</t>
  </si>
  <si>
    <t>Ctrl+shift+L</t>
  </si>
  <si>
    <t>to apply all /clear all filter</t>
  </si>
  <si>
    <t>Clear</t>
  </si>
  <si>
    <t>Press C</t>
  </si>
  <si>
    <t>Narrow down ALT key to access the shortcut</t>
  </si>
  <si>
    <t>to clear specfic column filter</t>
  </si>
  <si>
    <t>Emp ID</t>
  </si>
  <si>
    <t>Name</t>
  </si>
  <si>
    <t>Gender</t>
  </si>
  <si>
    <t>Department</t>
  </si>
  <si>
    <t>Salary</t>
  </si>
  <si>
    <t>Start Date</t>
  </si>
  <si>
    <t>FTE</t>
  </si>
  <si>
    <t>Employee type</t>
  </si>
  <si>
    <t>Work location</t>
  </si>
  <si>
    <t>PR02113</t>
  </si>
  <si>
    <t>Beverie Moffet</t>
  </si>
  <si>
    <t>Female</t>
  </si>
  <si>
    <t>Support</t>
  </si>
  <si>
    <t>Permanent</t>
  </si>
  <si>
    <t>Remote</t>
  </si>
  <si>
    <t>Sorting</t>
  </si>
  <si>
    <t>Steps</t>
  </si>
  <si>
    <t>Uses</t>
  </si>
  <si>
    <t>PR04851</t>
  </si>
  <si>
    <t>Rodina Drinan</t>
  </si>
  <si>
    <t>Sales</t>
  </si>
  <si>
    <t>A to Z</t>
  </si>
  <si>
    <t xml:space="preserve">Filter </t>
  </si>
  <si>
    <t>PR01476</t>
  </si>
  <si>
    <t>Jaishree Atasi Yavatkar</t>
  </si>
  <si>
    <t>Male</t>
  </si>
  <si>
    <t>Services</t>
  </si>
  <si>
    <t>Chennai, India</t>
  </si>
  <si>
    <t>Z to A</t>
  </si>
  <si>
    <t>PR02436</t>
  </si>
  <si>
    <t>Marmaduke Worssam</t>
  </si>
  <si>
    <t>Engineering</t>
  </si>
  <si>
    <t>Re-Apply</t>
  </si>
  <si>
    <t>PR00113</t>
  </si>
  <si>
    <t>Van Tuxwell</t>
  </si>
  <si>
    <t>Business Development</t>
  </si>
  <si>
    <t>Columbus, USA</t>
  </si>
  <si>
    <t>Two Way Sorting</t>
  </si>
  <si>
    <t xml:space="preserve">First by Gender followed by Salary </t>
  </si>
  <si>
    <t>Multiple Filtering</t>
  </si>
  <si>
    <t>Find Duplicate</t>
  </si>
  <si>
    <t>Select column which to be select and Home Ribbon--&gt; Conditional Formatting --&gt; access duplicates functions</t>
  </si>
  <si>
    <t>Find Duplicates</t>
  </si>
  <si>
    <t>duplicated and repeated with same data with Unique Emp ID which tells about DATA QUALITY ISSUE</t>
  </si>
  <si>
    <t>PR04380</t>
  </si>
  <si>
    <t xml:space="preserve">To Find improper values </t>
  </si>
  <si>
    <t>To find by using Power Method directly right click on the cell--&gt; Filter --&gt; Filter Cell's Values</t>
  </si>
  <si>
    <t>PR02321</t>
  </si>
  <si>
    <t>Evanne  Sheryn</t>
  </si>
  <si>
    <t>Auckland, New Zealand</t>
  </si>
  <si>
    <t>To find Highest/above/below/Top 10/between/less or greater than</t>
  </si>
  <si>
    <t>Click on Filter Icon on Column left side dropdown  --&gt; Number Filter</t>
  </si>
  <si>
    <t>PR00916</t>
  </si>
  <si>
    <t>Inger Chapelhow</t>
  </si>
  <si>
    <t>Research and Development</t>
  </si>
  <si>
    <t>PR01306</t>
  </si>
  <si>
    <t>Patti Dradey</t>
  </si>
  <si>
    <t>PR02957</t>
  </si>
  <si>
    <t>Vaughn Carvill</t>
  </si>
  <si>
    <t>Training</t>
  </si>
  <si>
    <t>Wellington, New Zealand</t>
  </si>
  <si>
    <t>PR03532</t>
  </si>
  <si>
    <t>Crawford Scad</t>
  </si>
  <si>
    <t>Human Resources</t>
  </si>
  <si>
    <t>PR03804</t>
  </si>
  <si>
    <t>Pratigya Rema</t>
  </si>
  <si>
    <t>Legal</t>
  </si>
  <si>
    <t>Sartaj Probal</t>
  </si>
  <si>
    <t>PR03980</t>
  </si>
  <si>
    <t xml:space="preserve"> Kath Bletsoe</t>
  </si>
  <si>
    <t>Marketing</t>
  </si>
  <si>
    <t>SQ00070</t>
  </si>
  <si>
    <t>Larissa Ingledow</t>
  </si>
  <si>
    <t>PR03445</t>
  </si>
  <si>
    <t>Myrle Prandoni</t>
  </si>
  <si>
    <t>PR00882</t>
  </si>
  <si>
    <t xml:space="preserve"> Jill Shipsey</t>
  </si>
  <si>
    <t>Accounting</t>
  </si>
  <si>
    <t>PR00893</t>
  </si>
  <si>
    <t>Vasavi Veeravasarapu</t>
  </si>
  <si>
    <t>Hyderabad, India</t>
  </si>
  <si>
    <t>PR01943</t>
  </si>
  <si>
    <t>Rameshwari Chikodi</t>
  </si>
  <si>
    <t>PR02782</t>
  </si>
  <si>
    <t>Isaak Rawne</t>
  </si>
  <si>
    <t>PR03137</t>
  </si>
  <si>
    <t>Jagajeet Viraj</t>
  </si>
  <si>
    <t xml:space="preserve">Reapply </t>
  </si>
  <si>
    <t>Ctrl+ALT+L</t>
  </si>
  <si>
    <t xml:space="preserve">Reapply all sort and filter that changed </t>
  </si>
  <si>
    <t>PR01956</t>
  </si>
  <si>
    <t xml:space="preserve"> Jamesy O'Ferris</t>
  </si>
  <si>
    <t>PR01055</t>
  </si>
  <si>
    <t>Devasree Fullara Saurin</t>
  </si>
  <si>
    <t>PR03034</t>
  </si>
  <si>
    <t>Sreenivasa Naik Gudiwada</t>
  </si>
  <si>
    <t>PR00770</t>
  </si>
  <si>
    <t>Beryl Burnsyde</t>
  </si>
  <si>
    <t>PR01346</t>
  </si>
  <si>
    <t>Adolph McNalley</t>
  </si>
  <si>
    <t>PR03158</t>
  </si>
  <si>
    <t>Danica Nayshe</t>
  </si>
  <si>
    <t>PR01211</t>
  </si>
  <si>
    <t>Enoch Dowrey</t>
  </si>
  <si>
    <t>PR04446</t>
  </si>
  <si>
    <t>Sameer Shashank Sapra</t>
  </si>
  <si>
    <t>PR02140</t>
  </si>
  <si>
    <t>Anjushri Chandiramani</t>
  </si>
  <si>
    <t>PR00007</t>
  </si>
  <si>
    <t>Torrance  Collier</t>
  </si>
  <si>
    <t>PR01269</t>
  </si>
  <si>
    <t>Eleonore Airdrie</t>
  </si>
  <si>
    <t>PR04686</t>
  </si>
  <si>
    <t>Oona Donan</t>
  </si>
  <si>
    <t>Seattle, USA</t>
  </si>
  <si>
    <t>PR02208</t>
  </si>
  <si>
    <t>Gowri Sankar Chakrala</t>
  </si>
  <si>
    <t>PR02288</t>
  </si>
  <si>
    <t>Althea  Bronger</t>
  </si>
  <si>
    <t>Product Management</t>
  </si>
  <si>
    <t>PR04601</t>
  </si>
  <si>
    <t>Yedukondalu Panditula</t>
  </si>
  <si>
    <t>SQ00022</t>
  </si>
  <si>
    <t>Carlin Demke</t>
  </si>
  <si>
    <t>PR01159</t>
  </si>
  <si>
    <t>Mollie  Hanway</t>
  </si>
  <si>
    <t>???</t>
  </si>
  <si>
    <t>PR00746</t>
  </si>
  <si>
    <t>Hogan Iles</t>
  </si>
  <si>
    <t>PR02010</t>
  </si>
  <si>
    <t>Prerana Nishita</t>
  </si>
  <si>
    <t>PR03886</t>
  </si>
  <si>
    <t>Edd  MacKnockiter</t>
  </si>
  <si>
    <t>PR01383</t>
  </si>
  <si>
    <t>Addi Studdeard</t>
  </si>
  <si>
    <t>PR00095</t>
  </si>
  <si>
    <t>Devrat Damarsingh</t>
  </si>
  <si>
    <t>PR04473</t>
  </si>
  <si>
    <t xml:space="preserve"> Wyn Treadger</t>
  </si>
  <si>
    <t>PR00419</t>
  </si>
  <si>
    <t>Billi Fellgate</t>
  </si>
  <si>
    <t>PR00246</t>
  </si>
  <si>
    <t>Husein Augar</t>
  </si>
  <si>
    <t>PR00576</t>
  </si>
  <si>
    <t>Lalitchandra Vadali</t>
  </si>
  <si>
    <t>PR02603</t>
  </si>
  <si>
    <t>Dinanath Simhambhatla</t>
  </si>
  <si>
    <t>PR02016</t>
  </si>
  <si>
    <t>Iris  Wagg</t>
  </si>
  <si>
    <t>PR01662</t>
  </si>
  <si>
    <t>Genevra Friday</t>
  </si>
  <si>
    <t>PR04366</t>
  </si>
  <si>
    <t>Carry Loblie</t>
  </si>
  <si>
    <t>PR02275</t>
  </si>
  <si>
    <t>Louise Lamming</t>
  </si>
  <si>
    <t>PR03271</t>
  </si>
  <si>
    <t>Stan  Tolliday</t>
  </si>
  <si>
    <t>PR03844</t>
  </si>
  <si>
    <t>Brose MacCorkell</t>
  </si>
  <si>
    <t>PR00147</t>
  </si>
  <si>
    <t>Minerva Ricardot</t>
  </si>
  <si>
    <t xml:space="preserve">Total </t>
  </si>
  <si>
    <t>Calculation</t>
  </si>
  <si>
    <t>Formula</t>
  </si>
  <si>
    <t>ALT + =</t>
  </si>
  <si>
    <t>Access/Steps</t>
  </si>
  <si>
    <t>Auto Sum</t>
  </si>
  <si>
    <t>Display total after the selected column or row data</t>
  </si>
  <si>
    <t xml:space="preserve">Home Ribbon--&gt; under editing session--&gt;Sumation symbol (E) </t>
  </si>
  <si>
    <t xml:space="preserve">Auto  SUM </t>
  </si>
  <si>
    <t>Easy access total all selected data with one click</t>
  </si>
  <si>
    <r>
      <t xml:space="preserve">Sumation Symbol  
</t>
    </r>
    <r>
      <rPr>
        <b/>
        <sz val="11"/>
        <color theme="1"/>
        <rFont val="Calibri Light"/>
        <family val="2"/>
        <scheme val="minor"/>
      </rPr>
      <t>Note</t>
    </r>
    <r>
      <rPr>
        <sz val="11"/>
        <color theme="1"/>
        <rFont val="Calibri Light"/>
        <family val="2"/>
        <scheme val="minor"/>
      </rPr>
      <t>: Double click to examine the formula on total value cell or seen in Formula bar</t>
    </r>
  </si>
  <si>
    <t>Home Ribbon--&gt; under editing session--&gt;Sumation symbol €
or select the cell last after the value and click ALT+= shortcut key</t>
  </si>
  <si>
    <t>Web Link - https://en.wikipedia.org/wiki/2020_Summer_Olympics_medal_table</t>
  </si>
  <si>
    <t>Rank</t>
  </si>
  <si>
    <t>NOC</t>
  </si>
  <si>
    <t>Gold</t>
  </si>
  <si>
    <t>Silver</t>
  </si>
  <si>
    <t>Bronze</t>
  </si>
  <si>
    <t>Total</t>
  </si>
  <si>
    <t>Subtraction</t>
  </si>
  <si>
    <t>1</t>
  </si>
  <si>
    <t>United States</t>
  </si>
  <si>
    <t>2</t>
  </si>
  <si>
    <t>China</t>
  </si>
  <si>
    <t>3</t>
  </si>
  <si>
    <t>Japan</t>
  </si>
  <si>
    <t>4</t>
  </si>
  <si>
    <t>Great Britain</t>
  </si>
  <si>
    <t>5</t>
  </si>
  <si>
    <t>ROC</t>
  </si>
  <si>
    <t>6</t>
  </si>
  <si>
    <t>Australia</t>
  </si>
  <si>
    <t>7</t>
  </si>
  <si>
    <t>Netherlands</t>
  </si>
  <si>
    <t>8</t>
  </si>
  <si>
    <t>France</t>
  </si>
  <si>
    <t>9</t>
  </si>
  <si>
    <t>Germany</t>
  </si>
  <si>
    <t>10</t>
  </si>
  <si>
    <t>Italy</t>
  </si>
  <si>
    <t>11</t>
  </si>
  <si>
    <t>Canada</t>
  </si>
  <si>
    <t>12</t>
  </si>
  <si>
    <t>Brazil</t>
  </si>
  <si>
    <t>13</t>
  </si>
  <si>
    <t>New Zealand</t>
  </si>
  <si>
    <t>14</t>
  </si>
  <si>
    <t>Cuba</t>
  </si>
  <si>
    <t>15</t>
  </si>
  <si>
    <t>Hungary</t>
  </si>
  <si>
    <t>16</t>
  </si>
  <si>
    <t>South Korea</t>
  </si>
  <si>
    <t>17</t>
  </si>
  <si>
    <t>Poland</t>
  </si>
  <si>
    <t>18</t>
  </si>
  <si>
    <t>Czech Republic</t>
  </si>
  <si>
    <t>19</t>
  </si>
  <si>
    <t>Kenya</t>
  </si>
  <si>
    <t>20</t>
  </si>
  <si>
    <t>Norway</t>
  </si>
  <si>
    <t>21</t>
  </si>
  <si>
    <t>Jamaica</t>
  </si>
  <si>
    <t>22</t>
  </si>
  <si>
    <t>Spain</t>
  </si>
  <si>
    <t>23</t>
  </si>
  <si>
    <t>Sweden</t>
  </si>
  <si>
    <t>24</t>
  </si>
  <si>
    <t>Switzerland</t>
  </si>
  <si>
    <t>25</t>
  </si>
  <si>
    <t>Denmark</t>
  </si>
  <si>
    <t>26</t>
  </si>
  <si>
    <t>Croatia</t>
  </si>
  <si>
    <t>27</t>
  </si>
  <si>
    <t>Iran</t>
  </si>
  <si>
    <t>28</t>
  </si>
  <si>
    <t>Serbia</t>
  </si>
  <si>
    <t>29</t>
  </si>
  <si>
    <t>Belgium</t>
  </si>
  <si>
    <t>30</t>
  </si>
  <si>
    <t>Bulgaria</t>
  </si>
  <si>
    <t>31</t>
  </si>
  <si>
    <t>Slovenia</t>
  </si>
  <si>
    <t>32</t>
  </si>
  <si>
    <t>Uzbekistan</t>
  </si>
  <si>
    <t>33</t>
  </si>
  <si>
    <t>Georgia</t>
  </si>
  <si>
    <t>34</t>
  </si>
  <si>
    <t>Chinese Taipei</t>
  </si>
  <si>
    <t>35</t>
  </si>
  <si>
    <t>Turkey</t>
  </si>
  <si>
    <t>36</t>
  </si>
  <si>
    <t>Greece</t>
  </si>
  <si>
    <t>Uganda</t>
  </si>
  <si>
    <t>38</t>
  </si>
  <si>
    <t>Ecuador</t>
  </si>
  <si>
    <t>39</t>
  </si>
  <si>
    <t>Ireland</t>
  </si>
  <si>
    <t>Israel</t>
  </si>
  <si>
    <t>41</t>
  </si>
  <si>
    <t>Qatar</t>
  </si>
  <si>
    <t>42</t>
  </si>
  <si>
    <t>Bahamas</t>
  </si>
  <si>
    <t>Kosovo</t>
  </si>
  <si>
    <t>44</t>
  </si>
  <si>
    <t>Ukraine</t>
  </si>
  <si>
    <t>45</t>
  </si>
  <si>
    <t>Belarus</t>
  </si>
  <si>
    <t>46</t>
  </si>
  <si>
    <t>Romania</t>
  </si>
  <si>
    <t>Venezuela</t>
  </si>
  <si>
    <t>48</t>
  </si>
  <si>
    <t>India</t>
  </si>
  <si>
    <t>49</t>
  </si>
  <si>
    <t>Hong Kong</t>
  </si>
  <si>
    <t>50</t>
  </si>
  <si>
    <t>Philippines</t>
  </si>
  <si>
    <t>Slovakia</t>
  </si>
  <si>
    <t>52</t>
  </si>
  <si>
    <t>South Africa</t>
  </si>
  <si>
    <t>53</t>
  </si>
  <si>
    <t>Austria</t>
  </si>
  <si>
    <t>54</t>
  </si>
  <si>
    <t>Egypt</t>
  </si>
  <si>
    <t>55</t>
  </si>
  <si>
    <t>Indonesia</t>
  </si>
  <si>
    <t>56</t>
  </si>
  <si>
    <t>Ethiopia</t>
  </si>
  <si>
    <t>Portugal</t>
  </si>
  <si>
    <t>58</t>
  </si>
  <si>
    <t>Tunisia</t>
  </si>
  <si>
    <t>59</t>
  </si>
  <si>
    <t>Estonia</t>
  </si>
  <si>
    <t>Fiji</t>
  </si>
  <si>
    <t>Latvia</t>
  </si>
  <si>
    <t>Thailand</t>
  </si>
  <si>
    <t>63</t>
  </si>
  <si>
    <t>Bermuda</t>
  </si>
  <si>
    <t>Morocco</t>
  </si>
  <si>
    <t>Puerto Rico</t>
  </si>
  <si>
    <t>66</t>
  </si>
  <si>
    <t>Colombia</t>
  </si>
  <si>
    <t>67</t>
  </si>
  <si>
    <t>Azerbaijan</t>
  </si>
  <si>
    <t>68</t>
  </si>
  <si>
    <t>Dominican Republic</t>
  </si>
  <si>
    <t>69</t>
  </si>
  <si>
    <t>Armenia</t>
  </si>
  <si>
    <t>70</t>
  </si>
  <si>
    <t>Kyrgyzstan</t>
  </si>
  <si>
    <t>71</t>
  </si>
  <si>
    <t>Mongolia</t>
  </si>
  <si>
    <t>72</t>
  </si>
  <si>
    <t>Argentina</t>
  </si>
  <si>
    <t>San Marino</t>
  </si>
  <si>
    <t>74</t>
  </si>
  <si>
    <t>Jordan</t>
  </si>
  <si>
    <t>Malaysia</t>
  </si>
  <si>
    <t>Nigeria</t>
  </si>
  <si>
    <t>77</t>
  </si>
  <si>
    <t>Bahrain</t>
  </si>
  <si>
    <t>Lithuania</t>
  </si>
  <si>
    <t>Namibia</t>
  </si>
  <si>
    <t>North Macedonia</t>
  </si>
  <si>
    <t>Saudi Arabia</t>
  </si>
  <si>
    <t>Turkmenistan</t>
  </si>
  <si>
    <t>83</t>
  </si>
  <si>
    <t>Kazakhstan</t>
  </si>
  <si>
    <t>84</t>
  </si>
  <si>
    <t>Mexico</t>
  </si>
  <si>
    <t>85</t>
  </si>
  <si>
    <t>Finland</t>
  </si>
  <si>
    <t>86</t>
  </si>
  <si>
    <t>Botswana</t>
  </si>
  <si>
    <t>Burkina Faso</t>
  </si>
  <si>
    <t>Ghana</t>
  </si>
  <si>
    <t>Grenada</t>
  </si>
  <si>
    <t>Ivory Coast</t>
  </si>
  <si>
    <t>Kuwait</t>
  </si>
  <si>
    <t>Moldova</t>
  </si>
  <si>
    <t>Syria</t>
  </si>
  <si>
    <t>NOT FOUND</t>
  </si>
  <si>
    <t>Ribbon</t>
  </si>
  <si>
    <t>Menu</t>
  </si>
  <si>
    <t>Formula bar</t>
  </si>
  <si>
    <t>Column Quality Indicator</t>
  </si>
  <si>
    <t>Query File</t>
  </si>
  <si>
    <t>Applied Steps</t>
  </si>
  <si>
    <t>First Name</t>
  </si>
  <si>
    <t>Last Name</t>
  </si>
  <si>
    <t>Torrance</t>
  </si>
  <si>
    <t xml:space="preserve"> Collier</t>
  </si>
  <si>
    <t>Devrat</t>
  </si>
  <si>
    <t>Damarsingh</t>
  </si>
  <si>
    <t>Van</t>
  </si>
  <si>
    <t>Tuxwell</t>
  </si>
  <si>
    <t>Minerva</t>
  </si>
  <si>
    <t>Ricardot</t>
  </si>
  <si>
    <t>Husein</t>
  </si>
  <si>
    <t>Augar</t>
  </si>
  <si>
    <t>Billi</t>
  </si>
  <si>
    <t>Fellgate</t>
  </si>
  <si>
    <t>Lalitchandra</t>
  </si>
  <si>
    <t>Vadali</t>
  </si>
  <si>
    <t>Hogan</t>
  </si>
  <si>
    <t>Iles</t>
  </si>
  <si>
    <t>Beryl</t>
  </si>
  <si>
    <t>Burnsyde</t>
  </si>
  <si>
    <t/>
  </si>
  <si>
    <t>Jill Shipsey</t>
  </si>
  <si>
    <t>Vasavi</t>
  </si>
  <si>
    <t>Veeravasarapu</t>
  </si>
  <si>
    <t>Inger</t>
  </si>
  <si>
    <t>Chapelhow</t>
  </si>
  <si>
    <t>Devasree</t>
  </si>
  <si>
    <t>Fullara Saurin</t>
  </si>
  <si>
    <t>Mollie</t>
  </si>
  <si>
    <t xml:space="preserve"> Hanway</t>
  </si>
  <si>
    <t>Enoch</t>
  </si>
  <si>
    <t>Dowrey</t>
  </si>
  <si>
    <t>Eleonore</t>
  </si>
  <si>
    <t>Airdrie</t>
  </si>
  <si>
    <t>Patti</t>
  </si>
  <si>
    <t>Dradey</t>
  </si>
  <si>
    <t>Adolph</t>
  </si>
  <si>
    <t>McNalley</t>
  </si>
  <si>
    <t>Addi</t>
  </si>
  <si>
    <t>Studdeard</t>
  </si>
  <si>
    <t>Jaishree</t>
  </si>
  <si>
    <t>Atasi Yavatkar</t>
  </si>
  <si>
    <t>Genevra</t>
  </si>
  <si>
    <t>Friday</t>
  </si>
  <si>
    <t>Rameshwari</t>
  </si>
  <si>
    <t>Chikodi</t>
  </si>
  <si>
    <t>Jamesy O'Ferris</t>
  </si>
  <si>
    <t>Prerana</t>
  </si>
  <si>
    <t>Nishita</t>
  </si>
  <si>
    <t>Iris</t>
  </si>
  <si>
    <t xml:space="preserve"> Wagg</t>
  </si>
  <si>
    <t>Beverie</t>
  </si>
  <si>
    <t>Moffet</t>
  </si>
  <si>
    <t>Anjushri</t>
  </si>
  <si>
    <t>Chandiramani</t>
  </si>
  <si>
    <t>Gowri</t>
  </si>
  <si>
    <t>Sankar Chakrala</t>
  </si>
  <si>
    <t>Louise</t>
  </si>
  <si>
    <t>Lamming</t>
  </si>
  <si>
    <t>Althea</t>
  </si>
  <si>
    <t xml:space="preserve"> Bronger</t>
  </si>
  <si>
    <t>Evanne</t>
  </si>
  <si>
    <t xml:space="preserve"> Sheryn</t>
  </si>
  <si>
    <t>Marmaduke</t>
  </si>
  <si>
    <t>Worssam</t>
  </si>
  <si>
    <t>Dinanath</t>
  </si>
  <si>
    <t>Simhambhatla</t>
  </si>
  <si>
    <t>Isaak</t>
  </si>
  <si>
    <t>Rawne</t>
  </si>
  <si>
    <t>Vaughn</t>
  </si>
  <si>
    <t>Carvill</t>
  </si>
  <si>
    <t>Sreenivasa</t>
  </si>
  <si>
    <t>Naik Gudiwada</t>
  </si>
  <si>
    <t>Jagajeet</t>
  </si>
  <si>
    <t>Viraj</t>
  </si>
  <si>
    <t>Danica</t>
  </si>
  <si>
    <t>Nayshe</t>
  </si>
  <si>
    <t>Stan</t>
  </si>
  <si>
    <t xml:space="preserve"> Tolliday</t>
  </si>
  <si>
    <t>Myrle</t>
  </si>
  <si>
    <t>Prandoni</t>
  </si>
  <si>
    <t>Crawford</t>
  </si>
  <si>
    <t>Scad</t>
  </si>
  <si>
    <t>Pratigya</t>
  </si>
  <si>
    <t>Rema</t>
  </si>
  <si>
    <t>Sartaj</t>
  </si>
  <si>
    <t>Probal</t>
  </si>
  <si>
    <t>Brose</t>
  </si>
  <si>
    <t>MacCorkell</t>
  </si>
  <si>
    <t>Edd</t>
  </si>
  <si>
    <t xml:space="preserve"> MacKnockiter</t>
  </si>
  <si>
    <t>Kath Bletsoe</t>
  </si>
  <si>
    <t>Carry</t>
  </si>
  <si>
    <t>Loblie</t>
  </si>
  <si>
    <t>Sameer</t>
  </si>
  <si>
    <t>Shashank Sapra</t>
  </si>
  <si>
    <t>Wyn Treadger</t>
  </si>
  <si>
    <t>Panditula</t>
  </si>
  <si>
    <t>Oona</t>
  </si>
  <si>
    <t>Donan</t>
  </si>
  <si>
    <t>Rodina</t>
  </si>
  <si>
    <t>Drinan</t>
  </si>
  <si>
    <t>Carlin</t>
  </si>
  <si>
    <t>Demke</t>
  </si>
  <si>
    <t>Larissa</t>
  </si>
  <si>
    <t>Ingledow</t>
  </si>
  <si>
    <t>Salary Range</t>
  </si>
  <si>
    <t>Age</t>
  </si>
  <si>
    <t>Above 100k</t>
  </si>
  <si>
    <t>Total Years</t>
  </si>
  <si>
    <t>50k to 90k</t>
  </si>
  <si>
    <t>Rangathan</t>
  </si>
  <si>
    <t>AAAA</t>
  </si>
  <si>
    <t>Head Count</t>
  </si>
  <si>
    <t>Total Salary</t>
  </si>
  <si>
    <t>Total count per department removing deplicates</t>
  </si>
  <si>
    <t>=conutifs(Table name{auto suggest}[department]{autosuggest}, select department col ranges {K column} )</t>
  </si>
  <si>
    <t xml:space="preserve">To Sum of each department salary </t>
  </si>
  <si>
    <t>=sumifs(table name{auto suggest}[salary],table name[department], select range)</t>
  </si>
  <si>
    <t>=SUMIFS(Xl_to_Power_Query[Salary],Xl_to_Power_Query[Department],K3:K15)</t>
  </si>
  <si>
    <t>FTE Head Count</t>
  </si>
  <si>
    <t>Part Time</t>
  </si>
  <si>
    <t>Temp</t>
  </si>
  <si>
    <t>=COUNTIFS(Xl_to_Power_Query[Department],K3:K15)
Refer to current Table Name in current sheet , instead xl2power query , do table 2</t>
  </si>
  <si>
    <t>temp</t>
  </si>
  <si>
    <t>SPILLING</t>
  </si>
  <si>
    <t>Ranges can be selected directly by header lvl</t>
  </si>
  <si>
    <t>Average</t>
  </si>
  <si>
    <t>12-Nov-18</t>
  </si>
  <si>
    <t>SQ04612</t>
  </si>
  <si>
    <t>Mick Spraberry</t>
  </si>
  <si>
    <t>VT01803</t>
  </si>
  <si>
    <t>Freddy Linford</t>
  </si>
  <si>
    <t>Mar 5, 2018</t>
  </si>
  <si>
    <t>Fixed Term</t>
  </si>
  <si>
    <t>TN02749</t>
  </si>
  <si>
    <t>Parasuramudu Jamakayala</t>
  </si>
  <si>
    <t>2-Apr-18</t>
  </si>
  <si>
    <t>SQ00144</t>
  </si>
  <si>
    <t>Collen Dunbleton</t>
  </si>
  <si>
    <t>Oct 16, 2020</t>
  </si>
  <si>
    <t>SQ01854</t>
  </si>
  <si>
    <t>Jessica Callcott</t>
  </si>
  <si>
    <t>SQ00612</t>
  </si>
  <si>
    <t xml:space="preserve"> Leena Bruckshaw</t>
  </si>
  <si>
    <t>VT00578</t>
  </si>
  <si>
    <t>Magnum Locksley</t>
  </si>
  <si>
    <t>Oct 18, 2021</t>
  </si>
  <si>
    <t>TN01281</t>
  </si>
  <si>
    <t xml:space="preserve">Cletus McGarahan </t>
  </si>
  <si>
    <t>27-Jan-20</t>
  </si>
  <si>
    <t>19-Apr-21</t>
  </si>
  <si>
    <t>VT02417</t>
  </si>
  <si>
    <t>Evangelina Lergan</t>
  </si>
  <si>
    <t>12-Mar-18</t>
  </si>
  <si>
    <t>Temporary</t>
  </si>
  <si>
    <t>SQ00691</t>
  </si>
  <si>
    <t>Verla Timmis</t>
  </si>
  <si>
    <t>25-Oct-19</t>
  </si>
  <si>
    <t>TN00214</t>
  </si>
  <si>
    <t>Devsena Veluvalapalli</t>
  </si>
  <si>
    <t>Dec 24, 2019</t>
  </si>
  <si>
    <t>VT02539</t>
  </si>
  <si>
    <t>Devinne Tuny</t>
  </si>
  <si>
    <t>10-Dec-18</t>
  </si>
  <si>
    <t>SQ04598</t>
  </si>
  <si>
    <t>Pearla  Beteriss</t>
  </si>
  <si>
    <t>TN00464</t>
  </si>
  <si>
    <t>Gopal Venkata</t>
  </si>
  <si>
    <t>26-Aug-21</t>
  </si>
  <si>
    <t>TN03416</t>
  </si>
  <si>
    <t>Seward Kubera</t>
  </si>
  <si>
    <t>TN00890</t>
  </si>
  <si>
    <t>Mayur Kousika</t>
  </si>
  <si>
    <t>22-Feb-21</t>
  </si>
  <si>
    <t>VT04137</t>
  </si>
  <si>
    <t>Marissa Infante</t>
  </si>
  <si>
    <t>VT03849</t>
  </si>
  <si>
    <t>Leonidas Cavaney</t>
  </si>
  <si>
    <t>18-Apr-19</t>
  </si>
  <si>
    <t>SQ01395</t>
  </si>
  <si>
    <t>Dennison Crosswaite</t>
  </si>
  <si>
    <t>SQ02559</t>
  </si>
  <si>
    <t>Aldrich  Glenny</t>
  </si>
  <si>
    <t>27-Dec-19</t>
  </si>
  <si>
    <t>VT04627</t>
  </si>
  <si>
    <t>Yvette  Bett</t>
  </si>
  <si>
    <t>VT03537</t>
  </si>
  <si>
    <t>Renaldo Thomassin</t>
  </si>
  <si>
    <t>PR01951</t>
  </si>
  <si>
    <t>Aug 12, 2020</t>
  </si>
  <si>
    <t>14-Nov-18</t>
  </si>
  <si>
    <t>VT02313</t>
  </si>
  <si>
    <t>Thekla Lynnett</t>
  </si>
  <si>
    <t>SQ01620</t>
  </si>
  <si>
    <t>Westbrook Brandino</t>
  </si>
  <si>
    <t>VT04681</t>
  </si>
  <si>
    <t>Nickolai  Artin</t>
  </si>
  <si>
    <t>Nov 30, 2018</t>
  </si>
  <si>
    <t>TN04246</t>
  </si>
  <si>
    <t xml:space="preserve">Shaylyn Ransbury </t>
  </si>
  <si>
    <t>TN02570</t>
  </si>
  <si>
    <t>Grady Rochelle</t>
  </si>
  <si>
    <t>VT02801</t>
  </si>
  <si>
    <t>Shellysheldon Mahady</t>
  </si>
  <si>
    <t>27-Jul-20</t>
  </si>
  <si>
    <t>SQ01177</t>
  </si>
  <si>
    <t>Nazeer Basha Mustafa</t>
  </si>
  <si>
    <t>30-Sep-20</t>
  </si>
  <si>
    <t>VT01740</t>
  </si>
  <si>
    <t>Ginger  Myott</t>
  </si>
  <si>
    <t>19-Jul-19</t>
  </si>
  <si>
    <t>TN01876</t>
  </si>
  <si>
    <t>Aileen McCritchie</t>
  </si>
  <si>
    <t>10-Aug-20</t>
  </si>
  <si>
    <t>VT03988</t>
  </si>
  <si>
    <t>Venkat Kodi</t>
  </si>
  <si>
    <t>9-Sep-19</t>
  </si>
  <si>
    <t>TN00227</t>
  </si>
  <si>
    <t>Raghuveer Yettugunna</t>
  </si>
  <si>
    <t>24-Nov-20</t>
  </si>
  <si>
    <t>VT01092</t>
  </si>
  <si>
    <t>Tabby  Astall</t>
  </si>
  <si>
    <t>TN03169</t>
  </si>
  <si>
    <t>Doe Clubley</t>
  </si>
  <si>
    <t>Nov 2, 2018</t>
  </si>
  <si>
    <t>SQ01402</t>
  </si>
  <si>
    <t>SQ00360</t>
  </si>
  <si>
    <t xml:space="preserve">Orlando Gorstidge </t>
  </si>
  <si>
    <t>29-Apr-21</t>
  </si>
  <si>
    <t>SQ01637</t>
  </si>
  <si>
    <t xml:space="preserve"> Joaquin McVitty</t>
  </si>
  <si>
    <t>TN03210</t>
  </si>
  <si>
    <t>Suman Katte</t>
  </si>
  <si>
    <t>VT04093</t>
  </si>
  <si>
    <t>Prasanna Lakshmi Payasam</t>
  </si>
  <si>
    <t>SQ02246</t>
  </si>
  <si>
    <t xml:space="preserve">Matias Cormack </t>
  </si>
  <si>
    <t>TN03032</t>
  </si>
  <si>
    <t>Jaipal Potanapudi</t>
  </si>
  <si>
    <t>SQ00914</t>
  </si>
  <si>
    <t>Duran Appala</t>
  </si>
  <si>
    <t>May 11, 2020</t>
  </si>
  <si>
    <t>SQ02525</t>
  </si>
  <si>
    <t>Mickie Dagwell</t>
  </si>
  <si>
    <t>Jan 25, 2021</t>
  </si>
  <si>
    <t>TN02667</t>
  </si>
  <si>
    <t>Lizzie Mullally</t>
  </si>
  <si>
    <t>16-Sep-19</t>
  </si>
  <si>
    <t>26-Jun-19</t>
  </si>
  <si>
    <t>TN03331</t>
  </si>
  <si>
    <t>27-May-19</t>
  </si>
  <si>
    <t>VT01249</t>
  </si>
  <si>
    <t>Brendan  Edgeller</t>
  </si>
  <si>
    <t>VT02260</t>
  </si>
  <si>
    <t>Rhiamon Mollison</t>
  </si>
  <si>
    <t>10-Apr-20</t>
  </si>
  <si>
    <t>TN02883</t>
  </si>
  <si>
    <t>John Joseph</t>
  </si>
  <si>
    <t>SQ03024</t>
  </si>
  <si>
    <t>Inge Creer</t>
  </si>
  <si>
    <t>TN04428</t>
  </si>
  <si>
    <t>Tadio Audritt</t>
  </si>
  <si>
    <t>8-Jan-19</t>
  </si>
  <si>
    <t>SQ03350</t>
  </si>
  <si>
    <t>Felice McMurty</t>
  </si>
  <si>
    <t>18-Feb-19</t>
  </si>
  <si>
    <t>VT03421</t>
  </si>
  <si>
    <t>Alic Bagg</t>
  </si>
  <si>
    <t>15-Mar-21</t>
  </si>
  <si>
    <t>5-Feb-18</t>
  </si>
  <si>
    <t>VT02118</t>
  </si>
  <si>
    <t>10-Feb-21</t>
  </si>
  <si>
    <t>PR00210</t>
  </si>
  <si>
    <t>Marquita Liquorish</t>
  </si>
  <si>
    <t>TN02496</t>
  </si>
  <si>
    <t>Ponnan Delhi</t>
  </si>
  <si>
    <t>VT02491</t>
  </si>
  <si>
    <t>Alexis Gotfrey</t>
  </si>
  <si>
    <t>30-Apr-20</t>
  </si>
  <si>
    <t>VT03307</t>
  </si>
  <si>
    <t>Tallie Chaikovski</t>
  </si>
  <si>
    <t>TN04058</t>
  </si>
  <si>
    <t>Subbarao Malladi</t>
  </si>
  <si>
    <t>VT03993</t>
  </si>
  <si>
    <t>Dulce Colbeck</t>
  </si>
  <si>
    <t>30-Mar-21</t>
  </si>
  <si>
    <t>VT02663</t>
  </si>
  <si>
    <t>Sravanthi Chalaki</t>
  </si>
  <si>
    <t>1-Feb-21</t>
  </si>
  <si>
    <t>4-Oct-21</t>
  </si>
  <si>
    <t>21-Oct-19</t>
  </si>
  <si>
    <t>SQ03476</t>
  </si>
  <si>
    <t>Ramalingam Kothapeta</t>
  </si>
  <si>
    <t>13-Aug-18</t>
  </si>
  <si>
    <t>18-Nov-19</t>
  </si>
  <si>
    <t>TN00182</t>
  </si>
  <si>
    <t>Camilla Castle</t>
  </si>
  <si>
    <t>Nov 25, 2019</t>
  </si>
  <si>
    <t>VT01523</t>
  </si>
  <si>
    <t>Charmane Heistermann</t>
  </si>
  <si>
    <t>26-Feb-20</t>
  </si>
  <si>
    <t>VT01684</t>
  </si>
  <si>
    <t>Audry Yu</t>
  </si>
  <si>
    <t>TN04740</t>
  </si>
  <si>
    <t>Tristam Cuming</t>
  </si>
  <si>
    <t>TN03575</t>
  </si>
  <si>
    <t>Janina Wolverson</t>
  </si>
  <si>
    <t>4-Feb-19</t>
  </si>
  <si>
    <t>VT04984</t>
  </si>
  <si>
    <t>Dell Molloy</t>
  </si>
  <si>
    <t>22-May-20</t>
  </si>
  <si>
    <t>13-Jan-20</t>
  </si>
  <si>
    <t>SQ03546</t>
  </si>
  <si>
    <t>Amlankusum Rajabhushan</t>
  </si>
  <si>
    <t>Jul 5, 2021</t>
  </si>
  <si>
    <t>VT02374</t>
  </si>
  <si>
    <t>Delphine Jewis</t>
  </si>
  <si>
    <t>Oct 1, 2018</t>
  </si>
  <si>
    <t>SQ00450</t>
  </si>
  <si>
    <t xml:space="preserve"> Louise Lamming</t>
  </si>
  <si>
    <t>28-Dec-20</t>
  </si>
  <si>
    <t>SQ04488</t>
  </si>
  <si>
    <t>Ramnath Ravuri</t>
  </si>
  <si>
    <t>28-Jan-19</t>
  </si>
  <si>
    <t>TN00735</t>
  </si>
  <si>
    <t>Caresa Christer</t>
  </si>
  <si>
    <t>VT01893</t>
  </si>
  <si>
    <t>Lindy Guillet</t>
  </si>
  <si>
    <t>SQ02223</t>
  </si>
  <si>
    <t xml:space="preserve"> Pippy Shepperd</t>
  </si>
  <si>
    <t>26-Jun-18</t>
  </si>
  <si>
    <t>SQ00498</t>
  </si>
  <si>
    <t>Amery Ofer</t>
  </si>
  <si>
    <t>7-Dec-20</t>
  </si>
  <si>
    <t>TN00727</t>
  </si>
  <si>
    <t>Dulsea Folkes</t>
  </si>
  <si>
    <t>Jan 29, 2019</t>
  </si>
  <si>
    <t>SQ01697</t>
  </si>
  <si>
    <t>Makshi Vinutha</t>
  </si>
  <si>
    <t>SQ01519</t>
  </si>
  <si>
    <t>Caron Kolakovic</t>
  </si>
  <si>
    <t>26-Mar-19</t>
  </si>
  <si>
    <t>VT03500</t>
  </si>
  <si>
    <t>Shiuli Sapna</t>
  </si>
  <si>
    <t>SQ01962</t>
  </si>
  <si>
    <t>Lezlie Philcott</t>
  </si>
  <si>
    <t>VT00017</t>
  </si>
  <si>
    <t>Maible Azemar</t>
  </si>
  <si>
    <t>TN01210</t>
  </si>
  <si>
    <t>Alyosha Riquet</t>
  </si>
  <si>
    <t>SQ02051</t>
  </si>
  <si>
    <t>Sep 23, 2021</t>
  </si>
  <si>
    <t>SQ03321</t>
  </si>
  <si>
    <t>Gradey Litton</t>
  </si>
  <si>
    <t>Vasu Nandin</t>
  </si>
  <si>
    <t>SQ00841</t>
  </si>
  <si>
    <t>Bhuvan Pals</t>
  </si>
  <si>
    <t>23-Apr-18</t>
  </si>
  <si>
    <t>SQ04603</t>
  </si>
  <si>
    <t>Natalee Craiker</t>
  </si>
  <si>
    <t>29-Oct-18</t>
  </si>
  <si>
    <t>TN01028</t>
  </si>
  <si>
    <t>Alicea Pudsall</t>
  </si>
  <si>
    <t>VT04028</t>
  </si>
  <si>
    <t>Michale Rolf</t>
  </si>
  <si>
    <t>TN03068</t>
  </si>
  <si>
    <t>Gumwant Veera</t>
  </si>
  <si>
    <t>31-Dec-18</t>
  </si>
  <si>
    <t>VT03701</t>
  </si>
  <si>
    <t>Narois Motiwala</t>
  </si>
  <si>
    <t>TN04101</t>
  </si>
  <si>
    <t>Marline Wahncke</t>
  </si>
  <si>
    <t>TN01632</t>
  </si>
  <si>
    <t>Katya Hundy</t>
  </si>
  <si>
    <t>Apr 29, 2020</t>
  </si>
  <si>
    <t>SQ03626</t>
  </si>
  <si>
    <t>Krishnakanta Vellanki</t>
  </si>
  <si>
    <t>19-Jul-21</t>
  </si>
  <si>
    <t>VT01610</t>
  </si>
  <si>
    <t>Dhruv Manjunath</t>
  </si>
  <si>
    <t>TN00129</t>
  </si>
  <si>
    <t>Grazia Bunkle</t>
  </si>
  <si>
    <t>TN01340</t>
  </si>
  <si>
    <t>Granny Spencelayh</t>
  </si>
  <si>
    <t>May 5, 2020</t>
  </si>
  <si>
    <t>TN00698</t>
  </si>
  <si>
    <t>Barbara-anne Kenchington</t>
  </si>
  <si>
    <t>SQ00960</t>
  </si>
  <si>
    <t>Calvin O'Carroll</t>
  </si>
  <si>
    <t>SQ01998</t>
  </si>
  <si>
    <t>Vanmala Shriharsha</t>
  </si>
  <si>
    <t>SQ01283</t>
  </si>
  <si>
    <t>Barr Faughny</t>
  </si>
  <si>
    <t>SQ01026</t>
  </si>
  <si>
    <t>Anumati Shyamari Meherhomji</t>
  </si>
  <si>
    <t>12-Feb-21</t>
  </si>
  <si>
    <t>TN01912</t>
  </si>
  <si>
    <t xml:space="preserve"> Fred Dudeney</t>
  </si>
  <si>
    <t>2-Oct-19</t>
  </si>
  <si>
    <t>VT02319</t>
  </si>
  <si>
    <t>Tarala Vishaal</t>
  </si>
  <si>
    <t>SQ04960</t>
  </si>
  <si>
    <t>Shubhra Potla</t>
  </si>
  <si>
    <t>SQ01829</t>
  </si>
  <si>
    <t>Mabel Orrow</t>
  </si>
  <si>
    <t>Hemavati Muthiah</t>
  </si>
  <si>
    <t>TN02798</t>
  </si>
  <si>
    <t>Krittika Gaekwad</t>
  </si>
  <si>
    <t>3-Jan-19</t>
  </si>
  <si>
    <t>VT02532</t>
  </si>
  <si>
    <t>Adey Ryal</t>
  </si>
  <si>
    <t>SQ03116</t>
  </si>
  <si>
    <t>Syd Fearn</t>
  </si>
  <si>
    <t>SQ02638</t>
  </si>
  <si>
    <t>Cara Havers</t>
  </si>
  <si>
    <t>7-Jun-18</t>
  </si>
  <si>
    <t>VT03704</t>
  </si>
  <si>
    <t>Egor Minto</t>
  </si>
  <si>
    <t>Nov 13, 2020</t>
  </si>
  <si>
    <t>VT04552</t>
  </si>
  <si>
    <t>Theresita Chasmer</t>
  </si>
  <si>
    <t>SQ04665</t>
  </si>
  <si>
    <t>Collin Jagson</t>
  </si>
  <si>
    <t>VT00336</t>
  </si>
  <si>
    <t>Shevantilal Muppala</t>
  </si>
  <si>
    <t>TN01256</t>
  </si>
  <si>
    <t>Shattesh Utpat</t>
  </si>
  <si>
    <t>VT01101</t>
  </si>
  <si>
    <t>Adela Dowsett</t>
  </si>
  <si>
    <t>TN04660</t>
  </si>
  <si>
    <t>Thedrick Bothwell</t>
  </si>
  <si>
    <t>VT00596</t>
  </si>
  <si>
    <t>Letisha Carrett</t>
  </si>
  <si>
    <t>12-Oct-20</t>
  </si>
  <si>
    <t>VT03552</t>
  </si>
  <si>
    <t>Kamalakshi Mukundan</t>
  </si>
  <si>
    <t>Jun 11, 2021</t>
  </si>
  <si>
    <t>TN00083</t>
  </si>
  <si>
    <t>Chandana Sannidhi Surnilla</t>
  </si>
  <si>
    <t>3-Sep-18</t>
  </si>
  <si>
    <t>TN01389</t>
  </si>
  <si>
    <t>Shantee  D'Antonio</t>
  </si>
  <si>
    <t>21-Dec-20</t>
  </si>
  <si>
    <t>SQ02643</t>
  </si>
  <si>
    <t>Indu Varada Sumedh</t>
  </si>
  <si>
    <t>Jul 16, 2019</t>
  </si>
  <si>
    <t>Karuna Pashupathy</t>
  </si>
  <si>
    <t>TN02674</t>
  </si>
  <si>
    <t>Antonetta  Coggeshall</t>
  </si>
  <si>
    <t>TN02727</t>
  </si>
  <si>
    <t>Wald Bountiff</t>
  </si>
  <si>
    <t>25-Sep-19</t>
  </si>
  <si>
    <t>VT01323</t>
  </si>
  <si>
    <t>Mardav Ramaswami</t>
  </si>
  <si>
    <t>29-Aug-19</t>
  </si>
  <si>
    <t>18-Mar-20</t>
  </si>
  <si>
    <t>SQ03387</t>
  </si>
  <si>
    <t>Robinia Scholling</t>
  </si>
  <si>
    <t>Apr 15, 2020</t>
  </si>
  <si>
    <t>SQ00105</t>
  </si>
  <si>
    <t>Sarayu Ragunathan</t>
  </si>
  <si>
    <t>SQ02424</t>
  </si>
  <si>
    <t>Kevalkumar Solanki</t>
  </si>
  <si>
    <t>VT01703</t>
  </si>
  <si>
    <t>Upendra Swati</t>
  </si>
  <si>
    <t>SQ02703</t>
  </si>
  <si>
    <t>Deepit Ranjana</t>
  </si>
  <si>
    <t>3-Jul-19</t>
  </si>
  <si>
    <t>VT04373</t>
  </si>
  <si>
    <t>Edi  Hofton</t>
  </si>
  <si>
    <t>29-Jan-18</t>
  </si>
  <si>
    <t>SQ03733</t>
  </si>
  <si>
    <t>24-Apr-20</t>
  </si>
  <si>
    <t>VT04467</t>
  </si>
  <si>
    <t>Amal Nimesh</t>
  </si>
  <si>
    <t>16-Sep-20</t>
  </si>
  <si>
    <t>Kunja Prashanta Vibha</t>
  </si>
  <si>
    <t>8-Jul-19</t>
  </si>
  <si>
    <t>VT04415</t>
  </si>
  <si>
    <t>Malory Biles</t>
  </si>
  <si>
    <t>TN04067</t>
  </si>
  <si>
    <t>Lea Chaplin</t>
  </si>
  <si>
    <t>15-Apr-19</t>
  </si>
  <si>
    <t>TN04175</t>
  </si>
  <si>
    <t xml:space="preserve">Hinda Label </t>
  </si>
  <si>
    <t>26-Nov-18</t>
  </si>
  <si>
    <t>VT00687</t>
  </si>
  <si>
    <t>Godavari Veena</t>
  </si>
  <si>
    <t>May 14, 2019</t>
  </si>
  <si>
    <t>TN00579</t>
  </si>
  <si>
    <t xml:space="preserve">Rafaelita Blaksland </t>
  </si>
  <si>
    <t>TN03097</t>
  </si>
  <si>
    <t>Bendite  Bloan</t>
  </si>
  <si>
    <t>1-Feb-19</t>
  </si>
  <si>
    <t>SQ02174</t>
  </si>
  <si>
    <t>30-Aug-19</t>
  </si>
  <si>
    <t>TN01601</t>
  </si>
  <si>
    <t>Melva  Jickells</t>
  </si>
  <si>
    <t>SQ01730</t>
  </si>
  <si>
    <t>Austine Littlewood</t>
  </si>
  <si>
    <t>TN03355</t>
  </si>
  <si>
    <t>Ruby Cracie</t>
  </si>
  <si>
    <t>5-Nov-18</t>
  </si>
  <si>
    <t>VT01246</t>
  </si>
  <si>
    <t>Zach Polon</t>
  </si>
  <si>
    <t>Oct 6, 2020</t>
  </si>
  <si>
    <t>TN04166</t>
  </si>
  <si>
    <t>Tadio  Dowdle</t>
  </si>
  <si>
    <t>TN01701</t>
  </si>
  <si>
    <t xml:space="preserve"> Yves Pawlik</t>
  </si>
  <si>
    <t>17-Apr-19</t>
  </si>
  <si>
    <t>VT03298</t>
  </si>
  <si>
    <t>Nonah Bissell</t>
  </si>
  <si>
    <t>TN04892</t>
  </si>
  <si>
    <t>Luca Wolstenholme</t>
  </si>
  <si>
    <t>21-Mar-18</t>
  </si>
  <si>
    <t>SQ04437</t>
  </si>
  <si>
    <t>Hephzibah Summerell</t>
  </si>
  <si>
    <t>1-Oct-20</t>
  </si>
  <si>
    <t>VT01762</t>
  </si>
  <si>
    <t>Geena Raghavanpillai</t>
  </si>
  <si>
    <t>VT04273</t>
  </si>
  <si>
    <t>Brad Gumb</t>
  </si>
  <si>
    <t>SQ00187</t>
  </si>
  <si>
    <t>Rupak Mehra</t>
  </si>
  <si>
    <t>TN00258</t>
  </si>
  <si>
    <t>Joyce Leyband</t>
  </si>
  <si>
    <t>VT00839</t>
  </si>
  <si>
    <t>Tulley Chiddy</t>
  </si>
  <si>
    <t>5-Feb-19</t>
  </si>
  <si>
    <t>VT00476</t>
  </si>
  <si>
    <t>Adolph  Hartin</t>
  </si>
  <si>
    <t>SQ04934</t>
  </si>
  <si>
    <t>Pedro St. Hill</t>
  </si>
  <si>
    <t>Sawini Chandan</t>
  </si>
  <si>
    <t>Baruna Ogale</t>
  </si>
  <si>
    <t>TN01566</t>
  </si>
  <si>
    <t xml:space="preserve">Fonzie O'Shea </t>
  </si>
  <si>
    <t>2-Dec-20</t>
  </si>
  <si>
    <t>20-Jun-19</t>
  </si>
  <si>
    <t>13-Jul-20</t>
  </si>
  <si>
    <t>SQ03491</t>
  </si>
  <si>
    <t>Freda Legan</t>
  </si>
  <si>
    <t>SQ02465</t>
  </si>
  <si>
    <t>Bernie Gorges</t>
  </si>
  <si>
    <t>2-Feb-18</t>
  </si>
  <si>
    <t>VT00194</t>
  </si>
  <si>
    <t>Violante Courtonne</t>
  </si>
  <si>
    <t>TN00328</t>
  </si>
  <si>
    <t>Jeannie Petracco</t>
  </si>
  <si>
    <t>6-Dec-18</t>
  </si>
  <si>
    <t>SQ02371</t>
  </si>
  <si>
    <t>Alida Welman</t>
  </si>
  <si>
    <t>Dec 24, 2018</t>
  </si>
  <si>
    <t>VT04350</t>
  </si>
  <si>
    <t>Kulbhushan Moorthy</t>
  </si>
  <si>
    <t>9-Jul-20</t>
  </si>
  <si>
    <t>SQ02035</t>
  </si>
  <si>
    <t>Anni Izzard</t>
  </si>
  <si>
    <t>Jun 5, 2018</t>
  </si>
  <si>
    <t>SQ00286</t>
  </si>
  <si>
    <t>Ilesh Dasgupta</t>
  </si>
  <si>
    <t>18-Jun-21</t>
  </si>
  <si>
    <t>TN02205</t>
  </si>
  <si>
    <t>Madhumati Gazala Soumitra</t>
  </si>
  <si>
    <t>Jan 7, 2019</t>
  </si>
  <si>
    <t>VT00740</t>
  </si>
  <si>
    <t>Chitrasen Laul</t>
  </si>
  <si>
    <t>SQ03112</t>
  </si>
  <si>
    <t>Kantimoy Pritish</t>
  </si>
  <si>
    <t>30-Mar-20</t>
  </si>
  <si>
    <t>13-Jun-18</t>
  </si>
  <si>
    <t>Lalit Kothari</t>
  </si>
  <si>
    <t>TN00243</t>
  </si>
  <si>
    <t>Elbertine Hiscoe</t>
  </si>
  <si>
    <t>23-Jul-20</t>
  </si>
  <si>
    <t>VT01996</t>
  </si>
  <si>
    <t>Hali Behnecke</t>
  </si>
  <si>
    <t>Sahas Sanabhi Shrikant</t>
  </si>
  <si>
    <t>SQ02624</t>
  </si>
  <si>
    <t>24-Feb-21</t>
  </si>
  <si>
    <t>SQ02565</t>
  </si>
  <si>
    <t>Konstantin Timblett</t>
  </si>
  <si>
    <t>13-Aug-21</t>
  </si>
  <si>
    <t>SQ02582</t>
  </si>
  <si>
    <t>Kaishori Harathi Kateel</t>
  </si>
  <si>
    <t>TN02397</t>
  </si>
  <si>
    <t>Mendel  Gentsch</t>
  </si>
  <si>
    <t>TN04265</t>
  </si>
  <si>
    <t>Rushil Kripa</t>
  </si>
  <si>
    <t>TN02204</t>
  </si>
  <si>
    <t>Aldrich Glenny</t>
  </si>
  <si>
    <t>24-Sep-20</t>
  </si>
  <si>
    <t>VT03771</t>
  </si>
  <si>
    <t>Marjie Bamford</t>
  </si>
  <si>
    <t>Nov 2, 2020</t>
  </si>
  <si>
    <t>SQ04613</t>
  </si>
  <si>
    <t>Sarojini Naueshwara</t>
  </si>
  <si>
    <t>Apr 30, 2018</t>
  </si>
  <si>
    <t>SQ04116</t>
  </si>
  <si>
    <t>Claretta MacQuist</t>
  </si>
  <si>
    <t>VT00534</t>
  </si>
  <si>
    <t>Roselle Wandrach</t>
  </si>
  <si>
    <t>TN01396</t>
  </si>
  <si>
    <t>Koral Gerriet</t>
  </si>
  <si>
    <t>TN02377</t>
  </si>
  <si>
    <t>Anjela Spancock</t>
  </si>
  <si>
    <t>TN02988</t>
  </si>
  <si>
    <t>Mahindra Sreedharan</t>
  </si>
  <si>
    <t>VT04905</t>
  </si>
  <si>
    <t>Suchira Bhanupriya Tapti</t>
  </si>
  <si>
    <t>10-Jul-18</t>
  </si>
  <si>
    <t>Fullara Sushanti Mokate</t>
  </si>
  <si>
    <t>TN04775</t>
  </si>
  <si>
    <t>Hridaynath Tendulkar</t>
  </si>
  <si>
    <t>SQ03625</t>
  </si>
  <si>
    <t xml:space="preserve"> Fidela Artis</t>
  </si>
  <si>
    <t xml:space="preserve">Department values such as "???" which is not correctly filled and leads to data ENTRY issue </t>
  </si>
  <si>
    <t>Filter/Formula</t>
  </si>
  <si>
    <t>Filter(Scan Entire table{table name},Table Name[salary]&gt;100000{&gt;condition})</t>
  </si>
  <si>
    <t>FILTER Calculation using Formula Method 1
'=FILTER(Table3,Table3[Salary]&gt;100000)</t>
  </si>
  <si>
    <t xml:space="preserve">ADD Header  - </t>
  </si>
  <si>
    <t>=table name[#header]</t>
  </si>
  <si>
    <t>User need only subset of data (particular columns)</t>
  </si>
  <si>
    <t>Method 1 --&gt; making condtion within formula (Hardcoding values)
Filter by salary ranges more than 100k (100000) ?</t>
  </si>
  <si>
    <t>Method 2 --&gt; Instead Hardcoding values 100000, we can go with INPUT Cell values (in any empty cell )
Note: the empty cell should have value and pointed cell in formula</t>
  </si>
  <si>
    <t>--&gt; Input Cell value M76 --&gt; First it will consider &gt; 0.00  as default as no salary range given by user</t>
  </si>
  <si>
    <t>=FILTER(Table3,Table3[Salary]&gt;M76)</t>
  </si>
  <si>
    <t>=filter(table3{table name},table name[salary]&gt;M76{empty cell --&gt; provide input })</t>
  </si>
  <si>
    <t>CHOOSECOLS(Filter(Table name...), , , , )</t>
  </si>
  <si>
    <t>=CHOOSECOLS(FILTER(Table3,Table3[Salary]&gt;M76),1,2,4,5,8)
=CHOOSECOLS(Table3[#Headers],1,2,4,5,8)</t>
  </si>
  <si>
    <t>BA Question - Total Salary and Head Count by deparment??</t>
  </si>
  <si>
    <t xml:space="preserve">Choose Column Function (NESTING) --&gt; Column Header </t>
  </si>
  <si>
    <t>BA Ques -- All Female employee with more than $100K salary ??</t>
  </si>
  <si>
    <t>Method 2 --&gt; Filter by Cell Input Values --&gt; check formula difference</t>
  </si>
  <si>
    <t>FILTER Calculation using Formula Method 1 Check Formula -- Hard coding value</t>
  </si>
  <si>
    <t>=FILTER(Table3,(Table3[Salary]&gt;M76)*(Table3[Gender]="Female"))</t>
  </si>
  <si>
    <t>Method 1 and method 2 is applicable for Multiple {*} filters --check formula difference</t>
  </si>
  <si>
    <t xml:space="preserve">All Column Header Formula </t>
  </si>
  <si>
    <t>BA Ques -- All Employee with more than $100K salary ??</t>
  </si>
  <si>
    <t>BA Ques -- All employee with more than $100K salary ??</t>
  </si>
  <si>
    <t xml:space="preserve">Filter with choosing particular Column -- check formula </t>
  </si>
  <si>
    <t xml:space="preserve">Filter with choosing particular Column Header - check formula </t>
  </si>
  <si>
    <t>Filter with first 6 row continously travelling (From Column 1 to Column 6 ) - check formula difference</t>
  </si>
  <si>
    <t>=FILTER(Table3[[Emp ID]:[Start Date]],(Table3[Salary]&gt;M76)*(Table3[Gender]=O76))</t>
  </si>
  <si>
    <t>BA Ques - Who Joined in 2020 or after</t>
  </si>
  <si>
    <t>=FILTER(Table3[[Emp ID]:[Start Date]],(Table3[Salary]&gt;M80)*(Table3[Gender]="MAle")*(Table3[Start Date]&gt;=2020))</t>
  </si>
  <si>
    <t xml:space="preserve">Female who joined in 2020 or after </t>
  </si>
  <si>
    <t>Using Table 3 From Sort and Filter Sheet</t>
  </si>
  <si>
    <t>Highest Salary</t>
  </si>
  <si>
    <t>Lowest Salary</t>
  </si>
  <si>
    <t>Top 6 salary</t>
  </si>
  <si>
    <t>Last 6 Salary</t>
  </si>
  <si>
    <t>All Emp Salary</t>
  </si>
  <si>
    <t>Top 6 Salary</t>
  </si>
  <si>
    <t>Aggregate Functions</t>
  </si>
  <si>
    <t>=MAX(Table3[Salary])</t>
  </si>
  <si>
    <t>MAX</t>
  </si>
  <si>
    <t>To Find Maximum salary col from Table</t>
  </si>
  <si>
    <t>=LARGE(Table3[Salary],F12)</t>
  </si>
  <si>
    <t>=LARGE(Table3[Salary],1)</t>
  </si>
  <si>
    <t>=MIN(Table3[Salary])</t>
  </si>
  <si>
    <t xml:space="preserve">here we can declare top 1 to 6 </t>
  </si>
  <si>
    <t>using inside cell value</t>
  </si>
  <si>
    <t>MIN</t>
  </si>
  <si>
    <t>LARGE</t>
  </si>
  <si>
    <t>SMALL</t>
  </si>
  <si>
    <t>=SMALL(Table3[Salary],F14)</t>
  </si>
  <si>
    <t>SORT</t>
  </si>
  <si>
    <t>=SORT(Table3[Salary])</t>
  </si>
  <si>
    <t>=SORT(Table3[Salary], ,-1)</t>
  </si>
  <si>
    <t>Extract all salary and sorted in Ascending to Descending</t>
  </si>
  <si>
    <t>Extract all salary but without sorting</t>
  </si>
  <si>
    <t>Using SORT ---&gt; Asc to desc</t>
  </si>
  <si>
    <t>Using Sort Formula --&gt; No Sorting by asc or desc</t>
  </si>
  <si>
    <t>Using SORT  with TAKE Function ---&gt; Asc to desc</t>
  </si>
  <si>
    <t>TAKE SORT</t>
  </si>
  <si>
    <t>Display only how many row have been mentioned i.e., First 6 rows</t>
  </si>
  <si>
    <t>=TAKE( SORT(Table3[Salary], , -1), 5)</t>
  </si>
  <si>
    <t>TAKE FILTER</t>
  </si>
  <si>
    <t>=TAKE(FILTER(Table3[Salary],Table3[Gender]=$D$4),6)</t>
  </si>
  <si>
    <t>=LARGE(FILTER(Table3[Salary],Table3[Gender]=$D$4),2)</t>
  </si>
  <si>
    <t>LARGE FILTER</t>
  </si>
  <si>
    <t>TOP 6</t>
  </si>
  <si>
    <t xml:space="preserve"> Functions</t>
  </si>
  <si>
    <t>UNIQUE</t>
  </si>
  <si>
    <t>List all Unique Deparment and count them</t>
  </si>
  <si>
    <t>COUNT</t>
  </si>
  <si>
    <t>=UNIQUE(Table3[Department])</t>
  </si>
  <si>
    <t>SORT + UNIQUE</t>
  </si>
  <si>
    <t>=SORT(UNIQUE(Table3[Department]))</t>
  </si>
  <si>
    <t>remove duplicate</t>
  </si>
  <si>
    <t>COUNTA + #</t>
  </si>
  <si>
    <t>CLEANING</t>
  </si>
  <si>
    <t>Total unique Count and # used to spilling down when the data is re-organised or updated or added in future</t>
  </si>
  <si>
    <t>Merge in one cell</t>
  </si>
  <si>
    <t>TEXTJOIN</t>
  </si>
  <si>
    <t>=TEXTJOIN(",",TRUE,A5#)</t>
  </si>
  <si>
    <t>Using delimiter COMMA ,</t>
  </si>
  <si>
    <t>LOOKUP</t>
  </si>
  <si>
    <t>To Find Specific Employee</t>
  </si>
  <si>
    <t>First name</t>
  </si>
  <si>
    <t>worklocation</t>
  </si>
  <si>
    <t>VLOOKUP</t>
  </si>
  <si>
    <t>=VLOOKUP(C7,LOOKUP_Table,2,FALSE)</t>
  </si>
  <si>
    <r>
      <t>First it will V</t>
    </r>
    <r>
      <rPr>
        <b/>
        <sz val="11"/>
        <color theme="1"/>
        <rFont val="Calibri Light"/>
        <family val="2"/>
        <scheme val="minor"/>
      </rPr>
      <t>ertically looksup</t>
    </r>
    <r>
      <rPr>
        <sz val="11"/>
        <color theme="1"/>
        <rFont val="Calibri Light"/>
        <family val="2"/>
        <scheme val="minor"/>
      </rPr>
      <t xml:space="preserve"> the data and once found the selected data, it will start fetching all corresponding colomns data </t>
    </r>
  </si>
  <si>
    <t>SQ00144XX</t>
  </si>
  <si>
    <t>=IFERROR(VLOOKUP(D7,Table_Lookup,3,FALSE),"Not Found")</t>
  </si>
  <si>
    <t>IF error is used to if data is not there in the table , by default N/A</t>
  </si>
  <si>
    <t>INDEX MATCH</t>
  </si>
  <si>
    <t>Mick</t>
  </si>
  <si>
    <t>Spraberry</t>
  </si>
  <si>
    <t>Freddy</t>
  </si>
  <si>
    <t>Linford</t>
  </si>
  <si>
    <t>Parasuramudu</t>
  </si>
  <si>
    <t>Jamakayala</t>
  </si>
  <si>
    <t>Collen</t>
  </si>
  <si>
    <t>Dunbleton</t>
  </si>
  <si>
    <t>Yedukondalu</t>
  </si>
  <si>
    <t>Jessica</t>
  </si>
  <si>
    <t>Callcott</t>
  </si>
  <si>
    <t>Leena Bruckshaw</t>
  </si>
  <si>
    <t>Magnum</t>
  </si>
  <si>
    <t>Locksley</t>
  </si>
  <si>
    <t>Cletus</t>
  </si>
  <si>
    <t xml:space="preserve">McGarahan </t>
  </si>
  <si>
    <t>Evangelina</t>
  </si>
  <si>
    <t>Lergan</t>
  </si>
  <si>
    <t>Verla</t>
  </si>
  <si>
    <t>Timmis</t>
  </si>
  <si>
    <t>Devsena</t>
  </si>
  <si>
    <t>Veluvalapalli</t>
  </si>
  <si>
    <t>Devinne</t>
  </si>
  <si>
    <t>Tuny</t>
  </si>
  <si>
    <t>Pearla</t>
  </si>
  <si>
    <t xml:space="preserve"> Beteriss</t>
  </si>
  <si>
    <t>Gopal</t>
  </si>
  <si>
    <t>Venkata</t>
  </si>
  <si>
    <t>Seward</t>
  </si>
  <si>
    <t>Kubera</t>
  </si>
  <si>
    <t>Mayur</t>
  </si>
  <si>
    <t>Kousika</t>
  </si>
  <si>
    <t>Marissa</t>
  </si>
  <si>
    <t>Infante</t>
  </si>
  <si>
    <t>Leonidas</t>
  </si>
  <si>
    <t>Cavaney</t>
  </si>
  <si>
    <t>Dennison</t>
  </si>
  <si>
    <t>Crosswaite</t>
  </si>
  <si>
    <t>Aldrich</t>
  </si>
  <si>
    <t xml:space="preserve"> Glenny</t>
  </si>
  <si>
    <t>Yvette</t>
  </si>
  <si>
    <t xml:space="preserve"> Bett</t>
  </si>
  <si>
    <t>Renaldo</t>
  </si>
  <si>
    <t>Thomassin</t>
  </si>
  <si>
    <t>Aloise</t>
  </si>
  <si>
    <t xml:space="preserve">MacCathay </t>
  </si>
  <si>
    <t>Thekla</t>
  </si>
  <si>
    <t>Lynnett</t>
  </si>
  <si>
    <t>Westbrook</t>
  </si>
  <si>
    <t>Brandino</t>
  </si>
  <si>
    <t>Nickolai</t>
  </si>
  <si>
    <t xml:space="preserve"> Artin</t>
  </si>
  <si>
    <t>Shaylyn</t>
  </si>
  <si>
    <t xml:space="preserve">Ransbury </t>
  </si>
  <si>
    <t>Grady</t>
  </si>
  <si>
    <t>Rochelle</t>
  </si>
  <si>
    <t>Shellysheldon</t>
  </si>
  <si>
    <t>Mahady</t>
  </si>
  <si>
    <t>Nazeer</t>
  </si>
  <si>
    <t>Basha Mustafa</t>
  </si>
  <si>
    <t>Ginger</t>
  </si>
  <si>
    <t xml:space="preserve"> Myott</t>
  </si>
  <si>
    <t>Aileen</t>
  </si>
  <si>
    <t>McCritchie</t>
  </si>
  <si>
    <t>Venkat</t>
  </si>
  <si>
    <t>Kodi</t>
  </si>
  <si>
    <t>Raghuveer</t>
  </si>
  <si>
    <t>Yettugunna</t>
  </si>
  <si>
    <t>Tabby</t>
  </si>
  <si>
    <t xml:space="preserve"> Astall</t>
  </si>
  <si>
    <t>Doe</t>
  </si>
  <si>
    <t>Clubley</t>
  </si>
  <si>
    <t>Sahaj</t>
  </si>
  <si>
    <t>Jonnalagadda</t>
  </si>
  <si>
    <t>Orlando</t>
  </si>
  <si>
    <t xml:space="preserve">Gorstidge </t>
  </si>
  <si>
    <t>Joaquin McVitty</t>
  </si>
  <si>
    <t>Suman</t>
  </si>
  <si>
    <t>Katte</t>
  </si>
  <si>
    <t>Prasanna</t>
  </si>
  <si>
    <t>Lakshmi Payasam</t>
  </si>
  <si>
    <t>Matias</t>
  </si>
  <si>
    <t xml:space="preserve">Cormack </t>
  </si>
  <si>
    <t>Jaipal</t>
  </si>
  <si>
    <t>Potanapudi</t>
  </si>
  <si>
    <t>Duran</t>
  </si>
  <si>
    <t>Appala</t>
  </si>
  <si>
    <t>Mickie</t>
  </si>
  <si>
    <t>Dagwell</t>
  </si>
  <si>
    <t>Lizzie</t>
  </si>
  <si>
    <t>Mullally</t>
  </si>
  <si>
    <t>Brendan</t>
  </si>
  <si>
    <t xml:space="preserve"> Edgeller</t>
  </si>
  <si>
    <t>Rhiamon</t>
  </si>
  <si>
    <t>Mollison</t>
  </si>
  <si>
    <t>John</t>
  </si>
  <si>
    <t>Joseph</t>
  </si>
  <si>
    <t>Inge</t>
  </si>
  <si>
    <t>Creer</t>
  </si>
  <si>
    <t>Tadio</t>
  </si>
  <si>
    <t>Audritt</t>
  </si>
  <si>
    <t>Felice</t>
  </si>
  <si>
    <t>McMurty</t>
  </si>
  <si>
    <t>Alic</t>
  </si>
  <si>
    <t>Bagg</t>
  </si>
  <si>
    <t>Oorjit</t>
  </si>
  <si>
    <t>Nandanavanam</t>
  </si>
  <si>
    <t>Marquita</t>
  </si>
  <si>
    <t>Liquorish</t>
  </si>
  <si>
    <t>Ponnan</t>
  </si>
  <si>
    <t>Delhi</t>
  </si>
  <si>
    <t>Alexis</t>
  </si>
  <si>
    <t>Gotfrey</t>
  </si>
  <si>
    <t>Tallie</t>
  </si>
  <si>
    <t>Chaikovski</t>
  </si>
  <si>
    <t>Subbarao</t>
  </si>
  <si>
    <t>Malladi</t>
  </si>
  <si>
    <t>Dulce</t>
  </si>
  <si>
    <t>Colbeck</t>
  </si>
  <si>
    <t>Sravanthi</t>
  </si>
  <si>
    <t>Chalaki</t>
  </si>
  <si>
    <t>Ramalingam</t>
  </si>
  <si>
    <t>Kothapeta</t>
  </si>
  <si>
    <t>Camilla</t>
  </si>
  <si>
    <t>Castle</t>
  </si>
  <si>
    <t>Charmane</t>
  </si>
  <si>
    <t>Heistermann</t>
  </si>
  <si>
    <t>Audry</t>
  </si>
  <si>
    <t>Yu</t>
  </si>
  <si>
    <t>Tristam</t>
  </si>
  <si>
    <t>Cuming</t>
  </si>
  <si>
    <t>Janina</t>
  </si>
  <si>
    <t>Wolverson</t>
  </si>
  <si>
    <t>Dell</t>
  </si>
  <si>
    <t>Molloy</t>
  </si>
  <si>
    <t>Amlankusum</t>
  </si>
  <si>
    <t>Rajabhushan</t>
  </si>
  <si>
    <t>Delphine</t>
  </si>
  <si>
    <t>Jewis</t>
  </si>
  <si>
    <t>Ramnath</t>
  </si>
  <si>
    <t>Ravuri</t>
  </si>
  <si>
    <t>Caresa</t>
  </si>
  <si>
    <t>Christer</t>
  </si>
  <si>
    <t>Lindy</t>
  </si>
  <si>
    <t>Guillet</t>
  </si>
  <si>
    <t>Pippy Shepperd</t>
  </si>
  <si>
    <t>Amery</t>
  </si>
  <si>
    <t>Ofer</t>
  </si>
  <si>
    <t>Dulsea</t>
  </si>
  <si>
    <t>Folkes</t>
  </si>
  <si>
    <t>Makshi</t>
  </si>
  <si>
    <t>Vinutha</t>
  </si>
  <si>
    <t>Caron</t>
  </si>
  <si>
    <t>Kolakovic</t>
  </si>
  <si>
    <t>Shiuli</t>
  </si>
  <si>
    <t>Sapna</t>
  </si>
  <si>
    <t>Lezlie</t>
  </si>
  <si>
    <t>Philcott</t>
  </si>
  <si>
    <t>Maible</t>
  </si>
  <si>
    <t>Azemar</t>
  </si>
  <si>
    <t>Alyosha</t>
  </si>
  <si>
    <t>Riquet</t>
  </si>
  <si>
    <t>Agrata</t>
  </si>
  <si>
    <t>Rajarama</t>
  </si>
  <si>
    <t>Gradey</t>
  </si>
  <si>
    <t>Litton</t>
  </si>
  <si>
    <t>Vasu</t>
  </si>
  <si>
    <t>Nandin</t>
  </si>
  <si>
    <t>Bhuvan</t>
  </si>
  <si>
    <t>Pals</t>
  </si>
  <si>
    <t>Natalee</t>
  </si>
  <si>
    <t>Craiker</t>
  </si>
  <si>
    <t>Alicea</t>
  </si>
  <si>
    <t>Pudsall</t>
  </si>
  <si>
    <t>Michale</t>
  </si>
  <si>
    <t>Rolf</t>
  </si>
  <si>
    <t>Gumwant</t>
  </si>
  <si>
    <t>Veera</t>
  </si>
  <si>
    <t>Narois</t>
  </si>
  <si>
    <t>Motiwala</t>
  </si>
  <si>
    <t>Marline</t>
  </si>
  <si>
    <t>Wahncke</t>
  </si>
  <si>
    <t>Katya</t>
  </si>
  <si>
    <t>Hundy</t>
  </si>
  <si>
    <t>Krishnakanta</t>
  </si>
  <si>
    <t>Vellanki</t>
  </si>
  <si>
    <t>Dhruv</t>
  </si>
  <si>
    <t>Manjunath</t>
  </si>
  <si>
    <t>Grazia</t>
  </si>
  <si>
    <t>Bunkle</t>
  </si>
  <si>
    <t>Granny</t>
  </si>
  <si>
    <t>Spencelayh</t>
  </si>
  <si>
    <t>Barbara-anne</t>
  </si>
  <si>
    <t>Kenchington</t>
  </si>
  <si>
    <t>Calvin</t>
  </si>
  <si>
    <t>O'Carroll</t>
  </si>
  <si>
    <t>Vanmala</t>
  </si>
  <si>
    <t>Shriharsha</t>
  </si>
  <si>
    <t>Barr</t>
  </si>
  <si>
    <t>Faughny</t>
  </si>
  <si>
    <t>Anumati</t>
  </si>
  <si>
    <t>Shyamari Meherhomji</t>
  </si>
  <si>
    <t>Fred Dudeney</t>
  </si>
  <si>
    <t>Tarala</t>
  </si>
  <si>
    <t>Vishaal</t>
  </si>
  <si>
    <t>Shubhra</t>
  </si>
  <si>
    <t>Potla</t>
  </si>
  <si>
    <t>Mabel</t>
  </si>
  <si>
    <t>Orrow</t>
  </si>
  <si>
    <t>Hemavati</t>
  </si>
  <si>
    <t>Muthiah</t>
  </si>
  <si>
    <t>Krittika</t>
  </si>
  <si>
    <t>Gaekwad</t>
  </si>
  <si>
    <t>Adey</t>
  </si>
  <si>
    <t>Ryal</t>
  </si>
  <si>
    <t>Syd</t>
  </si>
  <si>
    <t>Fearn</t>
  </si>
  <si>
    <t>Cara</t>
  </si>
  <si>
    <t>Havers</t>
  </si>
  <si>
    <t>Egor</t>
  </si>
  <si>
    <t>Minto</t>
  </si>
  <si>
    <t>Theresita</t>
  </si>
  <si>
    <t>Chasmer</t>
  </si>
  <si>
    <t>Collin</t>
  </si>
  <si>
    <t>Jagson</t>
  </si>
  <si>
    <t>Shevantilal</t>
  </si>
  <si>
    <t>Muppala</t>
  </si>
  <si>
    <t>Shattesh</t>
  </si>
  <si>
    <t>Utpat</t>
  </si>
  <si>
    <t>Adela</t>
  </si>
  <si>
    <t>Dowsett</t>
  </si>
  <si>
    <t>Thedrick</t>
  </si>
  <si>
    <t>Bothwell</t>
  </si>
  <si>
    <t>Letisha</t>
  </si>
  <si>
    <t>Carrett</t>
  </si>
  <si>
    <t>Kamalakshi</t>
  </si>
  <si>
    <t>Mukundan</t>
  </si>
  <si>
    <t>Chandana</t>
  </si>
  <si>
    <t>Sannidhi Surnilla</t>
  </si>
  <si>
    <t>Shantee</t>
  </si>
  <si>
    <t xml:space="preserve"> D'Antonio</t>
  </si>
  <si>
    <t>Indu</t>
  </si>
  <si>
    <t>Varada Sumedh</t>
  </si>
  <si>
    <t>Karuna</t>
  </si>
  <si>
    <t>Pashupathy</t>
  </si>
  <si>
    <t>Antonetta</t>
  </si>
  <si>
    <t xml:space="preserve"> Coggeshall</t>
  </si>
  <si>
    <t>Wald</t>
  </si>
  <si>
    <t>Bountiff</t>
  </si>
  <si>
    <t>Mardav</t>
  </si>
  <si>
    <t>Ramaswami</t>
  </si>
  <si>
    <t>Robinia</t>
  </si>
  <si>
    <t>Scholling</t>
  </si>
  <si>
    <t>Sarayu</t>
  </si>
  <si>
    <t>Ragunathan</t>
  </si>
  <si>
    <t>Kevalkumar</t>
  </si>
  <si>
    <t>Solanki</t>
  </si>
  <si>
    <t>Upendra</t>
  </si>
  <si>
    <t>Swati</t>
  </si>
  <si>
    <t>Deepit</t>
  </si>
  <si>
    <t>Ranjana</t>
  </si>
  <si>
    <t>Edi</t>
  </si>
  <si>
    <t xml:space="preserve"> Hofton</t>
  </si>
  <si>
    <t>Revkah</t>
  </si>
  <si>
    <t>Antonacci</t>
  </si>
  <si>
    <t>Amal</t>
  </si>
  <si>
    <t>Nimesh</t>
  </si>
  <si>
    <t>Kunja</t>
  </si>
  <si>
    <t>Prashanta Vibha</t>
  </si>
  <si>
    <t>Malory</t>
  </si>
  <si>
    <t>Biles</t>
  </si>
  <si>
    <t>Lea</t>
  </si>
  <si>
    <t>Chaplin</t>
  </si>
  <si>
    <t>Hinda</t>
  </si>
  <si>
    <t xml:space="preserve">Label </t>
  </si>
  <si>
    <t>Godavari</t>
  </si>
  <si>
    <t>Veena</t>
  </si>
  <si>
    <t>Rafaelita</t>
  </si>
  <si>
    <t xml:space="preserve">Blaksland </t>
  </si>
  <si>
    <t>Bendite</t>
  </si>
  <si>
    <t xml:space="preserve"> Bloan</t>
  </si>
  <si>
    <t>Sidoney</t>
  </si>
  <si>
    <t>Yitzhok</t>
  </si>
  <si>
    <t>Melva</t>
  </si>
  <si>
    <t xml:space="preserve"> Jickells</t>
  </si>
  <si>
    <t>Austine</t>
  </si>
  <si>
    <t>Littlewood</t>
  </si>
  <si>
    <t>Ruby</t>
  </si>
  <si>
    <t>Cracie</t>
  </si>
  <si>
    <t>Zach</t>
  </si>
  <si>
    <t>Polon</t>
  </si>
  <si>
    <t xml:space="preserve"> Dowdle</t>
  </si>
  <si>
    <t>Yves Pawlik</t>
  </si>
  <si>
    <t>Nonah</t>
  </si>
  <si>
    <t>Bissell</t>
  </si>
  <si>
    <t>Luca</t>
  </si>
  <si>
    <t>Wolstenholme</t>
  </si>
  <si>
    <t>Hephzibah</t>
  </si>
  <si>
    <t>Summerell</t>
  </si>
  <si>
    <t>Geena</t>
  </si>
  <si>
    <t>Raghavanpillai</t>
  </si>
  <si>
    <t>Brad</t>
  </si>
  <si>
    <t>Gumb</t>
  </si>
  <si>
    <t>Rupak</t>
  </si>
  <si>
    <t>Mehra</t>
  </si>
  <si>
    <t>Joyce</t>
  </si>
  <si>
    <t>Leyband</t>
  </si>
  <si>
    <t>Tulley</t>
  </si>
  <si>
    <t>Chiddy</t>
  </si>
  <si>
    <t xml:space="preserve"> Hartin</t>
  </si>
  <si>
    <t>Pedro</t>
  </si>
  <si>
    <t>St. Hill</t>
  </si>
  <si>
    <t>Sawini</t>
  </si>
  <si>
    <t>Chandan</t>
  </si>
  <si>
    <t>Baruna</t>
  </si>
  <si>
    <t>Ogale</t>
  </si>
  <si>
    <t>Fonzie</t>
  </si>
  <si>
    <t xml:space="preserve">O'Shea </t>
  </si>
  <si>
    <t>Freda</t>
  </si>
  <si>
    <t>Legan</t>
  </si>
  <si>
    <t>Bernie</t>
  </si>
  <si>
    <t>Gorges</t>
  </si>
  <si>
    <t>Violante</t>
  </si>
  <si>
    <t>Courtonne</t>
  </si>
  <si>
    <t>Jeannie</t>
  </si>
  <si>
    <t>Petracco</t>
  </si>
  <si>
    <t>Alida</t>
  </si>
  <si>
    <t>Welman</t>
  </si>
  <si>
    <t>Kulbhushan</t>
  </si>
  <si>
    <t>Moorthy</t>
  </si>
  <si>
    <t>Anni</t>
  </si>
  <si>
    <t>Izzard</t>
  </si>
  <si>
    <t>Ilesh</t>
  </si>
  <si>
    <t>Dasgupta</t>
  </si>
  <si>
    <t>Madhumati</t>
  </si>
  <si>
    <t>Gazala Soumitra</t>
  </si>
  <si>
    <t>Chitrasen</t>
  </si>
  <si>
    <t>Laul</t>
  </si>
  <si>
    <t>Kantimoy</t>
  </si>
  <si>
    <t>Pritish</t>
  </si>
  <si>
    <t>Lalit</t>
  </si>
  <si>
    <t>Kothari</t>
  </si>
  <si>
    <t>Elbertine</t>
  </si>
  <si>
    <t>Hiscoe</t>
  </si>
  <si>
    <t>Hali</t>
  </si>
  <si>
    <t>Behnecke</t>
  </si>
  <si>
    <t>Sahas</t>
  </si>
  <si>
    <t>Sanabhi Shrikant</t>
  </si>
  <si>
    <t>Gwenneth</t>
  </si>
  <si>
    <t>Fealey</t>
  </si>
  <si>
    <t>Konstantin</t>
  </si>
  <si>
    <t>Timblett</t>
  </si>
  <si>
    <t>Kaishori</t>
  </si>
  <si>
    <t>Harathi Kateel</t>
  </si>
  <si>
    <t>Mendel</t>
  </si>
  <si>
    <t xml:space="preserve"> Gentsch</t>
  </si>
  <si>
    <t>Rushil</t>
  </si>
  <si>
    <t>Kripa</t>
  </si>
  <si>
    <t>Glenny</t>
  </si>
  <si>
    <t>Marjie</t>
  </si>
  <si>
    <t>Bamford</t>
  </si>
  <si>
    <t>Sarojini</t>
  </si>
  <si>
    <t>Naueshwara</t>
  </si>
  <si>
    <t>Claretta</t>
  </si>
  <si>
    <t>MacQuist</t>
  </si>
  <si>
    <t>Roselle</t>
  </si>
  <si>
    <t>Wandrach</t>
  </si>
  <si>
    <t>Koral</t>
  </si>
  <si>
    <t>Gerriet</t>
  </si>
  <si>
    <t>Anjela</t>
  </si>
  <si>
    <t>Spancock</t>
  </si>
  <si>
    <t>Mahindra</t>
  </si>
  <si>
    <t>Sreedharan</t>
  </si>
  <si>
    <t>Suchira</t>
  </si>
  <si>
    <t>Bhanupriya Tapti</t>
  </si>
  <si>
    <t>Fullara</t>
  </si>
  <si>
    <t>Sushanti Mokate</t>
  </si>
  <si>
    <t>Hridaynath</t>
  </si>
  <si>
    <t>Tendulkar</t>
  </si>
  <si>
    <t>Fidela Artis</t>
  </si>
  <si>
    <t>LAST NAME</t>
  </si>
  <si>
    <t>Employee ID</t>
  </si>
  <si>
    <t>Saalry</t>
  </si>
  <si>
    <t>=VLOOKUP(Fetch Column,tablename,give column placeholder in number, always FALSE (exact match)</t>
  </si>
  <si>
    <t>MATCH</t>
  </si>
  <si>
    <t>INDEX</t>
  </si>
  <si>
    <t>=MATCH(B16,Table_Lookup[Last Name],0)</t>
  </si>
  <si>
    <t>=MATCH(Fetch data at partcular column,tablename[lastname{column header], 0) here 0 is false (exact match)</t>
  </si>
  <si>
    <t>georhe</t>
  </si>
  <si>
    <t>MATCH Function</t>
  </si>
  <si>
    <t>INDEX Function</t>
  </si>
  <si>
    <t>INDEX MATCH Function</t>
  </si>
  <si>
    <t>to mark or match index or cell --&gt; Keeping one fixed value and through that value or text narrow down the entire row or col</t>
  </si>
  <si>
    <t>=INDEX(Table_Lookup[First Name],B17)</t>
  </si>
  <si>
    <t>By the result of MATCH function {226-lastname}{B17}, it will fetch the all other column details</t>
  </si>
  <si>
    <t>=INDEX(Table_Lookup[Emp ID],MATCH(B16,Table_Lookup[Last Name],0))</t>
  </si>
  <si>
    <t>combine of INDEX + MATCH Function</t>
  </si>
  <si>
    <t>to check if the value is exists</t>
  </si>
  <si>
    <t>IFERROR + INDEX MATCH</t>
  </si>
  <si>
    <t>scad</t>
  </si>
  <si>
    <t>edit invalid entry at lastname - instead scand enter djkahjka</t>
  </si>
  <si>
    <t>=IFERROR(INDEX(Table_Lookup[Department],MATCH(B16,Table_Lookup[Last Name],0)),"NOT FOUND")</t>
  </si>
  <si>
    <t>To Fetch specific data like first name, last name etc…
NOTE: V or H  LOOKUP only look into very first value and not bother about the same name coming next</t>
  </si>
  <si>
    <t>XLOOKUP</t>
  </si>
  <si>
    <r>
      <t xml:space="preserve">=XLOOKUP(C10,Table_Lookup[Emp ID],Table_Lookup[First Name])
</t>
    </r>
    <r>
      <rPr>
        <b/>
        <sz val="11"/>
        <color theme="1"/>
        <rFont val="Calibri Light"/>
        <family val="2"/>
        <scheme val="minor"/>
      </rPr>
      <t>Steps:</t>
    </r>
    <r>
      <rPr>
        <sz val="11"/>
        <color theme="1"/>
        <rFont val="Calibri Light"/>
        <family val="2"/>
        <scheme val="minor"/>
      </rPr>
      <t xml:space="preserve"> '=XLOOKUP(Lookup Value{C10_empid value},Lookup array{TableName}Lookup Column{[empid_lookup value column header],Return Array{Table_name[Firstname_Return Column header ]}}</t>
    </r>
  </si>
  <si>
    <t>IFERROR + XLOOKUP</t>
  </si>
  <si>
    <t xml:space="preserve">--&gt; It is improved version of VLOOKUP, INDEX and MATCH
--&gt; Need not to specify Match, true or false, 0 or 1
</t>
  </si>
  <si>
    <t xml:space="preserve">--&gt; No Need of IFERROR Functions to specify NOT FOUND Message as XLOOKUP loaded with inbuilt, check formua 2 </t>
  </si>
  <si>
    <t>1)  '=IFERROR(XLOOKUP(D10,Table_Lookup[Emp ID],Table_Lookup[First Name]),"NOT Found")
2) =XLOOKUP(D10,Table_Lookup[Emp ID],Table_Lookup[First Name],"NOT Found")</t>
  </si>
  <si>
    <t>=XLOOKUP(B22,Table_Lookup[Last Name],Table_Lookup[Emp ID],"Not Found")</t>
  </si>
  <si>
    <t>--&gt; Splited into two table whereas first lookup array TABLE says what us we want to looking for and second return array table says what us we want to get as result
--&gt; need not to specify Index match</t>
  </si>
  <si>
    <t>Entire Data of LASTNAME+"SCAD"</t>
  </si>
  <si>
    <t>XLOOKUP+MULTIPLE COLUMN RETURN</t>
  </si>
  <si>
    <t xml:space="preserve">--&gt; return entire row data </t>
  </si>
  <si>
    <r>
      <t>=XLOOKUP(B22,Table_Lookup[Last Name],</t>
    </r>
    <r>
      <rPr>
        <b/>
        <sz val="11"/>
        <color rgb="FFFFC000"/>
        <rFont val="Calibri Light"/>
        <family val="2"/>
        <scheme val="minor"/>
      </rPr>
      <t>Table_Lookup,"N</t>
    </r>
    <r>
      <rPr>
        <sz val="11"/>
        <color theme="1"/>
        <rFont val="Calibri Light"/>
        <family val="2"/>
        <scheme val="minor"/>
      </rPr>
      <t>ot Found")
Check Formula difference on return array, check row 31</t>
    </r>
  </si>
  <si>
    <t>TRANSPOSE + XLOOKUP</t>
  </si>
  <si>
    <t>Transpose the above 31 row data (horiontal to vertical)</t>
  </si>
  <si>
    <t>=TRANSPOSE(XLOOKUP(B22,Table_Lookup[Last Name],Table_Lookup))
--&gt; Transpose the above 31 row data (horizontal to vertical)</t>
  </si>
  <si>
    <t>Find all Employees with 1200000rs salary</t>
  </si>
  <si>
    <t>Need to check with mentor</t>
  </si>
  <si>
    <t>Complex Formula --&gt; Highest Salary person</t>
  </si>
  <si>
    <t>Using MAX Function</t>
  </si>
  <si>
    <t>Using XLOOKUP + MAX Function</t>
  </si>
  <si>
    <t>MAX+XLOOKUP</t>
  </si>
  <si>
    <t>=XLOOKUP(MAX(Table_Lookup[Salary]),Table_Lookup[Salary],Table_Lookup[First Name]&amp;" " &amp;Table_Lookup[Last Name]&amp;" - " &amp; Table_Lookup[Work location])</t>
  </si>
  <si>
    <t>--&gt; To Find maximum salary person name --
--&gt; Multiple Combination of columns as need to be add --&gt; with using &amp; " " &amp;   give spaces or strings of character,special char inbetween first name and last name</t>
  </si>
  <si>
    <t xml:space="preserve">Get ALL Highest Persons Salary </t>
  </si>
  <si>
    <t>=FILTER(Table_Lookup[First Name]&amp;" "&amp;Table_Lookup[Last Name],Table_Lookup[Salary]=MAX(Table_Lookup[Salary]))</t>
  </si>
  <si>
    <t>=TEXTJOIN(",", ,FILTER(Table_Lookup[Salary]&amp;"@ "&amp;Table_Lookup[First Name]&amp;" "&amp;Table_Lookup[Last Name],Table_Lookup[Salary]=MAX(Table_Lookup[Salary])))</t>
  </si>
  <si>
    <t>Text join--&gt; combine two rows in single row</t>
  </si>
  <si>
    <t>FILTER +MAX</t>
  </si>
  <si>
    <t>TEXTJOIN+FILTER</t>
  </si>
  <si>
    <t>Using FILTER + MAX</t>
  </si>
  <si>
    <t>TEXT JOIN+FILTER+MAX</t>
  </si>
  <si>
    <t>The below topics arfe from Filter Funtion and MAX</t>
  </si>
  <si>
    <t>BA Ques - All Employee Joined in MARCH</t>
  </si>
  <si>
    <t>=FILTER(Table_Lookup[Emp ID]:Table_Lookup[Salary],Table_Lookup[Salary]=MAX(Table_Lookup[Salary]))</t>
  </si>
  <si>
    <t>Get ALL Highest Persons Salary  limited column using : semicolon</t>
  </si>
  <si>
    <t xml:space="preserve"> </t>
  </si>
  <si>
    <t>--&gt; Filter by name</t>
  </si>
  <si>
    <t xml:space="preserve">=FILTER(Table3,Table3[Name]= "Billi Fellgate")
</t>
  </si>
  <si>
    <t>BA QUES - All emoployee name start with Letter B</t>
  </si>
  <si>
    <t>=FILTER(Table3,LEFT(Table3[Name],1)="B")</t>
  </si>
  <si>
    <t>--&gt; BA QUES - All emoployee name start with Letter B
Here LEFT Function is used to fetch from left side and 1 indicates the first letter , 2 indicates 2nd letter of the name and vice versa</t>
  </si>
  <si>
    <t>BA Ques - Fetch employee by the Name</t>
  </si>
  <si>
    <t>BA QUES -  All employee joined in date of 2020 jan 1</t>
  </si>
  <si>
    <t>Complex Formulas - Department report of Headcount, salaries and % diff from overall average</t>
  </si>
  <si>
    <t>ALL Departments</t>
  </si>
  <si>
    <t>Unique Department</t>
  </si>
  <si>
    <t>Headcount</t>
  </si>
  <si>
    <t>Counts and max and avg</t>
  </si>
  <si>
    <t>Avg.Salary</t>
  </si>
  <si>
    <t>% diff from overall salary</t>
  </si>
  <si>
    <t>Cleaning</t>
  </si>
  <si>
    <t>FUNCTION</t>
  </si>
  <si>
    <t>FORMULA</t>
  </si>
  <si>
    <t>COUNTA</t>
  </si>
  <si>
    <t>QUES</t>
  </si>
  <si>
    <t>=(Table_Lookup[Department])</t>
  </si>
  <si>
    <t xml:space="preserve">To Fetch all department in Table </t>
  </si>
  <si>
    <t>To Fetch Unique Department by A to Z sorting</t>
  </si>
  <si>
    <t>=SORT(UNIQUE(Table_Lookup[Department]))</t>
  </si>
  <si>
    <t>A6</t>
  </si>
  <si>
    <t>B6</t>
  </si>
  <si>
    <t>C6</t>
  </si>
  <si>
    <t>To Fetch Unique Department HEAD Count</t>
  </si>
  <si>
    <t>=COUNTIFS(Table_Lookup[Department],B6#)</t>
  </si>
  <si>
    <t>SORT+UNIQUE</t>
  </si>
  <si>
    <t>COUNTIFS</t>
  </si>
  <si>
    <t>A4
B4</t>
  </si>
  <si>
    <t>To Fetch all Employee TOTAL Count
To Fettch all UNIQUE Department Count</t>
  </si>
  <si>
    <t>=COUNTA(Table_Lookup[Emp ID])
=COUNTA(B6#)</t>
  </si>
  <si>
    <t>To Fetch Maximum Employee Salary</t>
  </si>
  <si>
    <t>=MAX(Table_Lookup[Salary])</t>
  </si>
  <si>
    <t>F4</t>
  </si>
  <si>
    <t>AVERAGEIFS</t>
  </si>
  <si>
    <t>To Fetch Average salary against Department</t>
  </si>
  <si>
    <t>=AVERAGEIFS(Table_Lookup[Salary],Table_Lookup[Department],B6#)</t>
  </si>
  <si>
    <t>D6</t>
  </si>
  <si>
    <t xml:space="preserve">AT </t>
  </si>
  <si>
    <t>AVERAGE</t>
  </si>
  <si>
    <t xml:space="preserve">To Fetch All Emp - Average salary </t>
  </si>
  <si>
    <t>=AVERAGE(Table_Lookup[Salary])</t>
  </si>
  <si>
    <t>D4</t>
  </si>
  <si>
    <t>=D6#-D4</t>
  </si>
  <si>
    <t>SUBRACTION</t>
  </si>
  <si>
    <t>To Substract from avg salary from total salary average</t>
  </si>
  <si>
    <t>E6</t>
  </si>
  <si>
    <t>=SUM(Table_Lookup[Salary])</t>
  </si>
  <si>
    <t>To add all employee salary</t>
  </si>
  <si>
    <t>SUM</t>
  </si>
  <si>
    <t>D3</t>
  </si>
  <si>
    <t>Grand Total</t>
  </si>
  <si>
    <t>Median Salary</t>
  </si>
  <si>
    <t>Female Ratio</t>
  </si>
  <si>
    <t>=MAXIFS(Table_Lookup[Salary],Table_Lookup[Department],B6#)</t>
  </si>
  <si>
    <t>G6</t>
  </si>
  <si>
    <t>Highest Salary from each deprtment</t>
  </si>
  <si>
    <t>MAXIFS</t>
  </si>
  <si>
    <t>Analysis Themes:</t>
  </si>
  <si>
    <t>Concepts introduced:</t>
  </si>
  <si>
    <t>How many calls we are getting by customer?</t>
  </si>
  <si>
    <t>Pivoting data</t>
  </si>
  <si>
    <t>How satisfied are our customers?</t>
  </si>
  <si>
    <t>Chaging calculation mode</t>
  </si>
  <si>
    <t>Who are our top 10 customers?</t>
  </si>
  <si>
    <t>Top 10 customers for a specific representative?</t>
  </si>
  <si>
    <t>Report filters / slicers</t>
  </si>
  <si>
    <t>Call duration analysis</t>
  </si>
  <si>
    <t>Grouping / bucketing</t>
  </si>
  <si>
    <t>How busy is our call centre in 2023?</t>
  </si>
  <si>
    <t>Trends / pivot chart</t>
  </si>
  <si>
    <t>YTD Sales Analysis</t>
  </si>
  <si>
    <t>Value settings</t>
  </si>
  <si>
    <t>Which days of week are the busiest?</t>
  </si>
  <si>
    <t>Conditional formatting</t>
  </si>
  <si>
    <t>Is there a link between call duration and satisfaction rating?</t>
  </si>
  <si>
    <t>Adding columns, refresh, scatter graph</t>
  </si>
  <si>
    <t>Should we hire extra people in any specific months?</t>
  </si>
  <si>
    <t>Time wasters: Which customers call most but buy least?</t>
  </si>
  <si>
    <t>Rep training: Which rep(s) could use satisfaction training program?</t>
  </si>
  <si>
    <t>Call number</t>
  </si>
  <si>
    <t>Customer ID</t>
  </si>
  <si>
    <t>Duration</t>
  </si>
  <si>
    <t>Representative</t>
  </si>
  <si>
    <t>Date of Call</t>
  </si>
  <si>
    <t>Purchase Amount</t>
  </si>
  <si>
    <t>Satisfaction Rating</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</si>
  <si>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</si>
  <si>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</si>
  <si>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</si>
  <si>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</si>
  <si>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</si>
  <si>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</si>
  <si>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</si>
  <si>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</si>
  <si>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</si>
  <si>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</si>
  <si>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</si>
  <si>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</si>
  <si>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</si>
  <si>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</si>
  <si>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</si>
  <si>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</si>
  <si>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</si>
  <si>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</si>
  <si>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</si>
  <si>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</si>
  <si>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</si>
  <si>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</si>
  <si>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</si>
  <si>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</si>
  <si>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</si>
  <si>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</si>
  <si>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</si>
  <si>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</si>
  <si>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</si>
  <si>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</si>
  <si>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</si>
  <si>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</si>
  <si>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</si>
  <si>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</si>
  <si>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</si>
  <si>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</si>
  <si>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</si>
  <si>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</si>
  <si>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</si>
  <si>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</si>
  <si>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</si>
  <si>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</si>
  <si>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</si>
  <si>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</si>
  <si>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</si>
  <si>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</si>
  <si>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</si>
  <si>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</si>
  <si>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</si>
  <si>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</si>
  <si>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</si>
  <si>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</si>
  <si>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</si>
  <si>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</si>
  <si>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</si>
  <si>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</si>
  <si>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</si>
  <si>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</si>
  <si>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</si>
  <si>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</si>
  <si>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</si>
  <si>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</si>
  <si>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</si>
  <si>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</si>
  <si>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</si>
  <si>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</si>
  <si>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</si>
  <si>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</si>
  <si>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</si>
  <si>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</si>
  <si>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</si>
  <si>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</si>
  <si>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</si>
  <si>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</si>
  <si>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</si>
  <si>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</si>
  <si>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</si>
  <si>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</si>
  <si>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</si>
  <si>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</si>
  <si>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</si>
  <si>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</si>
  <si>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</si>
  <si>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</si>
  <si>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</si>
  <si>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</si>
  <si>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</si>
  <si>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</si>
  <si>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</si>
  <si>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</si>
  <si>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</si>
  <si>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</si>
  <si>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</si>
  <si>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</si>
  <si>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</si>
  <si>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</si>
  <si>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</si>
  <si>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</si>
  <si>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</si>
  <si>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</si>
  <si>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</si>
  <si>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</si>
  <si>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</si>
  <si>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</si>
  <si>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</si>
  <si>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</si>
  <si>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</si>
  <si>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</si>
  <si>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</si>
  <si>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</si>
  <si>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</si>
  <si>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</si>
  <si>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</si>
  <si>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</si>
  <si>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</si>
  <si>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</si>
  <si>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</si>
  <si>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</si>
  <si>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</si>
  <si>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</si>
  <si>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</si>
  <si>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</si>
  <si>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</si>
  <si>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</si>
  <si>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</si>
  <si>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</si>
  <si>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</si>
  <si>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</si>
  <si>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</si>
  <si>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</si>
  <si>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</si>
  <si>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</si>
  <si>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</si>
  <si>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</si>
  <si>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</si>
  <si>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</si>
  <si>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</si>
  <si>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</si>
  <si>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</si>
  <si>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</si>
  <si>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</si>
  <si>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</si>
  <si>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</si>
  <si>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</si>
  <si>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</si>
  <si>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</si>
  <si>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</si>
  <si>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</si>
  <si>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</si>
  <si>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</si>
  <si>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</si>
  <si>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</si>
  <si>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</si>
  <si>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</si>
  <si>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</si>
  <si>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</si>
  <si>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</si>
  <si>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</si>
  <si>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</si>
  <si>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</si>
  <si>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</si>
  <si>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</si>
  <si>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</si>
  <si>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</si>
  <si>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</si>
  <si>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</si>
  <si>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</si>
  <si>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</si>
  <si>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</si>
  <si>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</si>
  <si>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</si>
  <si>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</si>
  <si>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</si>
  <si>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</si>
  <si>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</si>
  <si>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</si>
  <si>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</si>
  <si>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</si>
  <si>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</si>
  <si>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</si>
  <si>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</si>
  <si>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</si>
  <si>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</si>
  <si>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</si>
  <si>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</si>
  <si>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</si>
  <si>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</si>
  <si>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</si>
  <si>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</si>
  <si>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</si>
  <si>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</si>
  <si>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</si>
  <si>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</si>
  <si>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</si>
  <si>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</si>
  <si>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</si>
  <si>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</si>
  <si>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</si>
  <si>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</si>
  <si>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</si>
  <si>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</si>
  <si>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</si>
  <si>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</si>
  <si>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</si>
  <si>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</si>
  <si>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</si>
  <si>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</si>
  <si>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</si>
  <si>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</si>
  <si>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</si>
  <si>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</si>
  <si>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</si>
  <si>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</si>
  <si>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</si>
  <si>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</si>
  <si>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</si>
  <si>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</si>
  <si>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</si>
  <si>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</si>
  <si>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</si>
  <si>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</si>
  <si>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</si>
  <si>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</si>
  <si>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</si>
  <si>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</si>
  <si>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</si>
  <si>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</si>
  <si>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</si>
  <si>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</si>
  <si>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</si>
  <si>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</si>
  <si>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</si>
  <si>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</si>
  <si>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</si>
  <si>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</si>
  <si>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</si>
  <si>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</si>
  <si>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</si>
  <si>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</si>
  <si>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</si>
  <si>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</si>
  <si>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</si>
  <si>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</si>
  <si>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</si>
  <si>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</si>
  <si>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</si>
  <si>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</si>
  <si>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</si>
  <si>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</si>
  <si>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</si>
  <si>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</si>
  <si>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</si>
  <si>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</si>
  <si>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</si>
  <si>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</si>
  <si>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</si>
  <si>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</si>
  <si>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</si>
  <si>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</si>
  <si>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</si>
  <si>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</si>
  <si>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</si>
  <si>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</si>
  <si>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</si>
  <si>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</si>
  <si>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</si>
  <si>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</si>
  <si>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</si>
  <si>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</si>
  <si>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</si>
  <si>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</si>
  <si>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</si>
  <si>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</si>
  <si>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</si>
  <si>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</si>
  <si>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</si>
  <si>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</si>
  <si>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</si>
  <si>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</si>
  <si>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</si>
  <si>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</si>
  <si>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</si>
  <si>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</si>
  <si>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</si>
  <si>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</si>
  <si>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</si>
  <si>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</si>
  <si>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</si>
  <si>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</si>
  <si>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</si>
  <si>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</si>
  <si>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</si>
  <si>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</si>
  <si>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</si>
  <si>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</si>
  <si>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</si>
  <si>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</si>
  <si>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</si>
  <si>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</si>
  <si>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</si>
  <si>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</si>
  <si>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</si>
  <si>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</si>
  <si>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</si>
  <si>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</si>
  <si>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</si>
  <si>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</si>
  <si>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</si>
  <si>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</si>
  <si>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</si>
  <si>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</si>
  <si>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</si>
  <si>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</si>
  <si>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</si>
  <si>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</si>
  <si>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</si>
  <si>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</si>
  <si>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</si>
  <si>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</si>
  <si>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</si>
  <si>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</si>
  <si>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</si>
  <si>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</si>
  <si>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</si>
  <si>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</si>
  <si>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</si>
  <si>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</si>
  <si>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</si>
  <si>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</si>
  <si>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</si>
  <si>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</si>
  <si>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</si>
  <si>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</si>
  <si>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</si>
  <si>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</si>
  <si>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</si>
  <si>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</si>
  <si>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</si>
  <si>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</si>
  <si>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</si>
  <si>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</si>
  <si>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</si>
  <si>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</si>
  <si>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</si>
  <si>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</si>
  <si>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</si>
  <si>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</si>
  <si>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</si>
  <si>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</si>
  <si>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</si>
  <si>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</si>
  <si>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</si>
  <si>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</si>
  <si>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</si>
  <si>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</si>
  <si>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</si>
  <si>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</si>
  <si>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</si>
  <si>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</si>
  <si>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</si>
  <si>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</si>
  <si>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</si>
  <si>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</si>
  <si>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</si>
  <si>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</si>
  <si>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</si>
  <si>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</si>
  <si>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</si>
  <si>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</si>
  <si>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</si>
  <si>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</si>
  <si>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</si>
  <si>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</si>
  <si>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</si>
  <si>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</si>
  <si>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</si>
  <si>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</si>
  <si>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</si>
  <si>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</si>
  <si>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</si>
  <si>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</si>
  <si>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</si>
  <si>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</si>
  <si>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</si>
  <si>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</si>
  <si>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</si>
  <si>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</si>
  <si>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</si>
  <si>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</si>
  <si>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</si>
  <si>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</si>
  <si>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</si>
  <si>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</si>
  <si>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</si>
  <si>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</si>
  <si>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</si>
  <si>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</si>
  <si>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</si>
  <si>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</si>
  <si>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</si>
  <si>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</si>
  <si>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</si>
  <si>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</si>
  <si>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</si>
  <si>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</si>
  <si>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</si>
  <si>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</si>
  <si>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</si>
  <si>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</si>
  <si>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</si>
  <si>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</si>
  <si>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</si>
  <si>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</si>
  <si>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</si>
  <si>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</si>
  <si>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</si>
  <si>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</si>
  <si>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</si>
  <si>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</si>
  <si>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</si>
  <si>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</si>
  <si>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</si>
  <si>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</si>
  <si>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</si>
  <si>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</si>
  <si>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</si>
  <si>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</si>
  <si>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</si>
  <si>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</si>
  <si>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</si>
  <si>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</si>
  <si>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</si>
  <si>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</si>
  <si>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</si>
  <si>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</si>
  <si>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</si>
  <si>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</si>
  <si>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</si>
  <si>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</si>
  <si>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</si>
  <si>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</si>
  <si>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</si>
  <si>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</si>
  <si>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</si>
  <si>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</si>
  <si>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</si>
  <si>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</si>
  <si>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</si>
  <si>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</si>
  <si>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</si>
  <si>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</si>
  <si>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</si>
  <si>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</si>
  <si>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</si>
  <si>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</si>
  <si>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</si>
  <si>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</si>
  <si>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</si>
  <si>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</si>
  <si>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</si>
  <si>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</si>
  <si>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</si>
  <si>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</si>
  <si>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</si>
  <si>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</si>
  <si>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</si>
  <si>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</si>
  <si>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</si>
  <si>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</si>
  <si>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</si>
  <si>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</si>
  <si>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</si>
  <si>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</si>
  <si>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</si>
  <si>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</si>
  <si>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</si>
  <si>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</si>
  <si>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</si>
  <si>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</si>
  <si>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</si>
  <si>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</si>
  <si>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</si>
  <si>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</si>
  <si>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</si>
  <si>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</si>
  <si>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</si>
  <si>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</si>
  <si>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</si>
  <si>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</si>
  <si>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</si>
  <si>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</si>
  <si>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</si>
  <si>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</si>
  <si>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</si>
  <si>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</si>
  <si>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</si>
  <si>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</si>
  <si>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</si>
  <si>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</si>
  <si>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</si>
  <si>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</si>
  <si>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</si>
  <si>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</si>
  <si>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</si>
  <si>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</si>
  <si>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</si>
  <si>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</si>
  <si>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</si>
  <si>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</si>
  <si>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</si>
  <si>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</si>
  <si>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</si>
  <si>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</si>
  <si>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</si>
  <si>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</si>
  <si>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</si>
  <si>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</si>
  <si>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</si>
  <si>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</si>
  <si>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</si>
  <si>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</si>
  <si>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</si>
  <si>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</si>
  <si>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</si>
  <si>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</si>
  <si>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</si>
  <si>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</si>
  <si>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</si>
  <si>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</si>
  <si>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</si>
  <si>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</si>
  <si>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</si>
  <si>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</si>
  <si>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</si>
  <si>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</si>
  <si>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</si>
  <si>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</si>
  <si>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</si>
  <si>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</si>
  <si>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</si>
  <si>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</si>
  <si>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</si>
  <si>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</si>
  <si>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</si>
  <si>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</si>
  <si>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</si>
  <si>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</si>
  <si>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</si>
  <si>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</si>
  <si>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</si>
  <si>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</si>
  <si>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</si>
  <si>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</si>
  <si>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</si>
  <si>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</si>
  <si>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</si>
  <si>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</si>
  <si>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</si>
  <si>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</si>
  <si>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</si>
  <si>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</si>
  <si>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</si>
  <si>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</si>
  <si>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</si>
  <si>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</si>
  <si>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</si>
  <si>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</si>
  <si>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</si>
  <si>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</si>
  <si>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</si>
  <si>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</si>
  <si>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</si>
  <si>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</si>
  <si>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</si>
  <si>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</si>
  <si>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</si>
  <si>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</si>
  <si>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</si>
  <si>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</si>
  <si>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</si>
  <si>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</si>
  <si>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</si>
  <si>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</si>
  <si>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</si>
  <si>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</si>
  <si>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</si>
  <si>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</si>
  <si>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</si>
  <si>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</si>
  <si>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</si>
  <si>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</si>
  <si>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</si>
  <si>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</si>
  <si>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</si>
  <si>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</si>
  <si>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</si>
  <si>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</si>
  <si>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</si>
  <si>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</si>
  <si>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</si>
  <si>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</si>
  <si>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</si>
  <si>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</si>
  <si>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</si>
  <si>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</si>
  <si>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</si>
  <si>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</si>
  <si>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</si>
  <si>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</si>
  <si>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</si>
  <si>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</si>
  <si>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</si>
  <si>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</si>
  <si>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</si>
  <si>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</si>
  <si>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</si>
  <si>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</si>
  <si>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</si>
  <si>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</si>
  <si>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</si>
  <si>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</si>
  <si>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</si>
  <si>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</si>
  <si>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</si>
  <si>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</si>
  <si>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</si>
  <si>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</si>
  <si>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</si>
  <si>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</si>
  <si>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</si>
  <si>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</si>
  <si>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</si>
  <si>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</si>
  <si>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</si>
  <si>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</si>
  <si>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</si>
  <si>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</si>
  <si>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</si>
  <si>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</si>
  <si>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</si>
  <si>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</si>
  <si>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</si>
  <si>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</si>
  <si>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</si>
  <si>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</si>
  <si>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</si>
  <si>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</si>
  <si>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</si>
  <si>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</si>
  <si>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</si>
  <si>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</si>
  <si>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</si>
  <si>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</si>
  <si>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</si>
  <si>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</si>
  <si>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</si>
  <si>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</si>
  <si>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</si>
  <si>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</si>
  <si>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</si>
  <si>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</si>
  <si>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</si>
  <si>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</si>
  <si>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</si>
  <si>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</si>
  <si>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</si>
  <si>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</si>
  <si>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</si>
  <si>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</si>
  <si>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</si>
  <si>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</si>
  <si>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</si>
  <si>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</si>
  <si>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</si>
  <si>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</si>
  <si>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</si>
  <si>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</si>
  <si>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</si>
  <si>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</si>
  <si>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</si>
  <si>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</si>
  <si>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</si>
  <si>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</si>
  <si>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</si>
  <si>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</si>
  <si>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</si>
  <si>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</si>
  <si>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</si>
  <si>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</si>
  <si>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</si>
  <si>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</si>
  <si>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</si>
  <si>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</si>
  <si>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</si>
  <si>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</si>
  <si>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</si>
  <si>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</si>
  <si>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</si>
  <si>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</si>
  <si>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</si>
  <si>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</si>
  <si>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</si>
  <si>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</si>
  <si>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</si>
  <si>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</si>
  <si>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</si>
  <si>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</si>
  <si>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</si>
  <si>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</si>
  <si>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</si>
  <si>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</si>
  <si>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</si>
  <si>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</si>
  <si>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</si>
  <si>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</si>
  <si>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</si>
  <si>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</si>
  <si>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</si>
  <si>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</si>
  <si>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</si>
  <si>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</si>
  <si>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</si>
  <si>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</si>
  <si>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</si>
  <si>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</si>
  <si>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</si>
  <si>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</si>
  <si>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</si>
  <si>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</si>
  <si>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</si>
  <si>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</si>
  <si>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</si>
  <si>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</si>
  <si>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</si>
  <si>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</si>
  <si>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</si>
  <si>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</si>
  <si>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</si>
  <si>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</si>
  <si>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</si>
  <si>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</si>
  <si>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</si>
  <si>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</si>
  <si>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</si>
  <si>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</si>
  <si>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</si>
  <si>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</si>
  <si>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</si>
  <si>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</si>
  <si>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</si>
  <si>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</si>
  <si>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</si>
  <si>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</si>
  <si>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</si>
  <si>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</si>
  <si>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</si>
  <si>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</si>
  <si>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</si>
  <si>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</si>
  <si>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</si>
  <si>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</si>
  <si>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</si>
  <si>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</si>
  <si>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</si>
  <si>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</si>
  <si>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</si>
  <si>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</si>
  <si>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</si>
  <si>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</si>
  <si>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</si>
  <si>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</si>
  <si>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</si>
  <si>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</si>
  <si>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</si>
  <si>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</si>
  <si>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</si>
  <si>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</si>
  <si>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</si>
  <si>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</si>
  <si>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</si>
  <si>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</si>
  <si>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</si>
  <si>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</si>
  <si>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</si>
  <si>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</si>
  <si>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</si>
  <si>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</si>
  <si>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</si>
  <si>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</si>
  <si>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</si>
  <si>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</si>
  <si>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</si>
  <si>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</si>
  <si>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</si>
  <si>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</si>
  <si>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</si>
  <si>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</si>
  <si>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</si>
  <si>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</si>
  <si>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</si>
  <si>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</si>
  <si>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</si>
  <si>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</si>
  <si>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</si>
  <si>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</si>
  <si>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</si>
  <si>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</si>
  <si>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</si>
  <si>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</si>
  <si>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</si>
  <si>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</si>
  <si>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</si>
  <si>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</si>
  <si>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</si>
  <si>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</si>
  <si>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</si>
  <si>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</si>
  <si>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</si>
  <si>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</si>
  <si>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</si>
  <si>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</si>
  <si>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</si>
  <si>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</si>
  <si>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</si>
  <si>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</si>
  <si>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</si>
  <si>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</si>
  <si>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</si>
  <si>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</si>
  <si>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</si>
  <si>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</si>
  <si>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</si>
  <si>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</si>
  <si>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</si>
  <si>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</si>
  <si>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</si>
  <si>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</si>
  <si>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</si>
  <si>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</si>
  <si>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</si>
  <si>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</si>
  <si>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</si>
  <si>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</si>
  <si>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</si>
  <si>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</si>
  <si>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</si>
  <si>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</si>
  <si>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</si>
  <si>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</si>
  <si>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</si>
  <si>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</si>
  <si>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</si>
  <si>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</si>
  <si>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</si>
  <si>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</si>
  <si>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</si>
  <si>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</si>
  <si>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</si>
  <si>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</si>
  <si>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</si>
  <si>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</si>
  <si>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</si>
  <si>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</si>
  <si>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</si>
  <si>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</si>
  <si>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</si>
  <si>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</si>
  <si>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</si>
  <si>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</si>
  <si>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</si>
  <si>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</si>
  <si>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</si>
  <si>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</si>
  <si>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</si>
  <si>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</si>
  <si>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</si>
  <si>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</si>
  <si>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</si>
  <si>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</si>
  <si>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</si>
  <si>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</si>
  <si>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</si>
  <si>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</si>
  <si>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</si>
  <si>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</si>
  <si>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</si>
  <si>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</si>
  <si>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</si>
  <si>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</si>
  <si>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</si>
  <si>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</si>
  <si>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</si>
  <si>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</si>
  <si>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</si>
  <si>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</si>
  <si>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</si>
  <si>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</si>
  <si>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</si>
  <si>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</si>
  <si>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</si>
  <si>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</si>
  <si>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</si>
  <si>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</si>
  <si>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</si>
  <si>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</si>
  <si>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</si>
  <si>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</si>
  <si>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</si>
  <si>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</si>
  <si>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</si>
  <si>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</si>
  <si>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</si>
  <si>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</si>
  <si>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</si>
  <si>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</si>
  <si>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</si>
  <si>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</si>
  <si>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</si>
  <si>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</si>
  <si>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</si>
  <si>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</si>
  <si>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</si>
  <si>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</si>
  <si>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</si>
  <si>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</si>
  <si>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</si>
  <si>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</si>
  <si>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</si>
  <si>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</si>
  <si>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</si>
  <si>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</si>
  <si>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</si>
  <si>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</si>
  <si>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</si>
  <si>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</si>
  <si>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</si>
  <si>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</si>
  <si>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</si>
  <si>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</si>
  <si>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</si>
  <si>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</si>
  <si>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</si>
  <si>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</si>
  <si>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</si>
  <si>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</si>
  <si>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</si>
  <si>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</si>
  <si>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</si>
  <si>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</si>
  <si>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</si>
  <si>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</si>
  <si>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</si>
  <si>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</si>
  <si>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</si>
  <si>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</si>
  <si>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</si>
  <si>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</si>
  <si>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</si>
  <si>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</si>
  <si>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</si>
  <si>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</si>
  <si>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</si>
  <si>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</si>
  <si>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</si>
  <si>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</si>
  <si>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</si>
  <si>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</si>
  <si>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</si>
  <si>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</si>
  <si>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</si>
  <si>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</si>
  <si>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</si>
  <si>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</si>
  <si>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</si>
  <si>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</si>
  <si>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</si>
  <si>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</si>
  <si>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</si>
  <si>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</si>
  <si>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</si>
  <si>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</si>
  <si>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</si>
  <si>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</si>
  <si>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</si>
  <si>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</si>
  <si>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</si>
  <si>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</si>
  <si>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</si>
  <si>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</si>
  <si>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</si>
  <si>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</si>
  <si>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</si>
  <si>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</si>
  <si>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</si>
  <si>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</si>
  <si>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</si>
  <si>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</si>
  <si>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</si>
  <si>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</si>
  <si>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</si>
  <si>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</si>
  <si>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</si>
  <si>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</si>
  <si>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</si>
  <si>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</si>
  <si>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</si>
  <si>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</si>
  <si>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</si>
  <si>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</si>
  <si>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</si>
  <si>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</si>
  <si>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</si>
  <si>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</si>
  <si>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</si>
  <si>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</si>
  <si>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</si>
  <si>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</si>
  <si>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</si>
  <si>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</si>
  <si>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</si>
  <si>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Gedner</t>
  </si>
  <si>
    <t>City</t>
  </si>
  <si>
    <t>Columbus</t>
  </si>
  <si>
    <t>Cleveland</t>
  </si>
  <si>
    <t>Cincinnati</t>
  </si>
  <si>
    <t>AT</t>
  </si>
  <si>
    <r>
      <t xml:space="preserve">Pivot Tables in Excel is the one of </t>
    </r>
    <r>
      <rPr>
        <sz val="11"/>
        <color theme="1"/>
        <rFont val="Calibri Light"/>
        <family val="2"/>
        <scheme val="minor"/>
      </rPr>
      <t xml:space="preserve"> reporting tool and used to Summarize, Analyze, explore and explore large datasets quickly and interactively. 
It helps in rearrange the Pivot Rows and Columns to view our data in different prepecstive without  changing the original datasets</t>
    </r>
  </si>
  <si>
    <t>Row Labels</t>
  </si>
  <si>
    <t>Count of Call number</t>
  </si>
  <si>
    <r>
      <t xml:space="preserve">Once summarize the original dataset into PIVOT Table view, it split into two screens, 
1. Pivot Table Report 
2. Fields and Area Stacking Section which can helps to drag and drop the row or col against its values
</t>
    </r>
    <r>
      <rPr>
        <b/>
        <sz val="11"/>
        <color theme="1"/>
        <rFont val="Calibri Light"/>
        <family val="2"/>
        <scheme val="minor"/>
      </rPr>
      <t>Note:</t>
    </r>
    <r>
      <rPr>
        <sz val="11"/>
        <color theme="1"/>
        <rFont val="Calibri Light"/>
        <family val="2"/>
        <scheme val="minor"/>
      </rPr>
      <t xml:space="preserve"> Only active when we on PIVOT TABLE REPORT SCREEN AREA</t>
    </r>
  </si>
  <si>
    <t>Sum of Satisfaction Rating</t>
  </si>
  <si>
    <t>Average of Satisfaction Rating</t>
  </si>
  <si>
    <t>--&gt; Convert the Original DataSet into Table and name the Table in Table Design Ribbon
--&gt; In New sheet, click on PIVOT REPORT Table area to enable the Fields LIST and Field Area Value Section
--&gt; Drag and drop the Rows and it will appear under pivot table Rowslabels area and its values apper next to it</t>
  </si>
  <si>
    <t>Sum of Purchase Amount</t>
  </si>
  <si>
    <t>C3</t>
  </si>
  <si>
    <t>A3
B3</t>
  </si>
  <si>
    <t>--&gt; Filters only applicable to ROW Fields but not with Values 
--&gt; Access the row Field header by right click above it and go for filter Option such as greater than , Top 10 vice versa
--&gt; To Sort the values right click on value cell to do sorting option highest to lowest so on</t>
  </si>
  <si>
    <t>A1
B1</t>
  </si>
  <si>
    <r>
      <t>--&gt; Drag and Drop the Row filter "Representative row header" into Filter section
--&gt; Access the specific representative by access inbuilt filter drowdown 
--&gt;</t>
    </r>
    <r>
      <rPr>
        <b/>
        <sz val="11"/>
        <rFont val="Calibri Light"/>
        <family val="2"/>
        <scheme val="minor"/>
      </rPr>
      <t xml:space="preserve"> SLICERS</t>
    </r>
    <r>
      <rPr>
        <sz val="11"/>
        <rFont val="Calibri Light"/>
        <family val="2"/>
        <scheme val="minor"/>
      </rPr>
      <t xml:space="preserve"> -- To Access representative, on Row Field Section, right click and enable "add slicers", Mini window will appear to select data
--&gt;</t>
    </r>
    <r>
      <rPr>
        <b/>
        <sz val="11"/>
        <rFont val="Calibri Light"/>
        <family val="2"/>
        <scheme val="minor"/>
      </rPr>
      <t xml:space="preserve"> SLICERS</t>
    </r>
    <r>
      <rPr>
        <sz val="11"/>
        <rFont val="Calibri Light"/>
        <family val="2"/>
        <scheme val="minor"/>
      </rPr>
      <t xml:space="preserve"> allows to insert graph to view in graph charts</t>
    </r>
  </si>
  <si>
    <t>Group1</t>
  </si>
  <si>
    <t>Group2</t>
  </si>
  <si>
    <t>Group3</t>
  </si>
  <si>
    <t>Group4</t>
  </si>
  <si>
    <t>Group5</t>
  </si>
  <si>
    <t>--&gt; We Can group the timing for eg., 1 to 30 mins, 30 to 60 mins vice versa
---&gt; Select the cell want to group right click group ungroup, On Row Field section it will create new Grouping row by excel
---&gt; to view the data neatly, remove the header call count row  --&gt; Check diff</t>
  </si>
  <si>
    <t>A4,B4
    VS
D4,E4</t>
  </si>
  <si>
    <t>Jan</t>
  </si>
  <si>
    <t>Feb</t>
  </si>
  <si>
    <t>Mar</t>
  </si>
  <si>
    <t>Apr</t>
  </si>
  <si>
    <t>May</t>
  </si>
  <si>
    <t>Jun</t>
  </si>
  <si>
    <t>Jul</t>
  </si>
  <si>
    <t>Aug</t>
  </si>
  <si>
    <t>Sep</t>
  </si>
  <si>
    <t>Oct</t>
  </si>
  <si>
    <t>Nov</t>
  </si>
  <si>
    <t>Dec</t>
  </si>
  <si>
    <t xml:space="preserve">--&gt; Date --&gt; automatically fetch by excel , it wil display in month jan to dec 
--&gt; insert riboon, line chart 
--&gt;Click on + Symbol to view daily wise
--&gt; SLICERS aslo helps here </t>
  </si>
  <si>
    <t>Area Graph</t>
  </si>
  <si>
    <t>Line Graph</t>
  </si>
  <si>
    <t>Finacial Year</t>
  </si>
  <si>
    <t>Finacial Year Formula</t>
  </si>
  <si>
    <t>=IF(MONTH([@[Date of Call]])&lt;=6,YEAR([@[Date of Call]]),YEAR([@[Date of Call]])+1)</t>
  </si>
  <si>
    <t xml:space="preserve">Note: Just Change &lt;=6 to &lt;=3 (make it to april) condition to change the finacial year - month from 2023 to 2024 </t>
  </si>
  <si>
    <t>Column Graph</t>
  </si>
  <si>
    <r>
      <t xml:space="preserve">--&gt;Finacial Year Formula 
'=IF(MONTH([@[Date of Call]])&lt;=6,YEAR([@[Date of Call]]),YEAR([@[Date of Call]])+1)
</t>
    </r>
    <r>
      <rPr>
        <b/>
        <sz val="11"/>
        <rFont val="Calibri Light"/>
        <family val="2"/>
        <scheme val="minor"/>
      </rPr>
      <t>Note:</t>
    </r>
    <r>
      <rPr>
        <sz val="11"/>
        <rFont val="Calibri Light"/>
        <family val="2"/>
        <scheme val="minor"/>
      </rPr>
      <t xml:space="preserve"> Formula works for finacial year - Just Change &lt;=6 to &lt;=3 (make it to april) condition to change the finacial year - month from 2023 to 2024 
--&gt; Column graph is better view to show the case of Month and Year</t>
    </r>
  </si>
  <si>
    <t xml:space="preserve">
F26
K26</t>
  </si>
  <si>
    <t>Day of Week</t>
  </si>
  <si>
    <t>View by monthly,finacial year</t>
  </si>
  <si>
    <t>view by month</t>
  </si>
  <si>
    <t>View by Week/Day</t>
  </si>
  <si>
    <t>Column Labels</t>
  </si>
  <si>
    <t>Sunday</t>
  </si>
  <si>
    <t>Monday</t>
  </si>
  <si>
    <t>Tuesday</t>
  </si>
  <si>
    <t>Wednesday</t>
  </si>
  <si>
    <t>Thursday</t>
  </si>
  <si>
    <t>Saturday</t>
  </si>
  <si>
    <t>=TEXT([@[Date of Call]],"DDDD")</t>
  </si>
  <si>
    <t>--&gt; Week of Day Formula --&gt;=TEXT([@[Date of Call]],"DDDD")
--&gt; Use conditional formating --&gt; Color Scale --&gt; Green Yellow Red Color format to view nice graph
--&gt; select all needed data and click on graph option icon to apply all cells to coloured</t>
  </si>
  <si>
    <t>Conditional formatting -- Colour Scale --&gt; Green, Yellow,Red</t>
  </si>
  <si>
    <t>Easily tell which day in week is busyiest</t>
  </si>
  <si>
    <t>Here, Saturday is busy as Greeny, 16.10%</t>
  </si>
  <si>
    <t>A43</t>
  </si>
  <si>
    <t>Always Refresh  on Representative SLICER</t>
  </si>
  <si>
    <t>Duration Bucket in Hours</t>
  </si>
  <si>
    <t>Duration Range Formula</t>
  </si>
  <si>
    <t>=IFS([@Duration]&lt;=10,"Under 10 Mins",[@Duration]&lt;=30,"10 to 30 Mins",[@Duration]&lt;=60,"30 to 60 Mins",[@Duration]&lt;=120,"1 to 2 Hours",TRUE,"More Than 2 Hours")</t>
  </si>
  <si>
    <t>Rating Rounded</t>
  </si>
  <si>
    <t xml:space="preserve">Rounding of </t>
  </si>
  <si>
    <t>=ROUND([@[Satisfaction Rating]],0)</t>
  </si>
  <si>
    <t>where 0 is decimal places</t>
  </si>
  <si>
    <t>1 to 2 Hours</t>
  </si>
  <si>
    <t>10 to 30 Mins</t>
  </si>
  <si>
    <t>30 to 60 Mins</t>
  </si>
  <si>
    <t>More Than 2 Hours</t>
  </si>
  <si>
    <t>Under 10 Mins</t>
  </si>
  <si>
    <t>Max of Purchase Amount</t>
  </si>
  <si>
    <t>Sum of Duration</t>
  </si>
  <si>
    <t>Topics</t>
  </si>
  <si>
    <t>S.No</t>
  </si>
  <si>
    <t>Set up the Dashboard Page &amp; Theme</t>
  </si>
  <si>
    <t>Call Centre Data</t>
  </si>
  <si>
    <t>End</t>
  </si>
  <si>
    <t>Steps Description</t>
  </si>
  <si>
    <t>AT Sheet</t>
  </si>
  <si>
    <t xml:space="preserve">Go to Page Layout --&gt;
Set Fonts [Header as Bold and Body as Light] --&gt; Effects Throughout the sheet edition
Theme 
Colour as Slipstream </t>
  </si>
  <si>
    <t>Call_Data_Table_Sheet</t>
  </si>
  <si>
    <t>Background Fill the Dashboard some area as Blured Grey color</t>
  </si>
  <si>
    <t>Call_Centre_1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</si>
</sst>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_);[Red]\(&quot;$&quot;#,##0.00\)"/>
    <numFmt numFmtId="165" formatCode="d\.hh:mm:ss"/>
    <numFmt numFmtId="166" formatCode="&quot;₹&quot;\ #,##0.00"/>
    <numFmt numFmtId="167" formatCode="&quot;₹&quot;\ #,##0"/>
    <numFmt numFmtId="168" formatCode="[$-409]d\-mmm\-yy;@"/>
    <numFmt numFmtId="169" formatCode="0.0"/>
  </numFmts>
  <fonts count="13" x14ac:knownFonts="1">
    <font>
      <sz val="11"/>
      <color theme="1"/>
      <name val="Calibri Light"/>
      <family val="2"/>
      <scheme val="minor"/>
    </font>
    <font>
      <b/>
      <sz val="11"/>
      <color theme="0"/>
      <name val="Calibri Light"/>
      <family val="2"/>
      <scheme val="minor"/>
    </font>
    <font>
      <b/>
      <sz val="11"/>
      <color theme="1"/>
      <name val="Calibri Light"/>
      <family val="2"/>
      <scheme val="minor"/>
    </font>
    <font>
      <u/>
      <sz val="11"/>
      <color theme="10"/>
      <name val="Calibri Light"/>
      <family val="2"/>
      <scheme val="minor"/>
    </font>
    <font>
      <sz val="8"/>
      <name val="Calibri Light"/>
      <family val="2"/>
      <scheme val="minor"/>
    </font>
    <font>
      <b/>
      <i/>
      <sz val="11"/>
      <color theme="1"/>
      <name val="Calibri Light"/>
      <family val="2"/>
      <scheme val="minor"/>
    </font>
    <font>
      <b/>
      <sz val="11"/>
      <name val="Calibri Light"/>
      <family val="2"/>
      <scheme val="minor"/>
    </font>
    <font>
      <sz val="11"/>
      <name val="Calibri Light"/>
      <family val="2"/>
      <scheme val="minor"/>
    </font>
    <font>
      <sz val="11"/>
      <color theme="0"/>
      <name val="Calibri Light"/>
      <family val="2"/>
      <scheme val="minor"/>
    </font>
    <font>
      <b/>
      <sz val="11"/>
      <color rgb="FFFFC000"/>
      <name val="Calibri Light"/>
      <family val="2"/>
      <scheme val="minor"/>
    </font>
    <font>
      <sz val="9"/>
      <color theme="1"/>
      <name val="Aptos ExtraBold"/>
      <family val="2"/>
      <scheme val="major"/>
    </font>
    <font>
      <b/>
      <sz val="11"/>
      <color rgb="FF00B050"/>
      <name val="Calibri Light"/>
      <family val="2"/>
      <scheme val="minor"/>
    </font>
    <font>
      <b/>
      <sz val="14"/>
      <color theme="1"/>
      <name val="Calibri Light"/>
      <family val="2"/>
      <scheme val="minor"/>
    </font>
  </fonts>
  <fills count="21">
    <fill>
      <patternFill patternType="none"/>
    </fill>
    <fill>
      <patternFill patternType="gray125"/>
    </fill>
    <fill>
      <patternFill patternType="solid">
        <fgColor rgb="FF7030A0"/>
        <bgColor indexed="64"/>
      </patternFill>
    </fill>
    <fill>
      <patternFill patternType="solid">
        <fgColor theme="7" tint="0.59999389629810485"/>
        <bgColor indexed="64"/>
      </patternFill>
    </fill>
    <fill>
      <patternFill patternType="solid">
        <fgColor rgb="FFFFFF00"/>
        <bgColor indexed="64"/>
      </patternFill>
    </fill>
    <fill>
      <patternFill patternType="solid">
        <fgColor theme="8" tint="-0.249977111117893"/>
        <bgColor indexed="64"/>
      </patternFill>
    </fill>
    <fill>
      <patternFill patternType="solid">
        <fgColor rgb="FF0070C0"/>
        <bgColor indexed="64"/>
      </patternFill>
    </fill>
    <fill>
      <patternFill patternType="solid">
        <fgColor theme="2"/>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00B0F0"/>
        <bgColor indexed="64"/>
      </patternFill>
    </fill>
    <fill>
      <patternFill patternType="solid">
        <fgColor rgb="FFC00000"/>
        <bgColor indexed="64"/>
      </patternFill>
    </fill>
    <fill>
      <patternFill patternType="solid">
        <fgColor theme="0" tint="-0.499984740745262"/>
        <bgColor indexed="64"/>
      </patternFill>
    </fill>
    <fill>
      <patternFill patternType="solid">
        <fgColor rgb="FFFF0000"/>
        <bgColor indexed="64"/>
      </patternFill>
    </fill>
    <fill>
      <patternFill patternType="solid">
        <fgColor theme="1"/>
        <bgColor indexed="64"/>
      </patternFill>
    </fill>
    <fill>
      <patternFill patternType="solid">
        <fgColor theme="7"/>
        <bgColor indexed="64"/>
      </patternFill>
    </fill>
    <fill>
      <patternFill patternType="solid">
        <fgColor theme="0" tint="-0.14999847407452621"/>
        <bgColor indexed="64"/>
      </patternFill>
    </fill>
    <fill>
      <patternFill patternType="solid">
        <fgColor rgb="FFFF80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3" fillId="0" borderId="0" applyNumberFormat="0" applyFill="0" applyBorder="0" applyAlignment="0" applyProtection="0"/>
  </cellStyleXfs>
  <cellXfs count="177">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center"/>
    </xf>
    <xf numFmtId="0" fontId="2" fillId="3" borderId="0" xfId="0" applyFont="1" applyFill="1"/>
    <xf numFmtId="0" fontId="2" fillId="3" borderId="0" xfId="0" applyFont="1" applyFill="1" applyAlignment="1">
      <alignment horizontal="right"/>
    </xf>
    <xf numFmtId="0" fontId="2" fillId="3" borderId="0" xfId="0" applyFont="1" applyFill="1" applyAlignment="1">
      <alignment horizontal="center"/>
    </xf>
    <xf numFmtId="164" fontId="0" fillId="0" borderId="0" xfId="0" applyNumberFormat="1"/>
    <xf numFmtId="14" fontId="0" fillId="0" borderId="0" xfId="0" applyNumberFormat="1" applyAlignment="1">
      <alignment horizontal="right"/>
    </xf>
    <xf numFmtId="0" fontId="0" fillId="0" borderId="0" xfId="0" applyAlignment="1">
      <alignment horizontal="center"/>
    </xf>
    <xf numFmtId="0" fontId="2" fillId="3" borderId="1" xfId="0" applyFont="1" applyFill="1" applyBorder="1" applyAlignment="1">
      <alignment horizontal="center" vertical="center"/>
    </xf>
    <xf numFmtId="164" fontId="0" fillId="0" borderId="1" xfId="0" applyNumberFormat="1" applyBorder="1" applyAlignment="1">
      <alignment horizontal="left" vertical="top"/>
    </xf>
    <xf numFmtId="14" fontId="0" fillId="0" borderId="1" xfId="0" applyNumberFormat="1" applyBorder="1" applyAlignment="1">
      <alignment horizontal="left" vertical="top"/>
    </xf>
    <xf numFmtId="0" fontId="0" fillId="0" borderId="0" xfId="0" applyAlignment="1">
      <alignment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0" fillId="0" borderId="4" xfId="0" applyBorder="1" applyAlignment="1">
      <alignment horizontal="left" vertical="top"/>
    </xf>
    <xf numFmtId="0" fontId="3" fillId="0" borderId="0" xfId="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14" fontId="0" fillId="0" borderId="0" xfId="0" applyNumberFormat="1"/>
    <xf numFmtId="165" fontId="0" fillId="0" borderId="0" xfId="0" applyNumberFormat="1"/>
    <xf numFmtId="0" fontId="0" fillId="0" borderId="5" xfId="0" applyBorder="1"/>
    <xf numFmtId="0" fontId="0" fillId="0" borderId="6" xfId="0" applyBorder="1"/>
    <xf numFmtId="0" fontId="0" fillId="11" borderId="5" xfId="0" applyFill="1" applyBorder="1"/>
    <xf numFmtId="0" fontId="0" fillId="11" borderId="6" xfId="0" applyFill="1" applyBorder="1"/>
    <xf numFmtId="166" fontId="0" fillId="0" borderId="0" xfId="0" applyNumberFormat="1" applyAlignment="1">
      <alignment wrapText="1"/>
    </xf>
    <xf numFmtId="166" fontId="0" fillId="0" borderId="0" xfId="0" applyNumberFormat="1"/>
    <xf numFmtId="166" fontId="0" fillId="0" borderId="0" xfId="0" applyNumberFormat="1" applyAlignment="1">
      <alignment horizontal="center" vertical="center" wrapText="1"/>
    </xf>
    <xf numFmtId="166" fontId="0" fillId="0" borderId="0" xfId="0" applyNumberFormat="1" applyAlignment="1">
      <alignment horizontal="center" vertical="center"/>
    </xf>
    <xf numFmtId="0" fontId="0" fillId="0" borderId="7" xfId="0" applyBorder="1" applyAlignment="1">
      <alignment horizontal="left" vertical="top"/>
    </xf>
    <xf numFmtId="0" fontId="0" fillId="0" borderId="8" xfId="0" applyBorder="1" applyAlignment="1">
      <alignment horizontal="left" vertical="top"/>
    </xf>
    <xf numFmtId="0" fontId="0" fillId="0" borderId="11" xfId="0" applyBorder="1" applyAlignment="1">
      <alignment horizontal="left" vertical="top"/>
    </xf>
    <xf numFmtId="0" fontId="0" fillId="0" borderId="2" xfId="0" applyBorder="1" applyAlignment="1">
      <alignment horizontal="left" vertical="top"/>
    </xf>
    <xf numFmtId="0" fontId="2" fillId="4" borderId="2" xfId="0" applyFont="1" applyFill="1" applyBorder="1" applyAlignment="1">
      <alignment horizontal="left" vertical="top"/>
    </xf>
    <xf numFmtId="164" fontId="0" fillId="4" borderId="2" xfId="0" applyNumberFormat="1" applyFill="1" applyBorder="1" applyAlignment="1">
      <alignment horizontal="left" vertical="top"/>
    </xf>
    <xf numFmtId="0" fontId="0" fillId="4" borderId="2" xfId="0" applyFill="1" applyBorder="1" applyAlignment="1">
      <alignment horizontal="left" vertical="top"/>
    </xf>
    <xf numFmtId="0" fontId="0" fillId="0" borderId="12" xfId="0" applyBorder="1" applyAlignment="1">
      <alignment horizontal="left" vertical="top"/>
    </xf>
    <xf numFmtId="0" fontId="7" fillId="12" borderId="1" xfId="0" applyFont="1" applyFill="1" applyBorder="1" applyAlignment="1">
      <alignment horizontal="left" vertical="top"/>
    </xf>
    <xf numFmtId="164" fontId="7" fillId="12" borderId="1" xfId="0" applyNumberFormat="1" applyFont="1" applyFill="1" applyBorder="1" applyAlignment="1">
      <alignment horizontal="left" vertical="top"/>
    </xf>
    <xf numFmtId="14" fontId="7" fillId="12" borderId="1" xfId="0" applyNumberFormat="1" applyFont="1" applyFill="1" applyBorder="1" applyAlignment="1">
      <alignment horizontal="left" vertical="top"/>
    </xf>
    <xf numFmtId="0" fontId="7" fillId="12" borderId="8" xfId="0" applyFont="1" applyFill="1" applyBorder="1" applyAlignment="1">
      <alignment horizontal="left" vertical="top"/>
    </xf>
    <xf numFmtId="0" fontId="7" fillId="12" borderId="7" xfId="0" applyFont="1" applyFill="1" applyBorder="1" applyAlignment="1">
      <alignment horizontal="left" vertical="top"/>
    </xf>
    <xf numFmtId="0" fontId="6" fillId="13" borderId="9" xfId="0" applyFont="1" applyFill="1" applyBorder="1" applyAlignment="1">
      <alignment horizontal="center" vertical="center"/>
    </xf>
    <xf numFmtId="0" fontId="6" fillId="13" borderId="3" xfId="0" applyFont="1" applyFill="1" applyBorder="1" applyAlignment="1">
      <alignment horizontal="center" vertical="center"/>
    </xf>
    <xf numFmtId="0" fontId="6" fillId="13" borderId="10" xfId="0" applyFont="1" applyFill="1" applyBorder="1" applyAlignment="1">
      <alignment horizontal="center" vertical="center"/>
    </xf>
    <xf numFmtId="0" fontId="7" fillId="12" borderId="0" xfId="0" applyFont="1" applyFill="1" applyAlignment="1">
      <alignment horizontal="left" vertical="top"/>
    </xf>
    <xf numFmtId="0" fontId="6" fillId="0" borderId="0" xfId="0" applyFont="1" applyAlignment="1">
      <alignment horizontal="center" vertical="center"/>
    </xf>
    <xf numFmtId="0" fontId="5" fillId="13" borderId="1" xfId="0" applyFont="1" applyFill="1" applyBorder="1"/>
    <xf numFmtId="166" fontId="5" fillId="13" borderId="1" xfId="0" applyNumberFormat="1" applyFont="1" applyFill="1" applyBorder="1"/>
    <xf numFmtId="166" fontId="0" fillId="0" borderId="1" xfId="0" applyNumberFormat="1" applyBorder="1" applyAlignment="1">
      <alignment horizontal="left" vertical="top"/>
    </xf>
    <xf numFmtId="164" fontId="0" fillId="0" borderId="2" xfId="0" applyNumberFormat="1" applyBorder="1" applyAlignment="1">
      <alignment horizontal="left" vertical="top"/>
    </xf>
    <xf numFmtId="0" fontId="6" fillId="3" borderId="9" xfId="0" applyFont="1" applyFill="1" applyBorder="1" applyAlignment="1">
      <alignment horizontal="left" vertical="top"/>
    </xf>
    <xf numFmtId="0" fontId="6" fillId="3" borderId="3" xfId="0" applyFont="1" applyFill="1" applyBorder="1" applyAlignment="1">
      <alignment horizontal="left" vertical="top"/>
    </xf>
    <xf numFmtId="0" fontId="6" fillId="3" borderId="10" xfId="0" applyFont="1" applyFill="1" applyBorder="1" applyAlignment="1">
      <alignment horizontal="left" vertical="top"/>
    </xf>
    <xf numFmtId="0" fontId="0" fillId="13" borderId="0" xfId="0" applyFill="1" applyAlignment="1">
      <alignment horizontal="left" vertical="top"/>
    </xf>
    <xf numFmtId="0" fontId="1" fillId="2" borderId="1" xfId="0" applyFont="1" applyFill="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center" vertical="center"/>
    </xf>
    <xf numFmtId="0" fontId="0" fillId="8" borderId="0" xfId="0" applyFill="1" applyAlignment="1">
      <alignment horizontal="left" vertical="top"/>
    </xf>
    <xf numFmtId="0" fontId="0" fillId="0" borderId="0" xfId="0" quotePrefix="1" applyAlignment="1">
      <alignment horizontal="left" vertical="top" wrapText="1"/>
    </xf>
    <xf numFmtId="0" fontId="2" fillId="0" borderId="0" xfId="0" applyFont="1" applyAlignment="1">
      <alignment horizontal="left" vertical="top"/>
    </xf>
    <xf numFmtId="14" fontId="0" fillId="0" borderId="0" xfId="0" applyNumberFormat="1" applyAlignment="1">
      <alignment horizontal="left" vertical="top"/>
    </xf>
    <xf numFmtId="166" fontId="2" fillId="0" borderId="0" xfId="0" applyNumberFormat="1" applyFont="1" applyAlignment="1">
      <alignment horizontal="left" vertical="top"/>
    </xf>
    <xf numFmtId="166" fontId="0" fillId="0" borderId="0" xfId="0" applyNumberFormat="1" applyAlignment="1">
      <alignment horizontal="left" vertical="top"/>
    </xf>
    <xf numFmtId="0" fontId="0" fillId="0" borderId="1" xfId="0" quotePrefix="1" applyBorder="1" applyAlignment="1">
      <alignment horizontal="left" vertical="top"/>
    </xf>
    <xf numFmtId="166" fontId="2" fillId="0" borderId="1" xfId="0" applyNumberFormat="1" applyFont="1" applyBorder="1" applyAlignment="1">
      <alignment horizontal="left" vertical="top"/>
    </xf>
    <xf numFmtId="0" fontId="0" fillId="4" borderId="0" xfId="0" applyFill="1" applyAlignment="1">
      <alignment wrapText="1"/>
    </xf>
    <xf numFmtId="0" fontId="0" fillId="4" borderId="0" xfId="0" applyFill="1" applyAlignment="1">
      <alignment horizontal="left" vertical="top"/>
    </xf>
    <xf numFmtId="0" fontId="0" fillId="13" borderId="0" xfId="0" quotePrefix="1" applyFill="1" applyAlignment="1">
      <alignment horizontal="left" vertical="top" wrapText="1"/>
    </xf>
    <xf numFmtId="0" fontId="0" fillId="13" borderId="0" xfId="0" applyFill="1" applyAlignment="1">
      <alignment horizontal="left" vertical="top" wrapText="1"/>
    </xf>
    <xf numFmtId="0" fontId="0" fillId="13" borderId="0" xfId="0" applyFill="1"/>
    <xf numFmtId="0" fontId="0" fillId="0" borderId="1" xfId="0" applyBorder="1"/>
    <xf numFmtId="0" fontId="2" fillId="13" borderId="1" xfId="0" applyFont="1" applyFill="1" applyBorder="1"/>
    <xf numFmtId="0" fontId="0" fillId="0" borderId="1" xfId="0" quotePrefix="1" applyBorder="1"/>
    <xf numFmtId="0" fontId="8" fillId="14" borderId="0" xfId="0" applyFont="1" applyFill="1"/>
    <xf numFmtId="0" fontId="0" fillId="15" borderId="0" xfId="0" applyFill="1"/>
    <xf numFmtId="166" fontId="0" fillId="15" borderId="0" xfId="0" applyNumberFormat="1" applyFill="1"/>
    <xf numFmtId="0" fontId="0" fillId="13" borderId="0" xfId="0" applyFill="1" applyAlignment="1">
      <alignment wrapText="1"/>
    </xf>
    <xf numFmtId="0" fontId="0" fillId="0" borderId="1" xfId="0" quotePrefix="1" applyBorder="1" applyAlignment="1">
      <alignment wrapText="1"/>
    </xf>
    <xf numFmtId="0" fontId="0" fillId="0" borderId="1" xfId="0" applyBorder="1" applyAlignment="1">
      <alignment vertical="top"/>
    </xf>
    <xf numFmtId="166" fontId="2" fillId="13" borderId="1" xfId="0" applyNumberFormat="1" applyFont="1" applyFill="1" applyBorder="1"/>
    <xf numFmtId="166" fontId="0" fillId="0" borderId="1" xfId="0" applyNumberFormat="1" applyBorder="1"/>
    <xf numFmtId="166" fontId="0" fillId="0" borderId="1" xfId="0" applyNumberFormat="1" applyBorder="1" applyAlignment="1">
      <alignment wrapText="1"/>
    </xf>
    <xf numFmtId="166" fontId="0" fillId="0" borderId="1" xfId="0" applyNumberFormat="1" applyBorder="1" applyAlignment="1">
      <alignment vertical="top" wrapText="1"/>
    </xf>
    <xf numFmtId="0" fontId="0" fillId="0" borderId="0" xfId="0" quotePrefix="1"/>
    <xf numFmtId="166" fontId="0" fillId="0" borderId="1" xfId="0" applyNumberFormat="1" applyBorder="1" applyAlignment="1">
      <alignment horizontal="left" vertical="top" wrapText="1"/>
    </xf>
    <xf numFmtId="0" fontId="0" fillId="4" borderId="0" xfId="0" applyFill="1"/>
    <xf numFmtId="166" fontId="0" fillId="0" borderId="1" xfId="0" quotePrefix="1" applyNumberFormat="1" applyBorder="1" applyAlignment="1">
      <alignment horizontal="left" vertical="top"/>
    </xf>
    <xf numFmtId="166" fontId="0" fillId="0" borderId="1" xfId="0" quotePrefix="1" applyNumberFormat="1" applyBorder="1" applyAlignment="1">
      <alignment horizontal="left" vertical="top" wrapText="1"/>
    </xf>
    <xf numFmtId="0" fontId="7" fillId="8" borderId="0" xfId="0" applyFont="1" applyFill="1"/>
    <xf numFmtId="0" fontId="8" fillId="16" borderId="0" xfId="0" applyFont="1" applyFill="1"/>
    <xf numFmtId="166" fontId="0" fillId="0" borderId="0" xfId="0" quotePrefix="1" applyNumberFormat="1"/>
    <xf numFmtId="0" fontId="0" fillId="0" borderId="12" xfId="0" applyBorder="1"/>
    <xf numFmtId="0" fontId="0" fillId="0" borderId="11" xfId="0" applyBorder="1"/>
    <xf numFmtId="0" fontId="1" fillId="2" borderId="8" xfId="0" applyFont="1" applyFill="1" applyBorder="1" applyAlignment="1">
      <alignment horizontal="left" vertical="top"/>
    </xf>
    <xf numFmtId="0" fontId="2" fillId="0" borderId="0" xfId="0" applyFont="1" applyAlignment="1">
      <alignment horizontal="center" vertical="center"/>
    </xf>
    <xf numFmtId="0" fontId="2" fillId="0" borderId="3" xfId="0" applyFont="1" applyBorder="1" applyAlignment="1">
      <alignment horizontal="left" vertical="top"/>
    </xf>
    <xf numFmtId="14" fontId="2" fillId="0" borderId="0" xfId="0" applyNumberFormat="1" applyFont="1" applyAlignment="1">
      <alignment horizontal="left" vertical="top"/>
    </xf>
    <xf numFmtId="14" fontId="2" fillId="0" borderId="1" xfId="0" applyNumberFormat="1" applyFont="1" applyBorder="1" applyAlignment="1">
      <alignment horizontal="left" vertical="top"/>
    </xf>
    <xf numFmtId="15" fontId="0" fillId="0" borderId="0" xfId="0" applyNumberFormat="1" applyAlignment="1">
      <alignment horizontal="center" vertical="center"/>
    </xf>
    <xf numFmtId="167" fontId="0" fillId="0" borderId="0" xfId="0" applyNumberFormat="1" applyAlignment="1">
      <alignment horizontal="left" vertical="top"/>
    </xf>
    <xf numFmtId="167" fontId="0" fillId="0" borderId="0" xfId="0" applyNumberFormat="1"/>
    <xf numFmtId="0" fontId="1" fillId="17" borderId="1" xfId="0" applyFont="1" applyFill="1" applyBorder="1" applyAlignment="1">
      <alignment horizontal="center" vertical="center"/>
    </xf>
    <xf numFmtId="0" fontId="0" fillId="0" borderId="0" xfId="0" pivotButton="1"/>
    <xf numFmtId="166" fontId="10" fillId="0" borderId="0" xfId="0" applyNumberFormat="1" applyFont="1"/>
    <xf numFmtId="0" fontId="2" fillId="13" borderId="4" xfId="0" applyFont="1" applyFill="1" applyBorder="1"/>
    <xf numFmtId="9" fontId="0" fillId="0" borderId="1" xfId="0" applyNumberFormat="1" applyBorder="1"/>
    <xf numFmtId="0" fontId="6" fillId="0" borderId="1" xfId="0" applyFont="1" applyBorder="1" applyAlignment="1">
      <alignment horizontal="left" vertical="top"/>
    </xf>
    <xf numFmtId="0" fontId="11" fillId="0" borderId="1" xfId="0" applyFont="1" applyBorder="1" applyAlignment="1">
      <alignment horizontal="left" vertical="top"/>
    </xf>
    <xf numFmtId="2" fontId="0" fillId="0" borderId="1" xfId="0" applyNumberFormat="1" applyBorder="1" applyAlignment="1">
      <alignment horizontal="left" vertical="top"/>
    </xf>
    <xf numFmtId="168" fontId="0" fillId="0" borderId="1" xfId="0" applyNumberFormat="1" applyBorder="1" applyAlignment="1">
      <alignment horizontal="left" vertical="top"/>
    </xf>
    <xf numFmtId="0" fontId="2" fillId="0" borderId="9" xfId="0" applyFont="1" applyBorder="1"/>
    <xf numFmtId="0" fontId="2" fillId="0" borderId="3" xfId="0" applyFont="1" applyBorder="1"/>
    <xf numFmtId="0" fontId="2" fillId="0" borderId="10" xfId="0" applyFont="1" applyBorder="1"/>
    <xf numFmtId="0" fontId="0" fillId="0" borderId="7" xfId="0" applyBorder="1"/>
    <xf numFmtId="0" fontId="0" fillId="0" borderId="8" xfId="0" applyBorder="1"/>
    <xf numFmtId="9" fontId="0" fillId="0" borderId="2" xfId="0" applyNumberFormat="1" applyBorder="1"/>
    <xf numFmtId="0" fontId="0" fillId="0" borderId="2" xfId="0" applyBorder="1"/>
    <xf numFmtId="0" fontId="2" fillId="0" borderId="9" xfId="0" applyFont="1" applyBorder="1" applyAlignment="1">
      <alignment horizontal="left" vertical="top"/>
    </xf>
    <xf numFmtId="0" fontId="2" fillId="0" borderId="10" xfId="0" applyFont="1" applyBorder="1" applyAlignment="1">
      <alignment horizontal="left" vertical="top"/>
    </xf>
    <xf numFmtId="0" fontId="2" fillId="0" borderId="4" xfId="0" applyFont="1" applyBorder="1" applyAlignment="1">
      <alignment horizontal="left" vertical="top"/>
    </xf>
    <xf numFmtId="0" fontId="2" fillId="0" borderId="1" xfId="0" quotePrefix="1" applyFont="1" applyBorder="1" applyAlignment="1">
      <alignment horizontal="left" vertical="top" wrapText="1"/>
    </xf>
    <xf numFmtId="0" fontId="0" fillId="0" borderId="0" xfId="0" applyAlignment="1">
      <alignment horizontal="left"/>
    </xf>
    <xf numFmtId="0" fontId="0" fillId="0" borderId="0" xfId="0" applyAlignment="1">
      <alignment horizontal="left" indent="1"/>
    </xf>
    <xf numFmtId="169" fontId="0" fillId="0" borderId="0" xfId="0" applyNumberFormat="1"/>
    <xf numFmtId="0" fontId="0" fillId="0" borderId="0" xfId="0" pivotButton="1" applyAlignment="1">
      <alignment horizontal="left" vertical="top" wrapText="1"/>
    </xf>
    <xf numFmtId="0" fontId="7" fillId="0" borderId="1" xfId="0" applyFont="1" applyBorder="1"/>
    <xf numFmtId="0" fontId="7" fillId="0" borderId="1" xfId="0" applyFont="1" applyBorder="1" applyAlignment="1">
      <alignment horizontal="left" vertical="top"/>
    </xf>
    <xf numFmtId="0" fontId="7" fillId="0" borderId="1" xfId="0" quotePrefix="1" applyFont="1" applyBorder="1" applyAlignment="1">
      <alignment horizontal="left" vertical="top"/>
    </xf>
    <xf numFmtId="0" fontId="7" fillId="0" borderId="1" xfId="0" quotePrefix="1" applyFont="1" applyBorder="1" applyAlignment="1">
      <alignment horizontal="left" vertical="top" wrapText="1"/>
    </xf>
    <xf numFmtId="0" fontId="7" fillId="0" borderId="1" xfId="0" applyFont="1" applyBorder="1" applyAlignment="1">
      <alignment horizontal="left" vertical="top" wrapText="1"/>
    </xf>
    <xf numFmtId="0" fontId="0" fillId="0" borderId="0" xfId="0" applyAlignment="1">
      <alignment horizontal="left" indent="2"/>
    </xf>
    <xf numFmtId="166" fontId="0" fillId="0" borderId="0" xfId="0" applyNumberFormat="1" applyAlignment="1">
      <alignment vertical="top"/>
    </xf>
    <xf numFmtId="0" fontId="0" fillId="0" borderId="13" xfId="0" applyBorder="1" applyAlignment="1">
      <alignment horizontal="left" vertical="top"/>
    </xf>
    <xf numFmtId="10" fontId="0" fillId="0" borderId="0" xfId="0" applyNumberFormat="1"/>
    <xf numFmtId="0" fontId="0" fillId="9" borderId="0" xfId="0" applyFill="1" applyAlignment="1">
      <alignment horizontal="left"/>
    </xf>
    <xf numFmtId="0" fontId="0" fillId="0" borderId="0" xfId="0" pivotButton="1" applyAlignment="1">
      <alignment horizontal="center" vertical="center"/>
    </xf>
    <xf numFmtId="0" fontId="0" fillId="0" borderId="0" xfId="0" applyAlignment="1">
      <alignment horizontal="center" vertical="center" indent="1"/>
    </xf>
    <xf numFmtId="2" fontId="0" fillId="0" borderId="1" xfId="0" applyNumberFormat="1" applyBorder="1" applyAlignment="1">
      <alignment horizontal="center" vertical="center"/>
    </xf>
    <xf numFmtId="168" fontId="0" fillId="0" borderId="1" xfId="0" applyNumberFormat="1" applyBorder="1" applyAlignment="1">
      <alignment horizontal="center" vertical="center"/>
    </xf>
    <xf numFmtId="0" fontId="0" fillId="0" borderId="7" xfId="0" applyBorder="1" applyAlignment="1">
      <alignment horizontal="center" vertical="center"/>
    </xf>
    <xf numFmtId="9" fontId="0" fillId="0" borderId="1" xfId="0" applyNumberFormat="1"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9"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center" vertical="center" wrapText="1"/>
    </xf>
    <xf numFmtId="0" fontId="0" fillId="19" borderId="0" xfId="0" applyFill="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20" borderId="0" xfId="0" applyFill="1"/>
    <xf numFmtId="0" fontId="0" fillId="0" borderId="2" xfId="0" applyBorder="1" applyAlignment="1">
      <alignment horizontal="left" vertical="top" wrapText="1"/>
    </xf>
    <xf numFmtId="0" fontId="0" fillId="0" borderId="3" xfId="0" applyBorder="1" applyAlignment="1">
      <alignment horizontal="left" vertical="top" wrapText="1"/>
    </xf>
    <xf numFmtId="0" fontId="2" fillId="13" borderId="1" xfId="0" applyFont="1" applyFill="1" applyBorder="1" applyAlignment="1">
      <alignment horizontal="center"/>
    </xf>
    <xf numFmtId="0" fontId="0" fillId="4" borderId="0" xfId="0" applyFill="1" applyAlignment="1">
      <alignment horizontal="center"/>
    </xf>
    <xf numFmtId="0" fontId="12" fillId="18" borderId="0" xfId="0" applyFont="1" applyFill="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cellXfs>
  <cellStyles count="2">
    <cellStyle name="Hyperlink" xfId="1" builtinId="8"/>
    <cellStyle name="Normal" xfId="0" builtinId="0"/>
  </cellStyles>
  <dxfs count="15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Light"/>
        <family val="2"/>
        <scheme val="minor"/>
      </font>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8" formatCode="[$-409]d\-mmm\-yy;@"/>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numFmt numFmtId="168" formatCode="[$-409]d\-m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left" vertical="top" textRotation="0" wrapText="0" indent="0" justifyLastLine="0" shrinkToFit="0" readingOrder="0"/>
    </dxf>
    <dxf>
      <alignment horizontal="center"/>
    </dxf>
    <dxf>
      <alignment vertical="center"/>
    </dxf>
    <dxf>
      <alignment wrapText="1"/>
    </dxf>
    <dxf>
      <alignment wrapText="1"/>
    </dxf>
    <dxf>
      <alignment horizontal="left"/>
    </dxf>
    <dxf>
      <alignment vertical="top"/>
    </dxf>
    <dxf>
      <numFmt numFmtId="14" formatCode="0.00%"/>
    </dxf>
    <dxf>
      <numFmt numFmtId="1" formatCode="0"/>
    </dxf>
    <dxf>
      <numFmt numFmtId="1" formatCode="0"/>
    </dxf>
    <dxf>
      <numFmt numFmtId="1" formatCode="0"/>
    </dxf>
    <dxf>
      <numFmt numFmtId="166" formatCode="&quot;₹&quot;\ #,##0.00"/>
    </dxf>
    <dxf>
      <alignment wrapText="1"/>
    </dxf>
    <dxf>
      <alignment wrapText="1"/>
    </dxf>
    <dxf>
      <alignment horizontal="left"/>
    </dxf>
    <dxf>
      <alignment vertical="top"/>
    </dxf>
    <dxf>
      <alignment vertical="top"/>
    </dxf>
    <dxf>
      <numFmt numFmtId="166" formatCode="&quot;₹&quot;\ #,##0.00"/>
    </dxf>
    <dxf>
      <alignment wrapText="1"/>
    </dxf>
    <dxf>
      <alignment wrapText="1"/>
    </dxf>
    <dxf>
      <alignment horizontal="left"/>
    </dxf>
    <dxf>
      <alignment vertical="top"/>
    </dxf>
    <dxf>
      <alignment wrapText="1"/>
    </dxf>
    <dxf>
      <alignment wrapText="1"/>
    </dxf>
    <dxf>
      <alignment horizontal="left"/>
    </dxf>
    <dxf>
      <alignment vertical="top"/>
    </dxf>
    <dxf>
      <alignment wrapText="1"/>
    </dxf>
    <dxf>
      <alignment wrapText="1"/>
    </dxf>
    <dxf>
      <alignment horizontal="left"/>
    </dxf>
    <dxf>
      <alignment vertical="top"/>
    </dxf>
    <dxf>
      <alignment wrapText="1"/>
    </dxf>
    <dxf>
      <alignment horizontal="left"/>
    </dxf>
    <dxf>
      <alignment horizontal="left"/>
    </dxf>
    <dxf>
      <alignment vertical="top"/>
    </dxf>
    <dxf>
      <alignment vertical="top"/>
    </dxf>
    <dxf>
      <alignment wrapText="1"/>
    </dxf>
    <dxf>
      <alignment wrapText="1"/>
    </dxf>
    <dxf>
      <numFmt numFmtId="169" formatCode="0.0"/>
    </dxf>
    <dxf>
      <numFmt numFmtId="2" formatCode="0.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Light"/>
        <family val="2"/>
        <scheme val="minor"/>
      </font>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style="thin">
          <color indexed="64"/>
        </left>
        <right/>
        <top style="thin">
          <color indexed="64"/>
        </top>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409]d\-mmm\-yy;@"/>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numFmt numFmtId="168" formatCode="[$-409]d\-mmm\-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outline="0">
        <left/>
        <right style="thin">
          <color indexed="64"/>
        </right>
        <top style="thin">
          <color indexed="64"/>
        </top>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left"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hh:mm:ss"/>
    </dxf>
    <dxf>
      <numFmt numFmtId="19" formatCode="dd/mm/yyyy"/>
    </dxf>
    <dxf>
      <numFmt numFmtId="0" formatCode="General"/>
    </dxf>
    <dxf>
      <numFmt numFmtId="0" formatCode="General"/>
    </dxf>
    <dxf>
      <numFmt numFmtId="0" formatCode="General"/>
    </dxf>
    <dxf>
      <numFmt numFmtId="0" formatCode="General"/>
    </dxf>
    <dxf>
      <numFmt numFmtId="0" formatCode="General"/>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0.00_);[Red]\(&quot;$&quot;#,##0.00\)"/>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Light"/>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0.00_);[Red]\(&quot;$&quot;#,##0.0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Light"/>
        <family val="2"/>
        <scheme val="minor"/>
      </font>
      <fill>
        <patternFill patternType="solid">
          <fgColor indexed="64"/>
          <bgColor theme="7" tint="0.59999389629810485"/>
        </patternFill>
      </fill>
      <alignment horizontal="left"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3.xml"/><Relationship Id="rId37" Type="http://schemas.openxmlformats.org/officeDocument/2006/relationships/sheetMetadata" Target="metadata.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microsoft.com/office/2007/relationships/slicerCache" Target="slicerCaches/slicerCache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'Weblink to Power Query'!$C$5</c:f>
              <c:strCache>
                <c:ptCount val="1"/>
                <c:pt idx="0">
                  <c:v>Gold</c:v>
                </c:pt>
              </c:strCache>
            </c:strRef>
          </c:tx>
          <c:spPr>
            <a:solidFill>
              <a:schemeClr val="accent1"/>
            </a:solidFill>
            <a:ln>
              <a:noFill/>
            </a:ln>
            <a:effectLst/>
          </c:spPr>
          <c:invertIfNegative val="0"/>
          <c:cat>
            <c:multiLvlStrRef>
              <c:f>'Weblink to Power Query'!$A$6:$B$98</c:f>
              <c:multiLvlStrCache>
                <c:ptCount val="93"/>
                <c:lvl>
                  <c:pt idx="0">
                    <c:v>United States</c:v>
                  </c:pt>
                  <c:pt idx="1">
                    <c:v>China</c:v>
                  </c:pt>
                  <c:pt idx="2">
                    <c:v>Japan</c:v>
                  </c:pt>
                  <c:pt idx="3">
                    <c:v>Great Britain</c:v>
                  </c:pt>
                  <c:pt idx="4">
                    <c:v>ROC</c:v>
                  </c:pt>
                  <c:pt idx="5">
                    <c:v>Australia</c:v>
                  </c:pt>
                  <c:pt idx="6">
                    <c:v>Netherlands</c:v>
                  </c:pt>
                  <c:pt idx="7">
                    <c:v>France</c:v>
                  </c:pt>
                  <c:pt idx="8">
                    <c:v>Germany</c:v>
                  </c:pt>
                  <c:pt idx="9">
                    <c:v>Italy</c:v>
                  </c:pt>
                  <c:pt idx="10">
                    <c:v>Canada</c:v>
                  </c:pt>
                  <c:pt idx="11">
                    <c:v>Brazil</c:v>
                  </c:pt>
                  <c:pt idx="12">
                    <c:v>New Zealand</c:v>
                  </c:pt>
                  <c:pt idx="13">
                    <c:v>Cuba</c:v>
                  </c:pt>
                  <c:pt idx="14">
                    <c:v>Hungary</c:v>
                  </c:pt>
                  <c:pt idx="15">
                    <c:v>South Korea</c:v>
                  </c:pt>
                  <c:pt idx="16">
                    <c:v>Poland</c:v>
                  </c:pt>
                  <c:pt idx="17">
                    <c:v>Czech Republic</c:v>
                  </c:pt>
                  <c:pt idx="18">
                    <c:v>Kenya</c:v>
                  </c:pt>
                  <c:pt idx="19">
                    <c:v>Norway</c:v>
                  </c:pt>
                  <c:pt idx="20">
                    <c:v>Jamaica</c:v>
                  </c:pt>
                  <c:pt idx="21">
                    <c:v>Spain</c:v>
                  </c:pt>
                  <c:pt idx="22">
                    <c:v>Sweden</c:v>
                  </c:pt>
                  <c:pt idx="23">
                    <c:v>Switzerland</c:v>
                  </c:pt>
                  <c:pt idx="24">
                    <c:v>Denmark</c:v>
                  </c:pt>
                  <c:pt idx="25">
                    <c:v>Croatia</c:v>
                  </c:pt>
                  <c:pt idx="26">
                    <c:v>Iran</c:v>
                  </c:pt>
                  <c:pt idx="27">
                    <c:v>Serbia</c:v>
                  </c:pt>
                  <c:pt idx="28">
                    <c:v>Belgium</c:v>
                  </c:pt>
                  <c:pt idx="29">
                    <c:v>Bulgaria</c:v>
                  </c:pt>
                  <c:pt idx="30">
                    <c:v>Slovenia</c:v>
                  </c:pt>
                  <c:pt idx="31">
                    <c:v>Uzbekistan</c:v>
                  </c:pt>
                  <c:pt idx="32">
                    <c:v>Georgia</c:v>
                  </c:pt>
                  <c:pt idx="33">
                    <c:v>Chinese Taipei</c:v>
                  </c:pt>
                  <c:pt idx="34">
                    <c:v>Turkey</c:v>
                  </c:pt>
                  <c:pt idx="35">
                    <c:v>Greece</c:v>
                  </c:pt>
                  <c:pt idx="36">
                    <c:v>Uganda</c:v>
                  </c:pt>
                  <c:pt idx="37">
                    <c:v>Ecuador</c:v>
                  </c:pt>
                  <c:pt idx="38">
                    <c:v>Ireland</c:v>
                  </c:pt>
                  <c:pt idx="39">
                    <c:v>Israel</c:v>
                  </c:pt>
                  <c:pt idx="40">
                    <c:v>Qatar</c:v>
                  </c:pt>
                  <c:pt idx="41">
                    <c:v>Bahamas</c:v>
                  </c:pt>
                  <c:pt idx="42">
                    <c:v>Kosovo</c:v>
                  </c:pt>
                  <c:pt idx="43">
                    <c:v>Ukraine</c:v>
                  </c:pt>
                  <c:pt idx="44">
                    <c:v>Belarus</c:v>
                  </c:pt>
                  <c:pt idx="45">
                    <c:v>Romania</c:v>
                  </c:pt>
                  <c:pt idx="46">
                    <c:v>Venezuela</c:v>
                  </c:pt>
                  <c:pt idx="47">
                    <c:v>India</c:v>
                  </c:pt>
                  <c:pt idx="48">
                    <c:v>Hong Kong</c:v>
                  </c:pt>
                  <c:pt idx="49">
                    <c:v>Philippines</c:v>
                  </c:pt>
                  <c:pt idx="50">
                    <c:v>Slovakia</c:v>
                  </c:pt>
                  <c:pt idx="51">
                    <c:v>South Africa</c:v>
                  </c:pt>
                  <c:pt idx="52">
                    <c:v>Austria</c:v>
                  </c:pt>
                  <c:pt idx="53">
                    <c:v>Egypt</c:v>
                  </c:pt>
                  <c:pt idx="54">
                    <c:v>Indonesia</c:v>
                  </c:pt>
                  <c:pt idx="55">
                    <c:v>Ethiopia</c:v>
                  </c:pt>
                  <c:pt idx="56">
                    <c:v>Portugal</c:v>
                  </c:pt>
                  <c:pt idx="57">
                    <c:v>Tunisia</c:v>
                  </c:pt>
                  <c:pt idx="58">
                    <c:v>Estonia</c:v>
                  </c:pt>
                  <c:pt idx="59">
                    <c:v>Fiji</c:v>
                  </c:pt>
                  <c:pt idx="60">
                    <c:v>Latvia</c:v>
                  </c:pt>
                  <c:pt idx="61">
                    <c:v>Thailand</c:v>
                  </c:pt>
                  <c:pt idx="62">
                    <c:v>Bermuda</c:v>
                  </c:pt>
                  <c:pt idx="63">
                    <c:v>Morocco</c:v>
                  </c:pt>
                  <c:pt idx="64">
                    <c:v>Puerto Rico</c:v>
                  </c:pt>
                  <c:pt idx="65">
                    <c:v>Colombia</c:v>
                  </c:pt>
                  <c:pt idx="66">
                    <c:v>Azerbaijan</c:v>
                  </c:pt>
                  <c:pt idx="67">
                    <c:v>Dominican Republic</c:v>
                  </c:pt>
                  <c:pt idx="68">
                    <c:v>Armenia</c:v>
                  </c:pt>
                  <c:pt idx="69">
                    <c:v>Kyrgyzstan</c:v>
                  </c:pt>
                  <c:pt idx="70">
                    <c:v>Mongolia</c:v>
                  </c:pt>
                  <c:pt idx="71">
                    <c:v>Argentina</c:v>
                  </c:pt>
                  <c:pt idx="72">
                    <c:v>San Marino</c:v>
                  </c:pt>
                  <c:pt idx="73">
                    <c:v>Jordan</c:v>
                  </c:pt>
                  <c:pt idx="74">
                    <c:v>Malaysia</c:v>
                  </c:pt>
                  <c:pt idx="75">
                    <c:v>Nigeria</c:v>
                  </c:pt>
                  <c:pt idx="76">
                    <c:v>Bahrain</c:v>
                  </c:pt>
                  <c:pt idx="77">
                    <c:v>Lithuania</c:v>
                  </c:pt>
                  <c:pt idx="78">
                    <c:v>Namibia</c:v>
                  </c:pt>
                  <c:pt idx="79">
                    <c:v>North Macedonia</c:v>
                  </c:pt>
                  <c:pt idx="80">
                    <c:v>Saudi Arabia</c:v>
                  </c:pt>
                  <c:pt idx="81">
                    <c:v>Turkmenistan</c:v>
                  </c:pt>
                  <c:pt idx="82">
                    <c:v>Kazakhstan</c:v>
                  </c:pt>
                  <c:pt idx="83">
                    <c:v>Mexico</c:v>
                  </c:pt>
                  <c:pt idx="84">
                    <c:v>Finland</c:v>
                  </c:pt>
                  <c:pt idx="85">
                    <c:v>Botswana</c:v>
                  </c:pt>
                  <c:pt idx="86">
                    <c:v>Burkina Faso</c:v>
                  </c:pt>
                  <c:pt idx="87">
                    <c:v>Ghana</c:v>
                  </c:pt>
                  <c:pt idx="88">
                    <c:v>Grenada</c:v>
                  </c:pt>
                  <c:pt idx="89">
                    <c:v>Ivory Coast</c:v>
                  </c:pt>
                  <c:pt idx="90">
                    <c:v>Kuwait</c:v>
                  </c:pt>
                  <c:pt idx="91">
                    <c:v>Moldova</c:v>
                  </c:pt>
                  <c:pt idx="92">
                    <c:v>Syria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36</c:v>
                  </c:pt>
                  <c:pt idx="37">
                    <c:v>38</c:v>
                  </c:pt>
                  <c:pt idx="38">
                    <c:v>39</c:v>
                  </c:pt>
                  <c:pt idx="39">
                    <c:v>39</c:v>
                  </c:pt>
                  <c:pt idx="40">
                    <c:v>41</c:v>
                  </c:pt>
                  <c:pt idx="41">
                    <c:v>42</c:v>
                  </c:pt>
                  <c:pt idx="42">
                    <c:v>42</c:v>
                  </c:pt>
                  <c:pt idx="43">
                    <c:v>44</c:v>
                  </c:pt>
                  <c:pt idx="44">
                    <c:v>45</c:v>
                  </c:pt>
                  <c:pt idx="45">
                    <c:v>46</c:v>
                  </c:pt>
                  <c:pt idx="46">
                    <c:v>46</c:v>
                  </c:pt>
                  <c:pt idx="47">
                    <c:v>48</c:v>
                  </c:pt>
                  <c:pt idx="48">
                    <c:v>49</c:v>
                  </c:pt>
                  <c:pt idx="49">
                    <c:v>50</c:v>
                  </c:pt>
                  <c:pt idx="50">
                    <c:v>50</c:v>
                  </c:pt>
                  <c:pt idx="51">
                    <c:v>52</c:v>
                  </c:pt>
                  <c:pt idx="52">
                    <c:v>53</c:v>
                  </c:pt>
                  <c:pt idx="53">
                    <c:v>54</c:v>
                  </c:pt>
                  <c:pt idx="54">
                    <c:v>55</c:v>
                  </c:pt>
                  <c:pt idx="55">
                    <c:v>56</c:v>
                  </c:pt>
                  <c:pt idx="56">
                    <c:v>56</c:v>
                  </c:pt>
                  <c:pt idx="57">
                    <c:v>58</c:v>
                  </c:pt>
                  <c:pt idx="58">
                    <c:v>59</c:v>
                  </c:pt>
                  <c:pt idx="59">
                    <c:v>59</c:v>
                  </c:pt>
                  <c:pt idx="60">
                    <c:v>59</c:v>
                  </c:pt>
                  <c:pt idx="61">
                    <c:v>59</c:v>
                  </c:pt>
                  <c:pt idx="62">
                    <c:v>63</c:v>
                  </c:pt>
                  <c:pt idx="63">
                    <c:v>63</c:v>
                  </c:pt>
                  <c:pt idx="64">
                    <c:v>63</c:v>
                  </c:pt>
                  <c:pt idx="65">
                    <c:v>66</c:v>
                  </c:pt>
                  <c:pt idx="66">
                    <c:v>67</c:v>
                  </c:pt>
                  <c:pt idx="67">
                    <c:v>68</c:v>
                  </c:pt>
                  <c:pt idx="68">
                    <c:v>69</c:v>
                  </c:pt>
                  <c:pt idx="69">
                    <c:v>70</c:v>
                  </c:pt>
                  <c:pt idx="70">
                    <c:v>71</c:v>
                  </c:pt>
                  <c:pt idx="71">
                    <c:v>72</c:v>
                  </c:pt>
                  <c:pt idx="72">
                    <c:v>72</c:v>
                  </c:pt>
                  <c:pt idx="73">
                    <c:v>74</c:v>
                  </c:pt>
                  <c:pt idx="74">
                    <c:v>74</c:v>
                  </c:pt>
                  <c:pt idx="75">
                    <c:v>74</c:v>
                  </c:pt>
                  <c:pt idx="76">
                    <c:v>77</c:v>
                  </c:pt>
                  <c:pt idx="77">
                    <c:v>77</c:v>
                  </c:pt>
                  <c:pt idx="78">
                    <c:v>77</c:v>
                  </c:pt>
                  <c:pt idx="79">
                    <c:v>77</c:v>
                  </c:pt>
                  <c:pt idx="80">
                    <c:v>77</c:v>
                  </c:pt>
                  <c:pt idx="81">
                    <c:v>77</c:v>
                  </c:pt>
                  <c:pt idx="82">
                    <c:v>83</c:v>
                  </c:pt>
                  <c:pt idx="83">
                    <c:v>84</c:v>
                  </c:pt>
                  <c:pt idx="84">
                    <c:v>85</c:v>
                  </c:pt>
                  <c:pt idx="85">
                    <c:v>86</c:v>
                  </c:pt>
                  <c:pt idx="86">
                    <c:v>86</c:v>
                  </c:pt>
                  <c:pt idx="87">
                    <c:v>86</c:v>
                  </c:pt>
                  <c:pt idx="88">
                    <c:v>86</c:v>
                  </c:pt>
                  <c:pt idx="89">
                    <c:v>86</c:v>
                  </c:pt>
                  <c:pt idx="90">
                    <c:v>86</c:v>
                  </c:pt>
                  <c:pt idx="91">
                    <c:v>86</c:v>
                  </c:pt>
                  <c:pt idx="92">
                    <c:v>86</c:v>
                  </c:pt>
                </c:lvl>
              </c:multiLvlStrCache>
            </c:multiLvlStrRef>
          </c:cat>
          <c:val>
            <c:numRef>
              <c:f>'Weblink to Power Query'!$C$6:$C$98</c:f>
              <c:numCache>
                <c:formatCode>General</c:formatCode>
                <c:ptCount val="93"/>
                <c:pt idx="0">
                  <c:v>39</c:v>
                </c:pt>
                <c:pt idx="1">
                  <c:v>38</c:v>
                </c:pt>
                <c:pt idx="2">
                  <c:v>27</c:v>
                </c:pt>
                <c:pt idx="3">
                  <c:v>22</c:v>
                </c:pt>
                <c:pt idx="4">
                  <c:v>20</c:v>
                </c:pt>
                <c:pt idx="5">
                  <c:v>17</c:v>
                </c:pt>
                <c:pt idx="6">
                  <c:v>10</c:v>
                </c:pt>
                <c:pt idx="7">
                  <c:v>10</c:v>
                </c:pt>
                <c:pt idx="8">
                  <c:v>10</c:v>
                </c:pt>
                <c:pt idx="9">
                  <c:v>10</c:v>
                </c:pt>
                <c:pt idx="10">
                  <c:v>7</c:v>
                </c:pt>
                <c:pt idx="11">
                  <c:v>7</c:v>
                </c:pt>
                <c:pt idx="12">
                  <c:v>7</c:v>
                </c:pt>
                <c:pt idx="13">
                  <c:v>7</c:v>
                </c:pt>
                <c:pt idx="14">
                  <c:v>6</c:v>
                </c:pt>
                <c:pt idx="15">
                  <c:v>6</c:v>
                </c:pt>
                <c:pt idx="16">
                  <c:v>4</c:v>
                </c:pt>
                <c:pt idx="17">
                  <c:v>4</c:v>
                </c:pt>
                <c:pt idx="18">
                  <c:v>4</c:v>
                </c:pt>
                <c:pt idx="19">
                  <c:v>4</c:v>
                </c:pt>
                <c:pt idx="20">
                  <c:v>4</c:v>
                </c:pt>
                <c:pt idx="21">
                  <c:v>3</c:v>
                </c:pt>
                <c:pt idx="22">
                  <c:v>3</c:v>
                </c:pt>
                <c:pt idx="23">
                  <c:v>3</c:v>
                </c:pt>
                <c:pt idx="24">
                  <c:v>3</c:v>
                </c:pt>
                <c:pt idx="25">
                  <c:v>3</c:v>
                </c:pt>
                <c:pt idx="26">
                  <c:v>3</c:v>
                </c:pt>
                <c:pt idx="27">
                  <c:v>3</c:v>
                </c:pt>
                <c:pt idx="28">
                  <c:v>3</c:v>
                </c:pt>
                <c:pt idx="29">
                  <c:v>3</c:v>
                </c:pt>
                <c:pt idx="30">
                  <c:v>3</c:v>
                </c:pt>
                <c:pt idx="31">
                  <c:v>3</c:v>
                </c:pt>
                <c:pt idx="32">
                  <c:v>2</c:v>
                </c:pt>
                <c:pt idx="33">
                  <c:v>2</c:v>
                </c:pt>
                <c:pt idx="34">
                  <c:v>2</c:v>
                </c:pt>
                <c:pt idx="35">
                  <c:v>2</c:v>
                </c:pt>
                <c:pt idx="36">
                  <c:v>2</c:v>
                </c:pt>
                <c:pt idx="37">
                  <c:v>2</c:v>
                </c:pt>
                <c:pt idx="38">
                  <c:v>2</c:v>
                </c:pt>
                <c:pt idx="39">
                  <c:v>2</c:v>
                </c:pt>
                <c:pt idx="40">
                  <c:v>2</c:v>
                </c:pt>
                <c:pt idx="41">
                  <c:v>2</c:v>
                </c:pt>
                <c:pt idx="42">
                  <c:v>2</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numCache>
            </c:numRef>
          </c:val>
          <c:extLst>
            <c:ext xmlns:c16="http://schemas.microsoft.com/office/drawing/2014/chart" uri="{C3380CC4-5D6E-409C-BE32-E72D297353CC}">
              <c16:uniqueId val="{00000000-D095-4FFD-83A1-CC487D831251}"/>
            </c:ext>
          </c:extLst>
        </c:ser>
        <c:ser>
          <c:idx val="1"/>
          <c:order val="1"/>
          <c:tx>
            <c:strRef>
              <c:f>'Weblink to Power Query'!$D$5</c:f>
              <c:strCache>
                <c:ptCount val="1"/>
                <c:pt idx="0">
                  <c:v>Silver</c:v>
                </c:pt>
              </c:strCache>
            </c:strRef>
          </c:tx>
          <c:spPr>
            <a:solidFill>
              <a:schemeClr val="accent2"/>
            </a:solidFill>
            <a:ln>
              <a:noFill/>
            </a:ln>
            <a:effectLst/>
          </c:spPr>
          <c:invertIfNegative val="0"/>
          <c:cat>
            <c:multiLvlStrRef>
              <c:f>'Weblink to Power Query'!$A$6:$B$98</c:f>
              <c:multiLvlStrCache>
                <c:ptCount val="93"/>
                <c:lvl>
                  <c:pt idx="0">
                    <c:v>United States</c:v>
                  </c:pt>
                  <c:pt idx="1">
                    <c:v>China</c:v>
                  </c:pt>
                  <c:pt idx="2">
                    <c:v>Japan</c:v>
                  </c:pt>
                  <c:pt idx="3">
                    <c:v>Great Britain</c:v>
                  </c:pt>
                  <c:pt idx="4">
                    <c:v>ROC</c:v>
                  </c:pt>
                  <c:pt idx="5">
                    <c:v>Australia</c:v>
                  </c:pt>
                  <c:pt idx="6">
                    <c:v>Netherlands</c:v>
                  </c:pt>
                  <c:pt idx="7">
                    <c:v>France</c:v>
                  </c:pt>
                  <c:pt idx="8">
                    <c:v>Germany</c:v>
                  </c:pt>
                  <c:pt idx="9">
                    <c:v>Italy</c:v>
                  </c:pt>
                  <c:pt idx="10">
                    <c:v>Canada</c:v>
                  </c:pt>
                  <c:pt idx="11">
                    <c:v>Brazil</c:v>
                  </c:pt>
                  <c:pt idx="12">
                    <c:v>New Zealand</c:v>
                  </c:pt>
                  <c:pt idx="13">
                    <c:v>Cuba</c:v>
                  </c:pt>
                  <c:pt idx="14">
                    <c:v>Hungary</c:v>
                  </c:pt>
                  <c:pt idx="15">
                    <c:v>South Korea</c:v>
                  </c:pt>
                  <c:pt idx="16">
                    <c:v>Poland</c:v>
                  </c:pt>
                  <c:pt idx="17">
                    <c:v>Czech Republic</c:v>
                  </c:pt>
                  <c:pt idx="18">
                    <c:v>Kenya</c:v>
                  </c:pt>
                  <c:pt idx="19">
                    <c:v>Norway</c:v>
                  </c:pt>
                  <c:pt idx="20">
                    <c:v>Jamaica</c:v>
                  </c:pt>
                  <c:pt idx="21">
                    <c:v>Spain</c:v>
                  </c:pt>
                  <c:pt idx="22">
                    <c:v>Sweden</c:v>
                  </c:pt>
                  <c:pt idx="23">
                    <c:v>Switzerland</c:v>
                  </c:pt>
                  <c:pt idx="24">
                    <c:v>Denmark</c:v>
                  </c:pt>
                  <c:pt idx="25">
                    <c:v>Croatia</c:v>
                  </c:pt>
                  <c:pt idx="26">
                    <c:v>Iran</c:v>
                  </c:pt>
                  <c:pt idx="27">
                    <c:v>Serbia</c:v>
                  </c:pt>
                  <c:pt idx="28">
                    <c:v>Belgium</c:v>
                  </c:pt>
                  <c:pt idx="29">
                    <c:v>Bulgaria</c:v>
                  </c:pt>
                  <c:pt idx="30">
                    <c:v>Slovenia</c:v>
                  </c:pt>
                  <c:pt idx="31">
                    <c:v>Uzbekistan</c:v>
                  </c:pt>
                  <c:pt idx="32">
                    <c:v>Georgia</c:v>
                  </c:pt>
                  <c:pt idx="33">
                    <c:v>Chinese Taipei</c:v>
                  </c:pt>
                  <c:pt idx="34">
                    <c:v>Turkey</c:v>
                  </c:pt>
                  <c:pt idx="35">
                    <c:v>Greece</c:v>
                  </c:pt>
                  <c:pt idx="36">
                    <c:v>Uganda</c:v>
                  </c:pt>
                  <c:pt idx="37">
                    <c:v>Ecuador</c:v>
                  </c:pt>
                  <c:pt idx="38">
                    <c:v>Ireland</c:v>
                  </c:pt>
                  <c:pt idx="39">
                    <c:v>Israel</c:v>
                  </c:pt>
                  <c:pt idx="40">
                    <c:v>Qatar</c:v>
                  </c:pt>
                  <c:pt idx="41">
                    <c:v>Bahamas</c:v>
                  </c:pt>
                  <c:pt idx="42">
                    <c:v>Kosovo</c:v>
                  </c:pt>
                  <c:pt idx="43">
                    <c:v>Ukraine</c:v>
                  </c:pt>
                  <c:pt idx="44">
                    <c:v>Belarus</c:v>
                  </c:pt>
                  <c:pt idx="45">
                    <c:v>Romania</c:v>
                  </c:pt>
                  <c:pt idx="46">
                    <c:v>Venezuela</c:v>
                  </c:pt>
                  <c:pt idx="47">
                    <c:v>India</c:v>
                  </c:pt>
                  <c:pt idx="48">
                    <c:v>Hong Kong</c:v>
                  </c:pt>
                  <c:pt idx="49">
                    <c:v>Philippines</c:v>
                  </c:pt>
                  <c:pt idx="50">
                    <c:v>Slovakia</c:v>
                  </c:pt>
                  <c:pt idx="51">
                    <c:v>South Africa</c:v>
                  </c:pt>
                  <c:pt idx="52">
                    <c:v>Austria</c:v>
                  </c:pt>
                  <c:pt idx="53">
                    <c:v>Egypt</c:v>
                  </c:pt>
                  <c:pt idx="54">
                    <c:v>Indonesia</c:v>
                  </c:pt>
                  <c:pt idx="55">
                    <c:v>Ethiopia</c:v>
                  </c:pt>
                  <c:pt idx="56">
                    <c:v>Portugal</c:v>
                  </c:pt>
                  <c:pt idx="57">
                    <c:v>Tunisia</c:v>
                  </c:pt>
                  <c:pt idx="58">
                    <c:v>Estonia</c:v>
                  </c:pt>
                  <c:pt idx="59">
                    <c:v>Fiji</c:v>
                  </c:pt>
                  <c:pt idx="60">
                    <c:v>Latvia</c:v>
                  </c:pt>
                  <c:pt idx="61">
                    <c:v>Thailand</c:v>
                  </c:pt>
                  <c:pt idx="62">
                    <c:v>Bermuda</c:v>
                  </c:pt>
                  <c:pt idx="63">
                    <c:v>Morocco</c:v>
                  </c:pt>
                  <c:pt idx="64">
                    <c:v>Puerto Rico</c:v>
                  </c:pt>
                  <c:pt idx="65">
                    <c:v>Colombia</c:v>
                  </c:pt>
                  <c:pt idx="66">
                    <c:v>Azerbaijan</c:v>
                  </c:pt>
                  <c:pt idx="67">
                    <c:v>Dominican Republic</c:v>
                  </c:pt>
                  <c:pt idx="68">
                    <c:v>Armenia</c:v>
                  </c:pt>
                  <c:pt idx="69">
                    <c:v>Kyrgyzstan</c:v>
                  </c:pt>
                  <c:pt idx="70">
                    <c:v>Mongolia</c:v>
                  </c:pt>
                  <c:pt idx="71">
                    <c:v>Argentina</c:v>
                  </c:pt>
                  <c:pt idx="72">
                    <c:v>San Marino</c:v>
                  </c:pt>
                  <c:pt idx="73">
                    <c:v>Jordan</c:v>
                  </c:pt>
                  <c:pt idx="74">
                    <c:v>Malaysia</c:v>
                  </c:pt>
                  <c:pt idx="75">
                    <c:v>Nigeria</c:v>
                  </c:pt>
                  <c:pt idx="76">
                    <c:v>Bahrain</c:v>
                  </c:pt>
                  <c:pt idx="77">
                    <c:v>Lithuania</c:v>
                  </c:pt>
                  <c:pt idx="78">
                    <c:v>Namibia</c:v>
                  </c:pt>
                  <c:pt idx="79">
                    <c:v>North Macedonia</c:v>
                  </c:pt>
                  <c:pt idx="80">
                    <c:v>Saudi Arabia</c:v>
                  </c:pt>
                  <c:pt idx="81">
                    <c:v>Turkmenistan</c:v>
                  </c:pt>
                  <c:pt idx="82">
                    <c:v>Kazakhstan</c:v>
                  </c:pt>
                  <c:pt idx="83">
                    <c:v>Mexico</c:v>
                  </c:pt>
                  <c:pt idx="84">
                    <c:v>Finland</c:v>
                  </c:pt>
                  <c:pt idx="85">
                    <c:v>Botswana</c:v>
                  </c:pt>
                  <c:pt idx="86">
                    <c:v>Burkina Faso</c:v>
                  </c:pt>
                  <c:pt idx="87">
                    <c:v>Ghana</c:v>
                  </c:pt>
                  <c:pt idx="88">
                    <c:v>Grenada</c:v>
                  </c:pt>
                  <c:pt idx="89">
                    <c:v>Ivory Coast</c:v>
                  </c:pt>
                  <c:pt idx="90">
                    <c:v>Kuwait</c:v>
                  </c:pt>
                  <c:pt idx="91">
                    <c:v>Moldova</c:v>
                  </c:pt>
                  <c:pt idx="92">
                    <c:v>Syria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36</c:v>
                  </c:pt>
                  <c:pt idx="37">
                    <c:v>38</c:v>
                  </c:pt>
                  <c:pt idx="38">
                    <c:v>39</c:v>
                  </c:pt>
                  <c:pt idx="39">
                    <c:v>39</c:v>
                  </c:pt>
                  <c:pt idx="40">
                    <c:v>41</c:v>
                  </c:pt>
                  <c:pt idx="41">
                    <c:v>42</c:v>
                  </c:pt>
                  <c:pt idx="42">
                    <c:v>42</c:v>
                  </c:pt>
                  <c:pt idx="43">
                    <c:v>44</c:v>
                  </c:pt>
                  <c:pt idx="44">
                    <c:v>45</c:v>
                  </c:pt>
                  <c:pt idx="45">
                    <c:v>46</c:v>
                  </c:pt>
                  <c:pt idx="46">
                    <c:v>46</c:v>
                  </c:pt>
                  <c:pt idx="47">
                    <c:v>48</c:v>
                  </c:pt>
                  <c:pt idx="48">
                    <c:v>49</c:v>
                  </c:pt>
                  <c:pt idx="49">
                    <c:v>50</c:v>
                  </c:pt>
                  <c:pt idx="50">
                    <c:v>50</c:v>
                  </c:pt>
                  <c:pt idx="51">
                    <c:v>52</c:v>
                  </c:pt>
                  <c:pt idx="52">
                    <c:v>53</c:v>
                  </c:pt>
                  <c:pt idx="53">
                    <c:v>54</c:v>
                  </c:pt>
                  <c:pt idx="54">
                    <c:v>55</c:v>
                  </c:pt>
                  <c:pt idx="55">
                    <c:v>56</c:v>
                  </c:pt>
                  <c:pt idx="56">
                    <c:v>56</c:v>
                  </c:pt>
                  <c:pt idx="57">
                    <c:v>58</c:v>
                  </c:pt>
                  <c:pt idx="58">
                    <c:v>59</c:v>
                  </c:pt>
                  <c:pt idx="59">
                    <c:v>59</c:v>
                  </c:pt>
                  <c:pt idx="60">
                    <c:v>59</c:v>
                  </c:pt>
                  <c:pt idx="61">
                    <c:v>59</c:v>
                  </c:pt>
                  <c:pt idx="62">
                    <c:v>63</c:v>
                  </c:pt>
                  <c:pt idx="63">
                    <c:v>63</c:v>
                  </c:pt>
                  <c:pt idx="64">
                    <c:v>63</c:v>
                  </c:pt>
                  <c:pt idx="65">
                    <c:v>66</c:v>
                  </c:pt>
                  <c:pt idx="66">
                    <c:v>67</c:v>
                  </c:pt>
                  <c:pt idx="67">
                    <c:v>68</c:v>
                  </c:pt>
                  <c:pt idx="68">
                    <c:v>69</c:v>
                  </c:pt>
                  <c:pt idx="69">
                    <c:v>70</c:v>
                  </c:pt>
                  <c:pt idx="70">
                    <c:v>71</c:v>
                  </c:pt>
                  <c:pt idx="71">
                    <c:v>72</c:v>
                  </c:pt>
                  <c:pt idx="72">
                    <c:v>72</c:v>
                  </c:pt>
                  <c:pt idx="73">
                    <c:v>74</c:v>
                  </c:pt>
                  <c:pt idx="74">
                    <c:v>74</c:v>
                  </c:pt>
                  <c:pt idx="75">
                    <c:v>74</c:v>
                  </c:pt>
                  <c:pt idx="76">
                    <c:v>77</c:v>
                  </c:pt>
                  <c:pt idx="77">
                    <c:v>77</c:v>
                  </c:pt>
                  <c:pt idx="78">
                    <c:v>77</c:v>
                  </c:pt>
                  <c:pt idx="79">
                    <c:v>77</c:v>
                  </c:pt>
                  <c:pt idx="80">
                    <c:v>77</c:v>
                  </c:pt>
                  <c:pt idx="81">
                    <c:v>77</c:v>
                  </c:pt>
                  <c:pt idx="82">
                    <c:v>83</c:v>
                  </c:pt>
                  <c:pt idx="83">
                    <c:v>84</c:v>
                  </c:pt>
                  <c:pt idx="84">
                    <c:v>85</c:v>
                  </c:pt>
                  <c:pt idx="85">
                    <c:v>86</c:v>
                  </c:pt>
                  <c:pt idx="86">
                    <c:v>86</c:v>
                  </c:pt>
                  <c:pt idx="87">
                    <c:v>86</c:v>
                  </c:pt>
                  <c:pt idx="88">
                    <c:v>86</c:v>
                  </c:pt>
                  <c:pt idx="89">
                    <c:v>86</c:v>
                  </c:pt>
                  <c:pt idx="90">
                    <c:v>86</c:v>
                  </c:pt>
                  <c:pt idx="91">
                    <c:v>86</c:v>
                  </c:pt>
                  <c:pt idx="92">
                    <c:v>86</c:v>
                  </c:pt>
                </c:lvl>
              </c:multiLvlStrCache>
            </c:multiLvlStrRef>
          </c:cat>
          <c:val>
            <c:numRef>
              <c:f>'Weblink to Power Query'!$D$6:$D$98</c:f>
              <c:numCache>
                <c:formatCode>General</c:formatCode>
                <c:ptCount val="93"/>
                <c:pt idx="0">
                  <c:v>41</c:v>
                </c:pt>
                <c:pt idx="1">
                  <c:v>32</c:v>
                </c:pt>
                <c:pt idx="2">
                  <c:v>14</c:v>
                </c:pt>
                <c:pt idx="3">
                  <c:v>20</c:v>
                </c:pt>
                <c:pt idx="4">
                  <c:v>28</c:v>
                </c:pt>
                <c:pt idx="5">
                  <c:v>7</c:v>
                </c:pt>
                <c:pt idx="6">
                  <c:v>12</c:v>
                </c:pt>
                <c:pt idx="7">
                  <c:v>12</c:v>
                </c:pt>
                <c:pt idx="8">
                  <c:v>11</c:v>
                </c:pt>
                <c:pt idx="9">
                  <c:v>10</c:v>
                </c:pt>
                <c:pt idx="10">
                  <c:v>7</c:v>
                </c:pt>
                <c:pt idx="11">
                  <c:v>6</c:v>
                </c:pt>
                <c:pt idx="12">
                  <c:v>6</c:v>
                </c:pt>
                <c:pt idx="13">
                  <c:v>3</c:v>
                </c:pt>
                <c:pt idx="14">
                  <c:v>7</c:v>
                </c:pt>
                <c:pt idx="15">
                  <c:v>4</c:v>
                </c:pt>
                <c:pt idx="16">
                  <c:v>5</c:v>
                </c:pt>
                <c:pt idx="17">
                  <c:v>4</c:v>
                </c:pt>
                <c:pt idx="18">
                  <c:v>4</c:v>
                </c:pt>
                <c:pt idx="19">
                  <c:v>2</c:v>
                </c:pt>
                <c:pt idx="20">
                  <c:v>1</c:v>
                </c:pt>
                <c:pt idx="21">
                  <c:v>8</c:v>
                </c:pt>
                <c:pt idx="22">
                  <c:v>6</c:v>
                </c:pt>
                <c:pt idx="23">
                  <c:v>4</c:v>
                </c:pt>
                <c:pt idx="24">
                  <c:v>4</c:v>
                </c:pt>
                <c:pt idx="25">
                  <c:v>3</c:v>
                </c:pt>
                <c:pt idx="26">
                  <c:v>2</c:v>
                </c:pt>
                <c:pt idx="27">
                  <c:v>1</c:v>
                </c:pt>
                <c:pt idx="28">
                  <c:v>1</c:v>
                </c:pt>
                <c:pt idx="29">
                  <c:v>1</c:v>
                </c:pt>
                <c:pt idx="30">
                  <c:v>1</c:v>
                </c:pt>
                <c:pt idx="31">
                  <c:v>0</c:v>
                </c:pt>
                <c:pt idx="32">
                  <c:v>5</c:v>
                </c:pt>
                <c:pt idx="33">
                  <c:v>4</c:v>
                </c:pt>
                <c:pt idx="34">
                  <c:v>2</c:v>
                </c:pt>
                <c:pt idx="35">
                  <c:v>1</c:v>
                </c:pt>
                <c:pt idx="36">
                  <c:v>1</c:v>
                </c:pt>
                <c:pt idx="37">
                  <c:v>1</c:v>
                </c:pt>
                <c:pt idx="38">
                  <c:v>0</c:v>
                </c:pt>
                <c:pt idx="39">
                  <c:v>0</c:v>
                </c:pt>
                <c:pt idx="40">
                  <c:v>0</c:v>
                </c:pt>
                <c:pt idx="41">
                  <c:v>0</c:v>
                </c:pt>
                <c:pt idx="42">
                  <c:v>0</c:v>
                </c:pt>
                <c:pt idx="43">
                  <c:v>6</c:v>
                </c:pt>
                <c:pt idx="44">
                  <c:v>3</c:v>
                </c:pt>
                <c:pt idx="45">
                  <c:v>3</c:v>
                </c:pt>
                <c:pt idx="46">
                  <c:v>3</c:v>
                </c:pt>
                <c:pt idx="47">
                  <c:v>2</c:v>
                </c:pt>
                <c:pt idx="48">
                  <c:v>2</c:v>
                </c:pt>
                <c:pt idx="49">
                  <c:v>2</c:v>
                </c:pt>
                <c:pt idx="50">
                  <c:v>2</c:v>
                </c:pt>
                <c:pt idx="51">
                  <c:v>2</c:v>
                </c:pt>
                <c:pt idx="52">
                  <c:v>1</c:v>
                </c:pt>
                <c:pt idx="53">
                  <c:v>1</c:v>
                </c:pt>
                <c:pt idx="54">
                  <c:v>1</c:v>
                </c:pt>
                <c:pt idx="55">
                  <c:v>1</c:v>
                </c:pt>
                <c:pt idx="56">
                  <c:v>1</c:v>
                </c:pt>
                <c:pt idx="57">
                  <c:v>1</c:v>
                </c:pt>
                <c:pt idx="58">
                  <c:v>0</c:v>
                </c:pt>
                <c:pt idx="59">
                  <c:v>0</c:v>
                </c:pt>
                <c:pt idx="60">
                  <c:v>0</c:v>
                </c:pt>
                <c:pt idx="61">
                  <c:v>0</c:v>
                </c:pt>
                <c:pt idx="62">
                  <c:v>0</c:v>
                </c:pt>
                <c:pt idx="63">
                  <c:v>0</c:v>
                </c:pt>
                <c:pt idx="64">
                  <c:v>0</c:v>
                </c:pt>
                <c:pt idx="65">
                  <c:v>4</c:v>
                </c:pt>
                <c:pt idx="66">
                  <c:v>3</c:v>
                </c:pt>
                <c:pt idx="67">
                  <c:v>3</c:v>
                </c:pt>
                <c:pt idx="68">
                  <c:v>2</c:v>
                </c:pt>
                <c:pt idx="69">
                  <c:v>2</c:v>
                </c:pt>
                <c:pt idx="70">
                  <c:v>1</c:v>
                </c:pt>
                <c:pt idx="71">
                  <c:v>1</c:v>
                </c:pt>
                <c:pt idx="72">
                  <c:v>1</c:v>
                </c:pt>
                <c:pt idx="73">
                  <c:v>1</c:v>
                </c:pt>
                <c:pt idx="74">
                  <c:v>1</c:v>
                </c:pt>
                <c:pt idx="75">
                  <c:v>1</c:v>
                </c:pt>
                <c:pt idx="76">
                  <c:v>1</c:v>
                </c:pt>
                <c:pt idx="77">
                  <c:v>1</c:v>
                </c:pt>
                <c:pt idx="78">
                  <c:v>1</c:v>
                </c:pt>
                <c:pt idx="79">
                  <c:v>1</c:v>
                </c:pt>
                <c:pt idx="80">
                  <c:v>1</c:v>
                </c:pt>
                <c:pt idx="81">
                  <c:v>1</c:v>
                </c:pt>
                <c:pt idx="82">
                  <c:v>0</c:v>
                </c:pt>
                <c:pt idx="83">
                  <c:v>0</c:v>
                </c:pt>
                <c:pt idx="84">
                  <c:v>0</c:v>
                </c:pt>
                <c:pt idx="85">
                  <c:v>0</c:v>
                </c:pt>
                <c:pt idx="86">
                  <c:v>0</c:v>
                </c:pt>
                <c:pt idx="87">
                  <c:v>0</c:v>
                </c:pt>
                <c:pt idx="88">
                  <c:v>0</c:v>
                </c:pt>
                <c:pt idx="89">
                  <c:v>0</c:v>
                </c:pt>
                <c:pt idx="90">
                  <c:v>0</c:v>
                </c:pt>
                <c:pt idx="91">
                  <c:v>0</c:v>
                </c:pt>
                <c:pt idx="92">
                  <c:v>0</c:v>
                </c:pt>
              </c:numCache>
            </c:numRef>
          </c:val>
          <c:extLst>
            <c:ext xmlns:c16="http://schemas.microsoft.com/office/drawing/2014/chart" uri="{C3380CC4-5D6E-409C-BE32-E72D297353CC}">
              <c16:uniqueId val="{00000001-D095-4FFD-83A1-CC487D831251}"/>
            </c:ext>
          </c:extLst>
        </c:ser>
        <c:ser>
          <c:idx val="2"/>
          <c:order val="2"/>
          <c:tx>
            <c:strRef>
              <c:f>'Weblink to Power Query'!$E$5</c:f>
              <c:strCache>
                <c:ptCount val="1"/>
                <c:pt idx="0">
                  <c:v>Bronze</c:v>
                </c:pt>
              </c:strCache>
            </c:strRef>
          </c:tx>
          <c:spPr>
            <a:solidFill>
              <a:schemeClr val="accent3"/>
            </a:solidFill>
            <a:ln>
              <a:noFill/>
            </a:ln>
            <a:effectLst/>
          </c:spPr>
          <c:invertIfNegative val="0"/>
          <c:cat>
            <c:multiLvlStrRef>
              <c:f>'Weblink to Power Query'!$A$6:$B$98</c:f>
              <c:multiLvlStrCache>
                <c:ptCount val="93"/>
                <c:lvl>
                  <c:pt idx="0">
                    <c:v>United States</c:v>
                  </c:pt>
                  <c:pt idx="1">
                    <c:v>China</c:v>
                  </c:pt>
                  <c:pt idx="2">
                    <c:v>Japan</c:v>
                  </c:pt>
                  <c:pt idx="3">
                    <c:v>Great Britain</c:v>
                  </c:pt>
                  <c:pt idx="4">
                    <c:v>ROC</c:v>
                  </c:pt>
                  <c:pt idx="5">
                    <c:v>Australia</c:v>
                  </c:pt>
                  <c:pt idx="6">
                    <c:v>Netherlands</c:v>
                  </c:pt>
                  <c:pt idx="7">
                    <c:v>France</c:v>
                  </c:pt>
                  <c:pt idx="8">
                    <c:v>Germany</c:v>
                  </c:pt>
                  <c:pt idx="9">
                    <c:v>Italy</c:v>
                  </c:pt>
                  <c:pt idx="10">
                    <c:v>Canada</c:v>
                  </c:pt>
                  <c:pt idx="11">
                    <c:v>Brazil</c:v>
                  </c:pt>
                  <c:pt idx="12">
                    <c:v>New Zealand</c:v>
                  </c:pt>
                  <c:pt idx="13">
                    <c:v>Cuba</c:v>
                  </c:pt>
                  <c:pt idx="14">
                    <c:v>Hungary</c:v>
                  </c:pt>
                  <c:pt idx="15">
                    <c:v>South Korea</c:v>
                  </c:pt>
                  <c:pt idx="16">
                    <c:v>Poland</c:v>
                  </c:pt>
                  <c:pt idx="17">
                    <c:v>Czech Republic</c:v>
                  </c:pt>
                  <c:pt idx="18">
                    <c:v>Kenya</c:v>
                  </c:pt>
                  <c:pt idx="19">
                    <c:v>Norway</c:v>
                  </c:pt>
                  <c:pt idx="20">
                    <c:v>Jamaica</c:v>
                  </c:pt>
                  <c:pt idx="21">
                    <c:v>Spain</c:v>
                  </c:pt>
                  <c:pt idx="22">
                    <c:v>Sweden</c:v>
                  </c:pt>
                  <c:pt idx="23">
                    <c:v>Switzerland</c:v>
                  </c:pt>
                  <c:pt idx="24">
                    <c:v>Denmark</c:v>
                  </c:pt>
                  <c:pt idx="25">
                    <c:v>Croatia</c:v>
                  </c:pt>
                  <c:pt idx="26">
                    <c:v>Iran</c:v>
                  </c:pt>
                  <c:pt idx="27">
                    <c:v>Serbia</c:v>
                  </c:pt>
                  <c:pt idx="28">
                    <c:v>Belgium</c:v>
                  </c:pt>
                  <c:pt idx="29">
                    <c:v>Bulgaria</c:v>
                  </c:pt>
                  <c:pt idx="30">
                    <c:v>Slovenia</c:v>
                  </c:pt>
                  <c:pt idx="31">
                    <c:v>Uzbekistan</c:v>
                  </c:pt>
                  <c:pt idx="32">
                    <c:v>Georgia</c:v>
                  </c:pt>
                  <c:pt idx="33">
                    <c:v>Chinese Taipei</c:v>
                  </c:pt>
                  <c:pt idx="34">
                    <c:v>Turkey</c:v>
                  </c:pt>
                  <c:pt idx="35">
                    <c:v>Greece</c:v>
                  </c:pt>
                  <c:pt idx="36">
                    <c:v>Uganda</c:v>
                  </c:pt>
                  <c:pt idx="37">
                    <c:v>Ecuador</c:v>
                  </c:pt>
                  <c:pt idx="38">
                    <c:v>Ireland</c:v>
                  </c:pt>
                  <c:pt idx="39">
                    <c:v>Israel</c:v>
                  </c:pt>
                  <c:pt idx="40">
                    <c:v>Qatar</c:v>
                  </c:pt>
                  <c:pt idx="41">
                    <c:v>Bahamas</c:v>
                  </c:pt>
                  <c:pt idx="42">
                    <c:v>Kosovo</c:v>
                  </c:pt>
                  <c:pt idx="43">
                    <c:v>Ukraine</c:v>
                  </c:pt>
                  <c:pt idx="44">
                    <c:v>Belarus</c:v>
                  </c:pt>
                  <c:pt idx="45">
                    <c:v>Romania</c:v>
                  </c:pt>
                  <c:pt idx="46">
                    <c:v>Venezuela</c:v>
                  </c:pt>
                  <c:pt idx="47">
                    <c:v>India</c:v>
                  </c:pt>
                  <c:pt idx="48">
                    <c:v>Hong Kong</c:v>
                  </c:pt>
                  <c:pt idx="49">
                    <c:v>Philippines</c:v>
                  </c:pt>
                  <c:pt idx="50">
                    <c:v>Slovakia</c:v>
                  </c:pt>
                  <c:pt idx="51">
                    <c:v>South Africa</c:v>
                  </c:pt>
                  <c:pt idx="52">
                    <c:v>Austria</c:v>
                  </c:pt>
                  <c:pt idx="53">
                    <c:v>Egypt</c:v>
                  </c:pt>
                  <c:pt idx="54">
                    <c:v>Indonesia</c:v>
                  </c:pt>
                  <c:pt idx="55">
                    <c:v>Ethiopia</c:v>
                  </c:pt>
                  <c:pt idx="56">
                    <c:v>Portugal</c:v>
                  </c:pt>
                  <c:pt idx="57">
                    <c:v>Tunisia</c:v>
                  </c:pt>
                  <c:pt idx="58">
                    <c:v>Estonia</c:v>
                  </c:pt>
                  <c:pt idx="59">
                    <c:v>Fiji</c:v>
                  </c:pt>
                  <c:pt idx="60">
                    <c:v>Latvia</c:v>
                  </c:pt>
                  <c:pt idx="61">
                    <c:v>Thailand</c:v>
                  </c:pt>
                  <c:pt idx="62">
                    <c:v>Bermuda</c:v>
                  </c:pt>
                  <c:pt idx="63">
                    <c:v>Morocco</c:v>
                  </c:pt>
                  <c:pt idx="64">
                    <c:v>Puerto Rico</c:v>
                  </c:pt>
                  <c:pt idx="65">
                    <c:v>Colombia</c:v>
                  </c:pt>
                  <c:pt idx="66">
                    <c:v>Azerbaijan</c:v>
                  </c:pt>
                  <c:pt idx="67">
                    <c:v>Dominican Republic</c:v>
                  </c:pt>
                  <c:pt idx="68">
                    <c:v>Armenia</c:v>
                  </c:pt>
                  <c:pt idx="69">
                    <c:v>Kyrgyzstan</c:v>
                  </c:pt>
                  <c:pt idx="70">
                    <c:v>Mongolia</c:v>
                  </c:pt>
                  <c:pt idx="71">
                    <c:v>Argentina</c:v>
                  </c:pt>
                  <c:pt idx="72">
                    <c:v>San Marino</c:v>
                  </c:pt>
                  <c:pt idx="73">
                    <c:v>Jordan</c:v>
                  </c:pt>
                  <c:pt idx="74">
                    <c:v>Malaysia</c:v>
                  </c:pt>
                  <c:pt idx="75">
                    <c:v>Nigeria</c:v>
                  </c:pt>
                  <c:pt idx="76">
                    <c:v>Bahrain</c:v>
                  </c:pt>
                  <c:pt idx="77">
                    <c:v>Lithuania</c:v>
                  </c:pt>
                  <c:pt idx="78">
                    <c:v>Namibia</c:v>
                  </c:pt>
                  <c:pt idx="79">
                    <c:v>North Macedonia</c:v>
                  </c:pt>
                  <c:pt idx="80">
                    <c:v>Saudi Arabia</c:v>
                  </c:pt>
                  <c:pt idx="81">
                    <c:v>Turkmenistan</c:v>
                  </c:pt>
                  <c:pt idx="82">
                    <c:v>Kazakhstan</c:v>
                  </c:pt>
                  <c:pt idx="83">
                    <c:v>Mexico</c:v>
                  </c:pt>
                  <c:pt idx="84">
                    <c:v>Finland</c:v>
                  </c:pt>
                  <c:pt idx="85">
                    <c:v>Botswana</c:v>
                  </c:pt>
                  <c:pt idx="86">
                    <c:v>Burkina Faso</c:v>
                  </c:pt>
                  <c:pt idx="87">
                    <c:v>Ghana</c:v>
                  </c:pt>
                  <c:pt idx="88">
                    <c:v>Grenada</c:v>
                  </c:pt>
                  <c:pt idx="89">
                    <c:v>Ivory Coast</c:v>
                  </c:pt>
                  <c:pt idx="90">
                    <c:v>Kuwait</c:v>
                  </c:pt>
                  <c:pt idx="91">
                    <c:v>Moldova</c:v>
                  </c:pt>
                  <c:pt idx="92">
                    <c:v>Syria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36</c:v>
                  </c:pt>
                  <c:pt idx="37">
                    <c:v>38</c:v>
                  </c:pt>
                  <c:pt idx="38">
                    <c:v>39</c:v>
                  </c:pt>
                  <c:pt idx="39">
                    <c:v>39</c:v>
                  </c:pt>
                  <c:pt idx="40">
                    <c:v>41</c:v>
                  </c:pt>
                  <c:pt idx="41">
                    <c:v>42</c:v>
                  </c:pt>
                  <c:pt idx="42">
                    <c:v>42</c:v>
                  </c:pt>
                  <c:pt idx="43">
                    <c:v>44</c:v>
                  </c:pt>
                  <c:pt idx="44">
                    <c:v>45</c:v>
                  </c:pt>
                  <c:pt idx="45">
                    <c:v>46</c:v>
                  </c:pt>
                  <c:pt idx="46">
                    <c:v>46</c:v>
                  </c:pt>
                  <c:pt idx="47">
                    <c:v>48</c:v>
                  </c:pt>
                  <c:pt idx="48">
                    <c:v>49</c:v>
                  </c:pt>
                  <c:pt idx="49">
                    <c:v>50</c:v>
                  </c:pt>
                  <c:pt idx="50">
                    <c:v>50</c:v>
                  </c:pt>
                  <c:pt idx="51">
                    <c:v>52</c:v>
                  </c:pt>
                  <c:pt idx="52">
                    <c:v>53</c:v>
                  </c:pt>
                  <c:pt idx="53">
                    <c:v>54</c:v>
                  </c:pt>
                  <c:pt idx="54">
                    <c:v>55</c:v>
                  </c:pt>
                  <c:pt idx="55">
                    <c:v>56</c:v>
                  </c:pt>
                  <c:pt idx="56">
                    <c:v>56</c:v>
                  </c:pt>
                  <c:pt idx="57">
                    <c:v>58</c:v>
                  </c:pt>
                  <c:pt idx="58">
                    <c:v>59</c:v>
                  </c:pt>
                  <c:pt idx="59">
                    <c:v>59</c:v>
                  </c:pt>
                  <c:pt idx="60">
                    <c:v>59</c:v>
                  </c:pt>
                  <c:pt idx="61">
                    <c:v>59</c:v>
                  </c:pt>
                  <c:pt idx="62">
                    <c:v>63</c:v>
                  </c:pt>
                  <c:pt idx="63">
                    <c:v>63</c:v>
                  </c:pt>
                  <c:pt idx="64">
                    <c:v>63</c:v>
                  </c:pt>
                  <c:pt idx="65">
                    <c:v>66</c:v>
                  </c:pt>
                  <c:pt idx="66">
                    <c:v>67</c:v>
                  </c:pt>
                  <c:pt idx="67">
                    <c:v>68</c:v>
                  </c:pt>
                  <c:pt idx="68">
                    <c:v>69</c:v>
                  </c:pt>
                  <c:pt idx="69">
                    <c:v>70</c:v>
                  </c:pt>
                  <c:pt idx="70">
                    <c:v>71</c:v>
                  </c:pt>
                  <c:pt idx="71">
                    <c:v>72</c:v>
                  </c:pt>
                  <c:pt idx="72">
                    <c:v>72</c:v>
                  </c:pt>
                  <c:pt idx="73">
                    <c:v>74</c:v>
                  </c:pt>
                  <c:pt idx="74">
                    <c:v>74</c:v>
                  </c:pt>
                  <c:pt idx="75">
                    <c:v>74</c:v>
                  </c:pt>
                  <c:pt idx="76">
                    <c:v>77</c:v>
                  </c:pt>
                  <c:pt idx="77">
                    <c:v>77</c:v>
                  </c:pt>
                  <c:pt idx="78">
                    <c:v>77</c:v>
                  </c:pt>
                  <c:pt idx="79">
                    <c:v>77</c:v>
                  </c:pt>
                  <c:pt idx="80">
                    <c:v>77</c:v>
                  </c:pt>
                  <c:pt idx="81">
                    <c:v>77</c:v>
                  </c:pt>
                  <c:pt idx="82">
                    <c:v>83</c:v>
                  </c:pt>
                  <c:pt idx="83">
                    <c:v>84</c:v>
                  </c:pt>
                  <c:pt idx="84">
                    <c:v>85</c:v>
                  </c:pt>
                  <c:pt idx="85">
                    <c:v>86</c:v>
                  </c:pt>
                  <c:pt idx="86">
                    <c:v>86</c:v>
                  </c:pt>
                  <c:pt idx="87">
                    <c:v>86</c:v>
                  </c:pt>
                  <c:pt idx="88">
                    <c:v>86</c:v>
                  </c:pt>
                  <c:pt idx="89">
                    <c:v>86</c:v>
                  </c:pt>
                  <c:pt idx="90">
                    <c:v>86</c:v>
                  </c:pt>
                  <c:pt idx="91">
                    <c:v>86</c:v>
                  </c:pt>
                  <c:pt idx="92">
                    <c:v>86</c:v>
                  </c:pt>
                </c:lvl>
              </c:multiLvlStrCache>
            </c:multiLvlStrRef>
          </c:cat>
          <c:val>
            <c:numRef>
              <c:f>'Weblink to Power Query'!$E$6:$E$98</c:f>
              <c:numCache>
                <c:formatCode>General</c:formatCode>
                <c:ptCount val="93"/>
                <c:pt idx="0">
                  <c:v>33</c:v>
                </c:pt>
                <c:pt idx="1">
                  <c:v>19</c:v>
                </c:pt>
                <c:pt idx="2">
                  <c:v>17</c:v>
                </c:pt>
                <c:pt idx="3">
                  <c:v>22</c:v>
                </c:pt>
                <c:pt idx="4">
                  <c:v>23</c:v>
                </c:pt>
                <c:pt idx="5">
                  <c:v>22</c:v>
                </c:pt>
                <c:pt idx="6">
                  <c:v>14</c:v>
                </c:pt>
                <c:pt idx="7">
                  <c:v>11</c:v>
                </c:pt>
                <c:pt idx="8">
                  <c:v>16</c:v>
                </c:pt>
                <c:pt idx="9">
                  <c:v>20</c:v>
                </c:pt>
                <c:pt idx="10">
                  <c:v>10</c:v>
                </c:pt>
                <c:pt idx="11">
                  <c:v>8</c:v>
                </c:pt>
                <c:pt idx="12">
                  <c:v>7</c:v>
                </c:pt>
                <c:pt idx="13">
                  <c:v>5</c:v>
                </c:pt>
                <c:pt idx="14">
                  <c:v>7</c:v>
                </c:pt>
                <c:pt idx="15">
                  <c:v>10</c:v>
                </c:pt>
                <c:pt idx="16">
                  <c:v>5</c:v>
                </c:pt>
                <c:pt idx="17">
                  <c:v>3</c:v>
                </c:pt>
                <c:pt idx="18">
                  <c:v>2</c:v>
                </c:pt>
                <c:pt idx="19">
                  <c:v>2</c:v>
                </c:pt>
                <c:pt idx="20">
                  <c:v>4</c:v>
                </c:pt>
                <c:pt idx="21">
                  <c:v>6</c:v>
                </c:pt>
                <c:pt idx="22">
                  <c:v>0</c:v>
                </c:pt>
                <c:pt idx="23">
                  <c:v>6</c:v>
                </c:pt>
                <c:pt idx="24">
                  <c:v>4</c:v>
                </c:pt>
                <c:pt idx="25">
                  <c:v>2</c:v>
                </c:pt>
                <c:pt idx="26">
                  <c:v>2</c:v>
                </c:pt>
                <c:pt idx="27">
                  <c:v>5</c:v>
                </c:pt>
                <c:pt idx="28">
                  <c:v>3</c:v>
                </c:pt>
                <c:pt idx="29">
                  <c:v>2</c:v>
                </c:pt>
                <c:pt idx="30">
                  <c:v>1</c:v>
                </c:pt>
                <c:pt idx="31">
                  <c:v>2</c:v>
                </c:pt>
                <c:pt idx="32">
                  <c:v>1</c:v>
                </c:pt>
                <c:pt idx="33">
                  <c:v>6</c:v>
                </c:pt>
                <c:pt idx="34">
                  <c:v>9</c:v>
                </c:pt>
                <c:pt idx="35">
                  <c:v>1</c:v>
                </c:pt>
                <c:pt idx="36">
                  <c:v>1</c:v>
                </c:pt>
                <c:pt idx="37">
                  <c:v>0</c:v>
                </c:pt>
                <c:pt idx="38">
                  <c:v>2</c:v>
                </c:pt>
                <c:pt idx="39">
                  <c:v>2</c:v>
                </c:pt>
                <c:pt idx="40">
                  <c:v>1</c:v>
                </c:pt>
                <c:pt idx="41">
                  <c:v>0</c:v>
                </c:pt>
                <c:pt idx="42">
                  <c:v>0</c:v>
                </c:pt>
                <c:pt idx="43">
                  <c:v>12</c:v>
                </c:pt>
                <c:pt idx="44">
                  <c:v>3</c:v>
                </c:pt>
                <c:pt idx="45">
                  <c:v>0</c:v>
                </c:pt>
                <c:pt idx="46">
                  <c:v>0</c:v>
                </c:pt>
                <c:pt idx="47">
                  <c:v>4</c:v>
                </c:pt>
                <c:pt idx="48">
                  <c:v>3</c:v>
                </c:pt>
                <c:pt idx="49">
                  <c:v>1</c:v>
                </c:pt>
                <c:pt idx="50">
                  <c:v>1</c:v>
                </c:pt>
                <c:pt idx="51">
                  <c:v>0</c:v>
                </c:pt>
                <c:pt idx="52">
                  <c:v>5</c:v>
                </c:pt>
                <c:pt idx="53">
                  <c:v>4</c:v>
                </c:pt>
                <c:pt idx="54">
                  <c:v>3</c:v>
                </c:pt>
                <c:pt idx="55">
                  <c:v>2</c:v>
                </c:pt>
                <c:pt idx="56">
                  <c:v>2</c:v>
                </c:pt>
                <c:pt idx="57">
                  <c:v>0</c:v>
                </c:pt>
                <c:pt idx="58">
                  <c:v>1</c:v>
                </c:pt>
                <c:pt idx="59">
                  <c:v>1</c:v>
                </c:pt>
                <c:pt idx="60">
                  <c:v>1</c:v>
                </c:pt>
                <c:pt idx="61">
                  <c:v>1</c:v>
                </c:pt>
                <c:pt idx="62">
                  <c:v>0</c:v>
                </c:pt>
                <c:pt idx="63">
                  <c:v>0</c:v>
                </c:pt>
                <c:pt idx="64">
                  <c:v>0</c:v>
                </c:pt>
                <c:pt idx="65">
                  <c:v>1</c:v>
                </c:pt>
                <c:pt idx="66">
                  <c:v>4</c:v>
                </c:pt>
                <c:pt idx="67">
                  <c:v>2</c:v>
                </c:pt>
                <c:pt idx="68">
                  <c:v>2</c:v>
                </c:pt>
                <c:pt idx="69">
                  <c:v>1</c:v>
                </c:pt>
                <c:pt idx="70">
                  <c:v>3</c:v>
                </c:pt>
                <c:pt idx="71">
                  <c:v>2</c:v>
                </c:pt>
                <c:pt idx="72">
                  <c:v>2</c:v>
                </c:pt>
                <c:pt idx="73">
                  <c:v>1</c:v>
                </c:pt>
                <c:pt idx="74">
                  <c:v>1</c:v>
                </c:pt>
                <c:pt idx="75">
                  <c:v>1</c:v>
                </c:pt>
                <c:pt idx="76">
                  <c:v>0</c:v>
                </c:pt>
                <c:pt idx="77">
                  <c:v>0</c:v>
                </c:pt>
                <c:pt idx="78">
                  <c:v>0</c:v>
                </c:pt>
                <c:pt idx="79">
                  <c:v>0</c:v>
                </c:pt>
                <c:pt idx="80">
                  <c:v>0</c:v>
                </c:pt>
                <c:pt idx="81">
                  <c:v>0</c:v>
                </c:pt>
                <c:pt idx="82">
                  <c:v>8</c:v>
                </c:pt>
                <c:pt idx="83">
                  <c:v>4</c:v>
                </c:pt>
                <c:pt idx="84">
                  <c:v>2</c:v>
                </c:pt>
                <c:pt idx="85">
                  <c:v>1</c:v>
                </c:pt>
                <c:pt idx="86">
                  <c:v>1</c:v>
                </c:pt>
                <c:pt idx="87">
                  <c:v>1</c:v>
                </c:pt>
                <c:pt idx="88">
                  <c:v>1</c:v>
                </c:pt>
                <c:pt idx="89">
                  <c:v>1</c:v>
                </c:pt>
                <c:pt idx="90">
                  <c:v>1</c:v>
                </c:pt>
                <c:pt idx="91">
                  <c:v>1</c:v>
                </c:pt>
                <c:pt idx="92">
                  <c:v>1</c:v>
                </c:pt>
              </c:numCache>
            </c:numRef>
          </c:val>
          <c:extLst>
            <c:ext xmlns:c16="http://schemas.microsoft.com/office/drawing/2014/chart" uri="{C3380CC4-5D6E-409C-BE32-E72D297353CC}">
              <c16:uniqueId val="{00000002-D095-4FFD-83A1-CC487D831251}"/>
            </c:ext>
          </c:extLst>
        </c:ser>
        <c:ser>
          <c:idx val="3"/>
          <c:order val="3"/>
          <c:tx>
            <c:strRef>
              <c:f>'Weblink to Power Query'!$F$5</c:f>
              <c:strCache>
                <c:ptCount val="1"/>
                <c:pt idx="0">
                  <c:v>Total</c:v>
                </c:pt>
              </c:strCache>
            </c:strRef>
          </c:tx>
          <c:spPr>
            <a:solidFill>
              <a:schemeClr val="accent4"/>
            </a:solidFill>
            <a:ln>
              <a:noFill/>
            </a:ln>
            <a:effectLst/>
          </c:spPr>
          <c:invertIfNegative val="0"/>
          <c:cat>
            <c:multiLvlStrRef>
              <c:f>'Weblink to Power Query'!$A$6:$B$98</c:f>
              <c:multiLvlStrCache>
                <c:ptCount val="93"/>
                <c:lvl>
                  <c:pt idx="0">
                    <c:v>United States</c:v>
                  </c:pt>
                  <c:pt idx="1">
                    <c:v>China</c:v>
                  </c:pt>
                  <c:pt idx="2">
                    <c:v>Japan</c:v>
                  </c:pt>
                  <c:pt idx="3">
                    <c:v>Great Britain</c:v>
                  </c:pt>
                  <c:pt idx="4">
                    <c:v>ROC</c:v>
                  </c:pt>
                  <c:pt idx="5">
                    <c:v>Australia</c:v>
                  </c:pt>
                  <c:pt idx="6">
                    <c:v>Netherlands</c:v>
                  </c:pt>
                  <c:pt idx="7">
                    <c:v>France</c:v>
                  </c:pt>
                  <c:pt idx="8">
                    <c:v>Germany</c:v>
                  </c:pt>
                  <c:pt idx="9">
                    <c:v>Italy</c:v>
                  </c:pt>
                  <c:pt idx="10">
                    <c:v>Canada</c:v>
                  </c:pt>
                  <c:pt idx="11">
                    <c:v>Brazil</c:v>
                  </c:pt>
                  <c:pt idx="12">
                    <c:v>New Zealand</c:v>
                  </c:pt>
                  <c:pt idx="13">
                    <c:v>Cuba</c:v>
                  </c:pt>
                  <c:pt idx="14">
                    <c:v>Hungary</c:v>
                  </c:pt>
                  <c:pt idx="15">
                    <c:v>South Korea</c:v>
                  </c:pt>
                  <c:pt idx="16">
                    <c:v>Poland</c:v>
                  </c:pt>
                  <c:pt idx="17">
                    <c:v>Czech Republic</c:v>
                  </c:pt>
                  <c:pt idx="18">
                    <c:v>Kenya</c:v>
                  </c:pt>
                  <c:pt idx="19">
                    <c:v>Norway</c:v>
                  </c:pt>
                  <c:pt idx="20">
                    <c:v>Jamaica</c:v>
                  </c:pt>
                  <c:pt idx="21">
                    <c:v>Spain</c:v>
                  </c:pt>
                  <c:pt idx="22">
                    <c:v>Sweden</c:v>
                  </c:pt>
                  <c:pt idx="23">
                    <c:v>Switzerland</c:v>
                  </c:pt>
                  <c:pt idx="24">
                    <c:v>Denmark</c:v>
                  </c:pt>
                  <c:pt idx="25">
                    <c:v>Croatia</c:v>
                  </c:pt>
                  <c:pt idx="26">
                    <c:v>Iran</c:v>
                  </c:pt>
                  <c:pt idx="27">
                    <c:v>Serbia</c:v>
                  </c:pt>
                  <c:pt idx="28">
                    <c:v>Belgium</c:v>
                  </c:pt>
                  <c:pt idx="29">
                    <c:v>Bulgaria</c:v>
                  </c:pt>
                  <c:pt idx="30">
                    <c:v>Slovenia</c:v>
                  </c:pt>
                  <c:pt idx="31">
                    <c:v>Uzbekistan</c:v>
                  </c:pt>
                  <c:pt idx="32">
                    <c:v>Georgia</c:v>
                  </c:pt>
                  <c:pt idx="33">
                    <c:v>Chinese Taipei</c:v>
                  </c:pt>
                  <c:pt idx="34">
                    <c:v>Turkey</c:v>
                  </c:pt>
                  <c:pt idx="35">
                    <c:v>Greece</c:v>
                  </c:pt>
                  <c:pt idx="36">
                    <c:v>Uganda</c:v>
                  </c:pt>
                  <c:pt idx="37">
                    <c:v>Ecuador</c:v>
                  </c:pt>
                  <c:pt idx="38">
                    <c:v>Ireland</c:v>
                  </c:pt>
                  <c:pt idx="39">
                    <c:v>Israel</c:v>
                  </c:pt>
                  <c:pt idx="40">
                    <c:v>Qatar</c:v>
                  </c:pt>
                  <c:pt idx="41">
                    <c:v>Bahamas</c:v>
                  </c:pt>
                  <c:pt idx="42">
                    <c:v>Kosovo</c:v>
                  </c:pt>
                  <c:pt idx="43">
                    <c:v>Ukraine</c:v>
                  </c:pt>
                  <c:pt idx="44">
                    <c:v>Belarus</c:v>
                  </c:pt>
                  <c:pt idx="45">
                    <c:v>Romania</c:v>
                  </c:pt>
                  <c:pt idx="46">
                    <c:v>Venezuela</c:v>
                  </c:pt>
                  <c:pt idx="47">
                    <c:v>India</c:v>
                  </c:pt>
                  <c:pt idx="48">
                    <c:v>Hong Kong</c:v>
                  </c:pt>
                  <c:pt idx="49">
                    <c:v>Philippines</c:v>
                  </c:pt>
                  <c:pt idx="50">
                    <c:v>Slovakia</c:v>
                  </c:pt>
                  <c:pt idx="51">
                    <c:v>South Africa</c:v>
                  </c:pt>
                  <c:pt idx="52">
                    <c:v>Austria</c:v>
                  </c:pt>
                  <c:pt idx="53">
                    <c:v>Egypt</c:v>
                  </c:pt>
                  <c:pt idx="54">
                    <c:v>Indonesia</c:v>
                  </c:pt>
                  <c:pt idx="55">
                    <c:v>Ethiopia</c:v>
                  </c:pt>
                  <c:pt idx="56">
                    <c:v>Portugal</c:v>
                  </c:pt>
                  <c:pt idx="57">
                    <c:v>Tunisia</c:v>
                  </c:pt>
                  <c:pt idx="58">
                    <c:v>Estonia</c:v>
                  </c:pt>
                  <c:pt idx="59">
                    <c:v>Fiji</c:v>
                  </c:pt>
                  <c:pt idx="60">
                    <c:v>Latvia</c:v>
                  </c:pt>
                  <c:pt idx="61">
                    <c:v>Thailand</c:v>
                  </c:pt>
                  <c:pt idx="62">
                    <c:v>Bermuda</c:v>
                  </c:pt>
                  <c:pt idx="63">
                    <c:v>Morocco</c:v>
                  </c:pt>
                  <c:pt idx="64">
                    <c:v>Puerto Rico</c:v>
                  </c:pt>
                  <c:pt idx="65">
                    <c:v>Colombia</c:v>
                  </c:pt>
                  <c:pt idx="66">
                    <c:v>Azerbaijan</c:v>
                  </c:pt>
                  <c:pt idx="67">
                    <c:v>Dominican Republic</c:v>
                  </c:pt>
                  <c:pt idx="68">
                    <c:v>Armenia</c:v>
                  </c:pt>
                  <c:pt idx="69">
                    <c:v>Kyrgyzstan</c:v>
                  </c:pt>
                  <c:pt idx="70">
                    <c:v>Mongolia</c:v>
                  </c:pt>
                  <c:pt idx="71">
                    <c:v>Argentina</c:v>
                  </c:pt>
                  <c:pt idx="72">
                    <c:v>San Marino</c:v>
                  </c:pt>
                  <c:pt idx="73">
                    <c:v>Jordan</c:v>
                  </c:pt>
                  <c:pt idx="74">
                    <c:v>Malaysia</c:v>
                  </c:pt>
                  <c:pt idx="75">
                    <c:v>Nigeria</c:v>
                  </c:pt>
                  <c:pt idx="76">
                    <c:v>Bahrain</c:v>
                  </c:pt>
                  <c:pt idx="77">
                    <c:v>Lithuania</c:v>
                  </c:pt>
                  <c:pt idx="78">
                    <c:v>Namibia</c:v>
                  </c:pt>
                  <c:pt idx="79">
                    <c:v>North Macedonia</c:v>
                  </c:pt>
                  <c:pt idx="80">
                    <c:v>Saudi Arabia</c:v>
                  </c:pt>
                  <c:pt idx="81">
                    <c:v>Turkmenistan</c:v>
                  </c:pt>
                  <c:pt idx="82">
                    <c:v>Kazakhstan</c:v>
                  </c:pt>
                  <c:pt idx="83">
                    <c:v>Mexico</c:v>
                  </c:pt>
                  <c:pt idx="84">
                    <c:v>Finland</c:v>
                  </c:pt>
                  <c:pt idx="85">
                    <c:v>Botswana</c:v>
                  </c:pt>
                  <c:pt idx="86">
                    <c:v>Burkina Faso</c:v>
                  </c:pt>
                  <c:pt idx="87">
                    <c:v>Ghana</c:v>
                  </c:pt>
                  <c:pt idx="88">
                    <c:v>Grenada</c:v>
                  </c:pt>
                  <c:pt idx="89">
                    <c:v>Ivory Coast</c:v>
                  </c:pt>
                  <c:pt idx="90">
                    <c:v>Kuwait</c:v>
                  </c:pt>
                  <c:pt idx="91">
                    <c:v>Moldova</c:v>
                  </c:pt>
                  <c:pt idx="92">
                    <c:v>Syria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36</c:v>
                  </c:pt>
                  <c:pt idx="37">
                    <c:v>38</c:v>
                  </c:pt>
                  <c:pt idx="38">
                    <c:v>39</c:v>
                  </c:pt>
                  <c:pt idx="39">
                    <c:v>39</c:v>
                  </c:pt>
                  <c:pt idx="40">
                    <c:v>41</c:v>
                  </c:pt>
                  <c:pt idx="41">
                    <c:v>42</c:v>
                  </c:pt>
                  <c:pt idx="42">
                    <c:v>42</c:v>
                  </c:pt>
                  <c:pt idx="43">
                    <c:v>44</c:v>
                  </c:pt>
                  <c:pt idx="44">
                    <c:v>45</c:v>
                  </c:pt>
                  <c:pt idx="45">
                    <c:v>46</c:v>
                  </c:pt>
                  <c:pt idx="46">
                    <c:v>46</c:v>
                  </c:pt>
                  <c:pt idx="47">
                    <c:v>48</c:v>
                  </c:pt>
                  <c:pt idx="48">
                    <c:v>49</c:v>
                  </c:pt>
                  <c:pt idx="49">
                    <c:v>50</c:v>
                  </c:pt>
                  <c:pt idx="50">
                    <c:v>50</c:v>
                  </c:pt>
                  <c:pt idx="51">
                    <c:v>52</c:v>
                  </c:pt>
                  <c:pt idx="52">
                    <c:v>53</c:v>
                  </c:pt>
                  <c:pt idx="53">
                    <c:v>54</c:v>
                  </c:pt>
                  <c:pt idx="54">
                    <c:v>55</c:v>
                  </c:pt>
                  <c:pt idx="55">
                    <c:v>56</c:v>
                  </c:pt>
                  <c:pt idx="56">
                    <c:v>56</c:v>
                  </c:pt>
                  <c:pt idx="57">
                    <c:v>58</c:v>
                  </c:pt>
                  <c:pt idx="58">
                    <c:v>59</c:v>
                  </c:pt>
                  <c:pt idx="59">
                    <c:v>59</c:v>
                  </c:pt>
                  <c:pt idx="60">
                    <c:v>59</c:v>
                  </c:pt>
                  <c:pt idx="61">
                    <c:v>59</c:v>
                  </c:pt>
                  <c:pt idx="62">
                    <c:v>63</c:v>
                  </c:pt>
                  <c:pt idx="63">
                    <c:v>63</c:v>
                  </c:pt>
                  <c:pt idx="64">
                    <c:v>63</c:v>
                  </c:pt>
                  <c:pt idx="65">
                    <c:v>66</c:v>
                  </c:pt>
                  <c:pt idx="66">
                    <c:v>67</c:v>
                  </c:pt>
                  <c:pt idx="67">
                    <c:v>68</c:v>
                  </c:pt>
                  <c:pt idx="68">
                    <c:v>69</c:v>
                  </c:pt>
                  <c:pt idx="69">
                    <c:v>70</c:v>
                  </c:pt>
                  <c:pt idx="70">
                    <c:v>71</c:v>
                  </c:pt>
                  <c:pt idx="71">
                    <c:v>72</c:v>
                  </c:pt>
                  <c:pt idx="72">
                    <c:v>72</c:v>
                  </c:pt>
                  <c:pt idx="73">
                    <c:v>74</c:v>
                  </c:pt>
                  <c:pt idx="74">
                    <c:v>74</c:v>
                  </c:pt>
                  <c:pt idx="75">
                    <c:v>74</c:v>
                  </c:pt>
                  <c:pt idx="76">
                    <c:v>77</c:v>
                  </c:pt>
                  <c:pt idx="77">
                    <c:v>77</c:v>
                  </c:pt>
                  <c:pt idx="78">
                    <c:v>77</c:v>
                  </c:pt>
                  <c:pt idx="79">
                    <c:v>77</c:v>
                  </c:pt>
                  <c:pt idx="80">
                    <c:v>77</c:v>
                  </c:pt>
                  <c:pt idx="81">
                    <c:v>77</c:v>
                  </c:pt>
                  <c:pt idx="82">
                    <c:v>83</c:v>
                  </c:pt>
                  <c:pt idx="83">
                    <c:v>84</c:v>
                  </c:pt>
                  <c:pt idx="84">
                    <c:v>85</c:v>
                  </c:pt>
                  <c:pt idx="85">
                    <c:v>86</c:v>
                  </c:pt>
                  <c:pt idx="86">
                    <c:v>86</c:v>
                  </c:pt>
                  <c:pt idx="87">
                    <c:v>86</c:v>
                  </c:pt>
                  <c:pt idx="88">
                    <c:v>86</c:v>
                  </c:pt>
                  <c:pt idx="89">
                    <c:v>86</c:v>
                  </c:pt>
                  <c:pt idx="90">
                    <c:v>86</c:v>
                  </c:pt>
                  <c:pt idx="91">
                    <c:v>86</c:v>
                  </c:pt>
                  <c:pt idx="92">
                    <c:v>86</c:v>
                  </c:pt>
                </c:lvl>
              </c:multiLvlStrCache>
            </c:multiLvlStrRef>
          </c:cat>
          <c:val>
            <c:numRef>
              <c:f>'Weblink to Power Query'!$F$6:$F$98</c:f>
              <c:numCache>
                <c:formatCode>General</c:formatCode>
                <c:ptCount val="93"/>
                <c:pt idx="0">
                  <c:v>113</c:v>
                </c:pt>
                <c:pt idx="1">
                  <c:v>89</c:v>
                </c:pt>
                <c:pt idx="2">
                  <c:v>58</c:v>
                </c:pt>
                <c:pt idx="3">
                  <c:v>64</c:v>
                </c:pt>
                <c:pt idx="4">
                  <c:v>71</c:v>
                </c:pt>
                <c:pt idx="5">
                  <c:v>46</c:v>
                </c:pt>
                <c:pt idx="6">
                  <c:v>36</c:v>
                </c:pt>
                <c:pt idx="7">
                  <c:v>33</c:v>
                </c:pt>
                <c:pt idx="8">
                  <c:v>37</c:v>
                </c:pt>
                <c:pt idx="9">
                  <c:v>40</c:v>
                </c:pt>
                <c:pt idx="10">
                  <c:v>24</c:v>
                </c:pt>
                <c:pt idx="11">
                  <c:v>21</c:v>
                </c:pt>
                <c:pt idx="12">
                  <c:v>20</c:v>
                </c:pt>
                <c:pt idx="13">
                  <c:v>15</c:v>
                </c:pt>
                <c:pt idx="14">
                  <c:v>20</c:v>
                </c:pt>
                <c:pt idx="15">
                  <c:v>20</c:v>
                </c:pt>
                <c:pt idx="16">
                  <c:v>14</c:v>
                </c:pt>
                <c:pt idx="17">
                  <c:v>11</c:v>
                </c:pt>
                <c:pt idx="18">
                  <c:v>10</c:v>
                </c:pt>
                <c:pt idx="19">
                  <c:v>8</c:v>
                </c:pt>
                <c:pt idx="20">
                  <c:v>9</c:v>
                </c:pt>
                <c:pt idx="21">
                  <c:v>17</c:v>
                </c:pt>
                <c:pt idx="22">
                  <c:v>9</c:v>
                </c:pt>
                <c:pt idx="23">
                  <c:v>13</c:v>
                </c:pt>
                <c:pt idx="24">
                  <c:v>11</c:v>
                </c:pt>
                <c:pt idx="25">
                  <c:v>8</c:v>
                </c:pt>
                <c:pt idx="26">
                  <c:v>7</c:v>
                </c:pt>
                <c:pt idx="27">
                  <c:v>9</c:v>
                </c:pt>
                <c:pt idx="28">
                  <c:v>7</c:v>
                </c:pt>
                <c:pt idx="29">
                  <c:v>6</c:v>
                </c:pt>
                <c:pt idx="30">
                  <c:v>5</c:v>
                </c:pt>
                <c:pt idx="31">
                  <c:v>5</c:v>
                </c:pt>
                <c:pt idx="32">
                  <c:v>8</c:v>
                </c:pt>
                <c:pt idx="33">
                  <c:v>12</c:v>
                </c:pt>
                <c:pt idx="34">
                  <c:v>13</c:v>
                </c:pt>
                <c:pt idx="35">
                  <c:v>4</c:v>
                </c:pt>
                <c:pt idx="36">
                  <c:v>4</c:v>
                </c:pt>
                <c:pt idx="37">
                  <c:v>3</c:v>
                </c:pt>
                <c:pt idx="38">
                  <c:v>4</c:v>
                </c:pt>
                <c:pt idx="39">
                  <c:v>4</c:v>
                </c:pt>
                <c:pt idx="40">
                  <c:v>3</c:v>
                </c:pt>
                <c:pt idx="41">
                  <c:v>2</c:v>
                </c:pt>
                <c:pt idx="42">
                  <c:v>2</c:v>
                </c:pt>
                <c:pt idx="43">
                  <c:v>19</c:v>
                </c:pt>
                <c:pt idx="44">
                  <c:v>7</c:v>
                </c:pt>
                <c:pt idx="45">
                  <c:v>4</c:v>
                </c:pt>
                <c:pt idx="46">
                  <c:v>4</c:v>
                </c:pt>
                <c:pt idx="47">
                  <c:v>7</c:v>
                </c:pt>
                <c:pt idx="48">
                  <c:v>6</c:v>
                </c:pt>
                <c:pt idx="49">
                  <c:v>4</c:v>
                </c:pt>
                <c:pt idx="50">
                  <c:v>4</c:v>
                </c:pt>
                <c:pt idx="51">
                  <c:v>3</c:v>
                </c:pt>
                <c:pt idx="52">
                  <c:v>7</c:v>
                </c:pt>
                <c:pt idx="53">
                  <c:v>6</c:v>
                </c:pt>
                <c:pt idx="54">
                  <c:v>5</c:v>
                </c:pt>
                <c:pt idx="55">
                  <c:v>4</c:v>
                </c:pt>
                <c:pt idx="56">
                  <c:v>4</c:v>
                </c:pt>
                <c:pt idx="57">
                  <c:v>2</c:v>
                </c:pt>
                <c:pt idx="58">
                  <c:v>2</c:v>
                </c:pt>
                <c:pt idx="59">
                  <c:v>2</c:v>
                </c:pt>
                <c:pt idx="60">
                  <c:v>2</c:v>
                </c:pt>
                <c:pt idx="61">
                  <c:v>2</c:v>
                </c:pt>
                <c:pt idx="62">
                  <c:v>1</c:v>
                </c:pt>
                <c:pt idx="63">
                  <c:v>1</c:v>
                </c:pt>
                <c:pt idx="64">
                  <c:v>1</c:v>
                </c:pt>
                <c:pt idx="65">
                  <c:v>5</c:v>
                </c:pt>
                <c:pt idx="66">
                  <c:v>7</c:v>
                </c:pt>
                <c:pt idx="67">
                  <c:v>5</c:v>
                </c:pt>
                <c:pt idx="68">
                  <c:v>4</c:v>
                </c:pt>
                <c:pt idx="69">
                  <c:v>3</c:v>
                </c:pt>
                <c:pt idx="70">
                  <c:v>4</c:v>
                </c:pt>
                <c:pt idx="71">
                  <c:v>3</c:v>
                </c:pt>
                <c:pt idx="72">
                  <c:v>3</c:v>
                </c:pt>
                <c:pt idx="73">
                  <c:v>2</c:v>
                </c:pt>
                <c:pt idx="74">
                  <c:v>2</c:v>
                </c:pt>
                <c:pt idx="75">
                  <c:v>2</c:v>
                </c:pt>
                <c:pt idx="76">
                  <c:v>1</c:v>
                </c:pt>
                <c:pt idx="77">
                  <c:v>1</c:v>
                </c:pt>
                <c:pt idx="78">
                  <c:v>1</c:v>
                </c:pt>
                <c:pt idx="79">
                  <c:v>1</c:v>
                </c:pt>
                <c:pt idx="80">
                  <c:v>1</c:v>
                </c:pt>
                <c:pt idx="81">
                  <c:v>1</c:v>
                </c:pt>
                <c:pt idx="82">
                  <c:v>8</c:v>
                </c:pt>
                <c:pt idx="83">
                  <c:v>4</c:v>
                </c:pt>
                <c:pt idx="84">
                  <c:v>2</c:v>
                </c:pt>
                <c:pt idx="85">
                  <c:v>1</c:v>
                </c:pt>
                <c:pt idx="86">
                  <c:v>1</c:v>
                </c:pt>
                <c:pt idx="87">
                  <c:v>1</c:v>
                </c:pt>
                <c:pt idx="88">
                  <c:v>1</c:v>
                </c:pt>
                <c:pt idx="89">
                  <c:v>1</c:v>
                </c:pt>
                <c:pt idx="90">
                  <c:v>1</c:v>
                </c:pt>
                <c:pt idx="91">
                  <c:v>1</c:v>
                </c:pt>
                <c:pt idx="92">
                  <c:v>1</c:v>
                </c:pt>
              </c:numCache>
            </c:numRef>
          </c:val>
          <c:extLst>
            <c:ext xmlns:c16="http://schemas.microsoft.com/office/drawing/2014/chart" uri="{C3380CC4-5D6E-409C-BE32-E72D297353CC}">
              <c16:uniqueId val="{00000003-D095-4FFD-83A1-CC487D831251}"/>
            </c:ext>
          </c:extLst>
        </c:ser>
        <c:ser>
          <c:idx val="4"/>
          <c:order val="4"/>
          <c:tx>
            <c:strRef>
              <c:f>'Weblink to Power Query'!$G$5</c:f>
              <c:strCache>
                <c:ptCount val="1"/>
                <c:pt idx="0">
                  <c:v>Subtraction</c:v>
                </c:pt>
              </c:strCache>
            </c:strRef>
          </c:tx>
          <c:spPr>
            <a:solidFill>
              <a:schemeClr val="accent5"/>
            </a:solidFill>
            <a:ln>
              <a:noFill/>
            </a:ln>
            <a:effectLst/>
          </c:spPr>
          <c:invertIfNegative val="0"/>
          <c:cat>
            <c:multiLvlStrRef>
              <c:f>'Weblink to Power Query'!$A$6:$B$98</c:f>
              <c:multiLvlStrCache>
                <c:ptCount val="93"/>
                <c:lvl>
                  <c:pt idx="0">
                    <c:v>United States</c:v>
                  </c:pt>
                  <c:pt idx="1">
                    <c:v>China</c:v>
                  </c:pt>
                  <c:pt idx="2">
                    <c:v>Japan</c:v>
                  </c:pt>
                  <c:pt idx="3">
                    <c:v>Great Britain</c:v>
                  </c:pt>
                  <c:pt idx="4">
                    <c:v>ROC</c:v>
                  </c:pt>
                  <c:pt idx="5">
                    <c:v>Australia</c:v>
                  </c:pt>
                  <c:pt idx="6">
                    <c:v>Netherlands</c:v>
                  </c:pt>
                  <c:pt idx="7">
                    <c:v>France</c:v>
                  </c:pt>
                  <c:pt idx="8">
                    <c:v>Germany</c:v>
                  </c:pt>
                  <c:pt idx="9">
                    <c:v>Italy</c:v>
                  </c:pt>
                  <c:pt idx="10">
                    <c:v>Canada</c:v>
                  </c:pt>
                  <c:pt idx="11">
                    <c:v>Brazil</c:v>
                  </c:pt>
                  <c:pt idx="12">
                    <c:v>New Zealand</c:v>
                  </c:pt>
                  <c:pt idx="13">
                    <c:v>Cuba</c:v>
                  </c:pt>
                  <c:pt idx="14">
                    <c:v>Hungary</c:v>
                  </c:pt>
                  <c:pt idx="15">
                    <c:v>South Korea</c:v>
                  </c:pt>
                  <c:pt idx="16">
                    <c:v>Poland</c:v>
                  </c:pt>
                  <c:pt idx="17">
                    <c:v>Czech Republic</c:v>
                  </c:pt>
                  <c:pt idx="18">
                    <c:v>Kenya</c:v>
                  </c:pt>
                  <c:pt idx="19">
                    <c:v>Norway</c:v>
                  </c:pt>
                  <c:pt idx="20">
                    <c:v>Jamaica</c:v>
                  </c:pt>
                  <c:pt idx="21">
                    <c:v>Spain</c:v>
                  </c:pt>
                  <c:pt idx="22">
                    <c:v>Sweden</c:v>
                  </c:pt>
                  <c:pt idx="23">
                    <c:v>Switzerland</c:v>
                  </c:pt>
                  <c:pt idx="24">
                    <c:v>Denmark</c:v>
                  </c:pt>
                  <c:pt idx="25">
                    <c:v>Croatia</c:v>
                  </c:pt>
                  <c:pt idx="26">
                    <c:v>Iran</c:v>
                  </c:pt>
                  <c:pt idx="27">
                    <c:v>Serbia</c:v>
                  </c:pt>
                  <c:pt idx="28">
                    <c:v>Belgium</c:v>
                  </c:pt>
                  <c:pt idx="29">
                    <c:v>Bulgaria</c:v>
                  </c:pt>
                  <c:pt idx="30">
                    <c:v>Slovenia</c:v>
                  </c:pt>
                  <c:pt idx="31">
                    <c:v>Uzbekistan</c:v>
                  </c:pt>
                  <c:pt idx="32">
                    <c:v>Georgia</c:v>
                  </c:pt>
                  <c:pt idx="33">
                    <c:v>Chinese Taipei</c:v>
                  </c:pt>
                  <c:pt idx="34">
                    <c:v>Turkey</c:v>
                  </c:pt>
                  <c:pt idx="35">
                    <c:v>Greece</c:v>
                  </c:pt>
                  <c:pt idx="36">
                    <c:v>Uganda</c:v>
                  </c:pt>
                  <c:pt idx="37">
                    <c:v>Ecuador</c:v>
                  </c:pt>
                  <c:pt idx="38">
                    <c:v>Ireland</c:v>
                  </c:pt>
                  <c:pt idx="39">
                    <c:v>Israel</c:v>
                  </c:pt>
                  <c:pt idx="40">
                    <c:v>Qatar</c:v>
                  </c:pt>
                  <c:pt idx="41">
                    <c:v>Bahamas</c:v>
                  </c:pt>
                  <c:pt idx="42">
                    <c:v>Kosovo</c:v>
                  </c:pt>
                  <c:pt idx="43">
                    <c:v>Ukraine</c:v>
                  </c:pt>
                  <c:pt idx="44">
                    <c:v>Belarus</c:v>
                  </c:pt>
                  <c:pt idx="45">
                    <c:v>Romania</c:v>
                  </c:pt>
                  <c:pt idx="46">
                    <c:v>Venezuela</c:v>
                  </c:pt>
                  <c:pt idx="47">
                    <c:v>India</c:v>
                  </c:pt>
                  <c:pt idx="48">
                    <c:v>Hong Kong</c:v>
                  </c:pt>
                  <c:pt idx="49">
                    <c:v>Philippines</c:v>
                  </c:pt>
                  <c:pt idx="50">
                    <c:v>Slovakia</c:v>
                  </c:pt>
                  <c:pt idx="51">
                    <c:v>South Africa</c:v>
                  </c:pt>
                  <c:pt idx="52">
                    <c:v>Austria</c:v>
                  </c:pt>
                  <c:pt idx="53">
                    <c:v>Egypt</c:v>
                  </c:pt>
                  <c:pt idx="54">
                    <c:v>Indonesia</c:v>
                  </c:pt>
                  <c:pt idx="55">
                    <c:v>Ethiopia</c:v>
                  </c:pt>
                  <c:pt idx="56">
                    <c:v>Portugal</c:v>
                  </c:pt>
                  <c:pt idx="57">
                    <c:v>Tunisia</c:v>
                  </c:pt>
                  <c:pt idx="58">
                    <c:v>Estonia</c:v>
                  </c:pt>
                  <c:pt idx="59">
                    <c:v>Fiji</c:v>
                  </c:pt>
                  <c:pt idx="60">
                    <c:v>Latvia</c:v>
                  </c:pt>
                  <c:pt idx="61">
                    <c:v>Thailand</c:v>
                  </c:pt>
                  <c:pt idx="62">
                    <c:v>Bermuda</c:v>
                  </c:pt>
                  <c:pt idx="63">
                    <c:v>Morocco</c:v>
                  </c:pt>
                  <c:pt idx="64">
                    <c:v>Puerto Rico</c:v>
                  </c:pt>
                  <c:pt idx="65">
                    <c:v>Colombia</c:v>
                  </c:pt>
                  <c:pt idx="66">
                    <c:v>Azerbaijan</c:v>
                  </c:pt>
                  <c:pt idx="67">
                    <c:v>Dominican Republic</c:v>
                  </c:pt>
                  <c:pt idx="68">
                    <c:v>Armenia</c:v>
                  </c:pt>
                  <c:pt idx="69">
                    <c:v>Kyrgyzstan</c:v>
                  </c:pt>
                  <c:pt idx="70">
                    <c:v>Mongolia</c:v>
                  </c:pt>
                  <c:pt idx="71">
                    <c:v>Argentina</c:v>
                  </c:pt>
                  <c:pt idx="72">
                    <c:v>San Marino</c:v>
                  </c:pt>
                  <c:pt idx="73">
                    <c:v>Jordan</c:v>
                  </c:pt>
                  <c:pt idx="74">
                    <c:v>Malaysia</c:v>
                  </c:pt>
                  <c:pt idx="75">
                    <c:v>Nigeria</c:v>
                  </c:pt>
                  <c:pt idx="76">
                    <c:v>Bahrain</c:v>
                  </c:pt>
                  <c:pt idx="77">
                    <c:v>Lithuania</c:v>
                  </c:pt>
                  <c:pt idx="78">
                    <c:v>Namibia</c:v>
                  </c:pt>
                  <c:pt idx="79">
                    <c:v>North Macedonia</c:v>
                  </c:pt>
                  <c:pt idx="80">
                    <c:v>Saudi Arabia</c:v>
                  </c:pt>
                  <c:pt idx="81">
                    <c:v>Turkmenistan</c:v>
                  </c:pt>
                  <c:pt idx="82">
                    <c:v>Kazakhstan</c:v>
                  </c:pt>
                  <c:pt idx="83">
                    <c:v>Mexico</c:v>
                  </c:pt>
                  <c:pt idx="84">
                    <c:v>Finland</c:v>
                  </c:pt>
                  <c:pt idx="85">
                    <c:v>Botswana</c:v>
                  </c:pt>
                  <c:pt idx="86">
                    <c:v>Burkina Faso</c:v>
                  </c:pt>
                  <c:pt idx="87">
                    <c:v>Ghana</c:v>
                  </c:pt>
                  <c:pt idx="88">
                    <c:v>Grenada</c:v>
                  </c:pt>
                  <c:pt idx="89">
                    <c:v>Ivory Coast</c:v>
                  </c:pt>
                  <c:pt idx="90">
                    <c:v>Kuwait</c:v>
                  </c:pt>
                  <c:pt idx="91">
                    <c:v>Moldova</c:v>
                  </c:pt>
                  <c:pt idx="92">
                    <c:v>Syria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36</c:v>
                  </c:pt>
                  <c:pt idx="37">
                    <c:v>38</c:v>
                  </c:pt>
                  <c:pt idx="38">
                    <c:v>39</c:v>
                  </c:pt>
                  <c:pt idx="39">
                    <c:v>39</c:v>
                  </c:pt>
                  <c:pt idx="40">
                    <c:v>41</c:v>
                  </c:pt>
                  <c:pt idx="41">
                    <c:v>42</c:v>
                  </c:pt>
                  <c:pt idx="42">
                    <c:v>42</c:v>
                  </c:pt>
                  <c:pt idx="43">
                    <c:v>44</c:v>
                  </c:pt>
                  <c:pt idx="44">
                    <c:v>45</c:v>
                  </c:pt>
                  <c:pt idx="45">
                    <c:v>46</c:v>
                  </c:pt>
                  <c:pt idx="46">
                    <c:v>46</c:v>
                  </c:pt>
                  <c:pt idx="47">
                    <c:v>48</c:v>
                  </c:pt>
                  <c:pt idx="48">
                    <c:v>49</c:v>
                  </c:pt>
                  <c:pt idx="49">
                    <c:v>50</c:v>
                  </c:pt>
                  <c:pt idx="50">
                    <c:v>50</c:v>
                  </c:pt>
                  <c:pt idx="51">
                    <c:v>52</c:v>
                  </c:pt>
                  <c:pt idx="52">
                    <c:v>53</c:v>
                  </c:pt>
                  <c:pt idx="53">
                    <c:v>54</c:v>
                  </c:pt>
                  <c:pt idx="54">
                    <c:v>55</c:v>
                  </c:pt>
                  <c:pt idx="55">
                    <c:v>56</c:v>
                  </c:pt>
                  <c:pt idx="56">
                    <c:v>56</c:v>
                  </c:pt>
                  <c:pt idx="57">
                    <c:v>58</c:v>
                  </c:pt>
                  <c:pt idx="58">
                    <c:v>59</c:v>
                  </c:pt>
                  <c:pt idx="59">
                    <c:v>59</c:v>
                  </c:pt>
                  <c:pt idx="60">
                    <c:v>59</c:v>
                  </c:pt>
                  <c:pt idx="61">
                    <c:v>59</c:v>
                  </c:pt>
                  <c:pt idx="62">
                    <c:v>63</c:v>
                  </c:pt>
                  <c:pt idx="63">
                    <c:v>63</c:v>
                  </c:pt>
                  <c:pt idx="64">
                    <c:v>63</c:v>
                  </c:pt>
                  <c:pt idx="65">
                    <c:v>66</c:v>
                  </c:pt>
                  <c:pt idx="66">
                    <c:v>67</c:v>
                  </c:pt>
                  <c:pt idx="67">
                    <c:v>68</c:v>
                  </c:pt>
                  <c:pt idx="68">
                    <c:v>69</c:v>
                  </c:pt>
                  <c:pt idx="69">
                    <c:v>70</c:v>
                  </c:pt>
                  <c:pt idx="70">
                    <c:v>71</c:v>
                  </c:pt>
                  <c:pt idx="71">
                    <c:v>72</c:v>
                  </c:pt>
                  <c:pt idx="72">
                    <c:v>72</c:v>
                  </c:pt>
                  <c:pt idx="73">
                    <c:v>74</c:v>
                  </c:pt>
                  <c:pt idx="74">
                    <c:v>74</c:v>
                  </c:pt>
                  <c:pt idx="75">
                    <c:v>74</c:v>
                  </c:pt>
                  <c:pt idx="76">
                    <c:v>77</c:v>
                  </c:pt>
                  <c:pt idx="77">
                    <c:v>77</c:v>
                  </c:pt>
                  <c:pt idx="78">
                    <c:v>77</c:v>
                  </c:pt>
                  <c:pt idx="79">
                    <c:v>77</c:v>
                  </c:pt>
                  <c:pt idx="80">
                    <c:v>77</c:v>
                  </c:pt>
                  <c:pt idx="81">
                    <c:v>77</c:v>
                  </c:pt>
                  <c:pt idx="82">
                    <c:v>83</c:v>
                  </c:pt>
                  <c:pt idx="83">
                    <c:v>84</c:v>
                  </c:pt>
                  <c:pt idx="84">
                    <c:v>85</c:v>
                  </c:pt>
                  <c:pt idx="85">
                    <c:v>86</c:v>
                  </c:pt>
                  <c:pt idx="86">
                    <c:v>86</c:v>
                  </c:pt>
                  <c:pt idx="87">
                    <c:v>86</c:v>
                  </c:pt>
                  <c:pt idx="88">
                    <c:v>86</c:v>
                  </c:pt>
                  <c:pt idx="89">
                    <c:v>86</c:v>
                  </c:pt>
                  <c:pt idx="90">
                    <c:v>86</c:v>
                  </c:pt>
                  <c:pt idx="91">
                    <c:v>86</c:v>
                  </c:pt>
                  <c:pt idx="92">
                    <c:v>86</c:v>
                  </c:pt>
                </c:lvl>
              </c:multiLvlStrCache>
            </c:multiLvlStrRef>
          </c:cat>
          <c:val>
            <c:numRef>
              <c:f>'Weblink to Power Query'!$G$6:$G$98</c:f>
              <c:numCache>
                <c:formatCode>General</c:formatCode>
                <c:ptCount val="93"/>
                <c:pt idx="0">
                  <c:v>74</c:v>
                </c:pt>
                <c:pt idx="1">
                  <c:v>51</c:v>
                </c:pt>
                <c:pt idx="2">
                  <c:v>31</c:v>
                </c:pt>
                <c:pt idx="3">
                  <c:v>42</c:v>
                </c:pt>
                <c:pt idx="4">
                  <c:v>51</c:v>
                </c:pt>
                <c:pt idx="5">
                  <c:v>29</c:v>
                </c:pt>
                <c:pt idx="6">
                  <c:v>26</c:v>
                </c:pt>
                <c:pt idx="7">
                  <c:v>23</c:v>
                </c:pt>
                <c:pt idx="8">
                  <c:v>27</c:v>
                </c:pt>
                <c:pt idx="9">
                  <c:v>30</c:v>
                </c:pt>
                <c:pt idx="10">
                  <c:v>17</c:v>
                </c:pt>
                <c:pt idx="11">
                  <c:v>14</c:v>
                </c:pt>
                <c:pt idx="12">
                  <c:v>13</c:v>
                </c:pt>
                <c:pt idx="13">
                  <c:v>8</c:v>
                </c:pt>
                <c:pt idx="14">
                  <c:v>14</c:v>
                </c:pt>
                <c:pt idx="15">
                  <c:v>14</c:v>
                </c:pt>
                <c:pt idx="16">
                  <c:v>10</c:v>
                </c:pt>
                <c:pt idx="17">
                  <c:v>7</c:v>
                </c:pt>
                <c:pt idx="18">
                  <c:v>6</c:v>
                </c:pt>
                <c:pt idx="19">
                  <c:v>4</c:v>
                </c:pt>
                <c:pt idx="20">
                  <c:v>5</c:v>
                </c:pt>
                <c:pt idx="21">
                  <c:v>14</c:v>
                </c:pt>
                <c:pt idx="22">
                  <c:v>6</c:v>
                </c:pt>
                <c:pt idx="23">
                  <c:v>10</c:v>
                </c:pt>
                <c:pt idx="24">
                  <c:v>8</c:v>
                </c:pt>
                <c:pt idx="25">
                  <c:v>5</c:v>
                </c:pt>
                <c:pt idx="26">
                  <c:v>4</c:v>
                </c:pt>
                <c:pt idx="27">
                  <c:v>6</c:v>
                </c:pt>
                <c:pt idx="28">
                  <c:v>4</c:v>
                </c:pt>
                <c:pt idx="29">
                  <c:v>3</c:v>
                </c:pt>
                <c:pt idx="30">
                  <c:v>2</c:v>
                </c:pt>
                <c:pt idx="31">
                  <c:v>2</c:v>
                </c:pt>
                <c:pt idx="32">
                  <c:v>6</c:v>
                </c:pt>
                <c:pt idx="33">
                  <c:v>10</c:v>
                </c:pt>
                <c:pt idx="34">
                  <c:v>11</c:v>
                </c:pt>
                <c:pt idx="35">
                  <c:v>2</c:v>
                </c:pt>
                <c:pt idx="36">
                  <c:v>2</c:v>
                </c:pt>
                <c:pt idx="37">
                  <c:v>1</c:v>
                </c:pt>
                <c:pt idx="38">
                  <c:v>2</c:v>
                </c:pt>
                <c:pt idx="39">
                  <c:v>2</c:v>
                </c:pt>
                <c:pt idx="40">
                  <c:v>1</c:v>
                </c:pt>
                <c:pt idx="41">
                  <c:v>0</c:v>
                </c:pt>
                <c:pt idx="42">
                  <c:v>0</c:v>
                </c:pt>
                <c:pt idx="43">
                  <c:v>18</c:v>
                </c:pt>
                <c:pt idx="44">
                  <c:v>6</c:v>
                </c:pt>
                <c:pt idx="45">
                  <c:v>3</c:v>
                </c:pt>
                <c:pt idx="46">
                  <c:v>3</c:v>
                </c:pt>
                <c:pt idx="47">
                  <c:v>6</c:v>
                </c:pt>
                <c:pt idx="48">
                  <c:v>5</c:v>
                </c:pt>
                <c:pt idx="49">
                  <c:v>3</c:v>
                </c:pt>
                <c:pt idx="50">
                  <c:v>3</c:v>
                </c:pt>
                <c:pt idx="51">
                  <c:v>2</c:v>
                </c:pt>
                <c:pt idx="52">
                  <c:v>6</c:v>
                </c:pt>
                <c:pt idx="53">
                  <c:v>5</c:v>
                </c:pt>
                <c:pt idx="54">
                  <c:v>4</c:v>
                </c:pt>
                <c:pt idx="55">
                  <c:v>3</c:v>
                </c:pt>
                <c:pt idx="56">
                  <c:v>3</c:v>
                </c:pt>
                <c:pt idx="57">
                  <c:v>1</c:v>
                </c:pt>
                <c:pt idx="58">
                  <c:v>1</c:v>
                </c:pt>
                <c:pt idx="59">
                  <c:v>1</c:v>
                </c:pt>
                <c:pt idx="60">
                  <c:v>1</c:v>
                </c:pt>
                <c:pt idx="61">
                  <c:v>1</c:v>
                </c:pt>
                <c:pt idx="62">
                  <c:v>0</c:v>
                </c:pt>
                <c:pt idx="63">
                  <c:v>0</c:v>
                </c:pt>
                <c:pt idx="64">
                  <c:v>0</c:v>
                </c:pt>
                <c:pt idx="65">
                  <c:v>5</c:v>
                </c:pt>
                <c:pt idx="66">
                  <c:v>7</c:v>
                </c:pt>
                <c:pt idx="67">
                  <c:v>5</c:v>
                </c:pt>
                <c:pt idx="68">
                  <c:v>4</c:v>
                </c:pt>
                <c:pt idx="69">
                  <c:v>3</c:v>
                </c:pt>
                <c:pt idx="70">
                  <c:v>4</c:v>
                </c:pt>
                <c:pt idx="71">
                  <c:v>3</c:v>
                </c:pt>
                <c:pt idx="72">
                  <c:v>3</c:v>
                </c:pt>
                <c:pt idx="73">
                  <c:v>2</c:v>
                </c:pt>
                <c:pt idx="74">
                  <c:v>2</c:v>
                </c:pt>
                <c:pt idx="75">
                  <c:v>2</c:v>
                </c:pt>
                <c:pt idx="76">
                  <c:v>1</c:v>
                </c:pt>
                <c:pt idx="77">
                  <c:v>1</c:v>
                </c:pt>
                <c:pt idx="78">
                  <c:v>1</c:v>
                </c:pt>
                <c:pt idx="79">
                  <c:v>1</c:v>
                </c:pt>
                <c:pt idx="80">
                  <c:v>1</c:v>
                </c:pt>
                <c:pt idx="81">
                  <c:v>1</c:v>
                </c:pt>
                <c:pt idx="82">
                  <c:v>8</c:v>
                </c:pt>
                <c:pt idx="83">
                  <c:v>4</c:v>
                </c:pt>
                <c:pt idx="84">
                  <c:v>2</c:v>
                </c:pt>
                <c:pt idx="85">
                  <c:v>1</c:v>
                </c:pt>
                <c:pt idx="86">
                  <c:v>1</c:v>
                </c:pt>
                <c:pt idx="87">
                  <c:v>1</c:v>
                </c:pt>
                <c:pt idx="88">
                  <c:v>1</c:v>
                </c:pt>
                <c:pt idx="89">
                  <c:v>1</c:v>
                </c:pt>
                <c:pt idx="90">
                  <c:v>1</c:v>
                </c:pt>
                <c:pt idx="91">
                  <c:v>1</c:v>
                </c:pt>
                <c:pt idx="92">
                  <c:v>1</c:v>
                </c:pt>
              </c:numCache>
            </c:numRef>
          </c:val>
          <c:extLst>
            <c:ext xmlns:c16="http://schemas.microsoft.com/office/drawing/2014/chart" uri="{C3380CC4-5D6E-409C-BE32-E72D297353CC}">
              <c16:uniqueId val="{00000004-D095-4FFD-83A1-CC487D831251}"/>
            </c:ext>
          </c:extLst>
        </c:ser>
        <c:dLbls>
          <c:showLegendKey val="0"/>
          <c:showVal val="0"/>
          <c:showCatName val="0"/>
          <c:showSerName val="0"/>
          <c:showPercent val="0"/>
          <c:showBubbleSize val="0"/>
        </c:dLbls>
        <c:gapWidth val="150"/>
        <c:overlap val="100"/>
        <c:axId val="777775455"/>
        <c:axId val="777776415"/>
      </c:barChart>
      <c:catAx>
        <c:axId val="77777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776415"/>
        <c:crosses val="autoZero"/>
        <c:auto val="1"/>
        <c:lblAlgn val="ctr"/>
        <c:lblOffset val="100"/>
        <c:noMultiLvlLbl val="0"/>
      </c:catAx>
      <c:valAx>
        <c:axId val="77777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775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4 Data Analysis.xlsx]PIVOT_FILTER!PivotTable4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PIVOT_FILTER!$B$3</c:f>
              <c:strCache>
                <c:ptCount val="1"/>
                <c:pt idx="0">
                  <c:v>Total</c:v>
                </c:pt>
              </c:strCache>
            </c:strRef>
          </c:tx>
          <c:spPr>
            <a:solidFill>
              <a:schemeClr val="accent1"/>
            </a:solidFill>
            <a:ln>
              <a:noFill/>
            </a:ln>
            <a:effectLst/>
          </c:spPr>
          <c:invertIfNegative val="0"/>
          <c:cat>
            <c:strRef>
              <c:f>PIVOT_FILTER!$A$4:$A$14</c:f>
              <c:strCache>
                <c:ptCount val="10"/>
                <c:pt idx="0">
                  <c:v>C0012</c:v>
                </c:pt>
                <c:pt idx="1">
                  <c:v>C0011</c:v>
                </c:pt>
                <c:pt idx="2">
                  <c:v>C0004</c:v>
                </c:pt>
                <c:pt idx="3">
                  <c:v>C0013</c:v>
                </c:pt>
                <c:pt idx="4">
                  <c:v>C0009</c:v>
                </c:pt>
                <c:pt idx="5">
                  <c:v>C0002</c:v>
                </c:pt>
                <c:pt idx="6">
                  <c:v>C0006</c:v>
                </c:pt>
                <c:pt idx="7">
                  <c:v>C0007</c:v>
                </c:pt>
                <c:pt idx="8">
                  <c:v>C0005</c:v>
                </c:pt>
                <c:pt idx="9">
                  <c:v>C0008</c:v>
                </c:pt>
              </c:strCache>
            </c:strRef>
          </c:cat>
          <c:val>
            <c:numRef>
              <c:f>PIVOT_FILTER!$B$4:$B$14</c:f>
              <c:numCache>
                <c:formatCode>"₹"\ #,##0.00</c:formatCode>
                <c:ptCount val="10"/>
                <c:pt idx="0">
                  <c:v>2070</c:v>
                </c:pt>
                <c:pt idx="1">
                  <c:v>1747</c:v>
                </c:pt>
                <c:pt idx="2">
                  <c:v>1722</c:v>
                </c:pt>
                <c:pt idx="3">
                  <c:v>1722</c:v>
                </c:pt>
                <c:pt idx="4">
                  <c:v>1566</c:v>
                </c:pt>
                <c:pt idx="5">
                  <c:v>1508</c:v>
                </c:pt>
                <c:pt idx="6">
                  <c:v>1484</c:v>
                </c:pt>
                <c:pt idx="7">
                  <c:v>1416</c:v>
                </c:pt>
                <c:pt idx="8">
                  <c:v>1196</c:v>
                </c:pt>
                <c:pt idx="9">
                  <c:v>1193</c:v>
                </c:pt>
              </c:numCache>
            </c:numRef>
          </c:val>
          <c:extLst>
            <c:ext xmlns:c16="http://schemas.microsoft.com/office/drawing/2014/chart" uri="{C3380CC4-5D6E-409C-BE32-E72D297353CC}">
              <c16:uniqueId val="{00000000-33BC-4512-9FC5-B744B9D6DDFB}"/>
            </c:ext>
          </c:extLst>
        </c:ser>
        <c:dLbls>
          <c:showLegendKey val="0"/>
          <c:showVal val="0"/>
          <c:showCatName val="0"/>
          <c:showSerName val="0"/>
          <c:showPercent val="0"/>
          <c:showBubbleSize val="0"/>
        </c:dLbls>
        <c:gapWidth val="219"/>
        <c:overlap val="-27"/>
        <c:axId val="1210071871"/>
        <c:axId val="1230686063"/>
      </c:barChart>
      <c:catAx>
        <c:axId val="121007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686063"/>
        <c:crosses val="autoZero"/>
        <c:auto val="1"/>
        <c:lblAlgn val="ctr"/>
        <c:lblOffset val="100"/>
        <c:noMultiLvlLbl val="0"/>
      </c:catAx>
      <c:valAx>
        <c:axId val="1230686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07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4 Data Analysis.xlsx]DATE_PIVOT!PivotTable8</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DATE_PIVOT!$B$4</c:f>
              <c:strCache>
                <c:ptCount val="1"/>
                <c:pt idx="0">
                  <c:v>Total</c:v>
                </c:pt>
              </c:strCache>
            </c:strRef>
          </c:tx>
          <c:spPr>
            <a:ln w="28575" cap="rnd">
              <a:solidFill>
                <a:schemeClr val="accent1"/>
              </a:solidFill>
              <a:round/>
            </a:ln>
            <a:effectLst/>
          </c:spPr>
          <c:marker>
            <c:symbol val="none"/>
          </c:marker>
          <c:cat>
            <c:strRef>
              <c:f>DATE_PIVOT!$A$5:$A$17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DATE_PIVOT!$B$5:$B$17</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7F82-4683-825C-FB891459DD01}"/>
            </c:ext>
          </c:extLst>
        </c:ser>
        <c:dLbls>
          <c:showLegendKey val="0"/>
          <c:showVal val="0"/>
          <c:showCatName val="0"/>
          <c:showSerName val="0"/>
          <c:showPercent val="0"/>
          <c:showBubbleSize val="0"/>
        </c:dLbls>
        <c:smooth val="0"/>
        <c:axId val="232193935"/>
        <c:axId val="232188655"/>
      </c:lineChart>
      <c:catAx>
        <c:axId val="23219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88655"/>
        <c:crosses val="autoZero"/>
        <c:auto val="1"/>
        <c:lblAlgn val="ctr"/>
        <c:lblOffset val="100"/>
        <c:noMultiLvlLbl val="0"/>
      </c:catAx>
      <c:valAx>
        <c:axId val="23218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9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4 Data Analysis.xlsx]DATE_PIVOT!PivotTable9</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3637306000257"/>
          <c:y val="0.25248102941287065"/>
          <c:w val="0.69217781426610769"/>
          <c:h val="0.52355624243244669"/>
        </c:manualLayout>
      </c:layout>
      <c:areaChart>
        <c:grouping val="standard"/>
        <c:varyColors val="0"/>
        <c:ser>
          <c:idx val="0"/>
          <c:order val="0"/>
          <c:tx>
            <c:strRef>
              <c:f>DATE_PIVOT!$B$25</c:f>
              <c:strCache>
                <c:ptCount val="1"/>
                <c:pt idx="0">
                  <c:v>Total</c:v>
                </c:pt>
              </c:strCache>
            </c:strRef>
          </c:tx>
          <c:spPr>
            <a:solidFill>
              <a:schemeClr val="accent1"/>
            </a:solidFill>
            <a:ln>
              <a:noFill/>
            </a:ln>
            <a:effectLst/>
          </c:spPr>
          <c:cat>
            <c:multiLvlStrRef>
              <c:f>DATE_PIVOT!$A$26:$A$40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DATE_PIVOT!$B$26:$B$40</c:f>
              <c:numCache>
                <c:formatCode>"₹"\ #,##0.00</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00C4-42E0-B1D4-B264D95BF8D5}"/>
            </c:ext>
          </c:extLst>
        </c:ser>
        <c:dLbls>
          <c:showLegendKey val="0"/>
          <c:showVal val="0"/>
          <c:showCatName val="0"/>
          <c:showSerName val="0"/>
          <c:showPercent val="0"/>
          <c:showBubbleSize val="0"/>
        </c:dLbls>
        <c:axId val="114887535"/>
        <c:axId val="114883215"/>
      </c:areaChart>
      <c:catAx>
        <c:axId val="114887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83215"/>
        <c:crosses val="autoZero"/>
        <c:auto val="1"/>
        <c:lblAlgn val="ctr"/>
        <c:lblOffset val="100"/>
        <c:noMultiLvlLbl val="0"/>
      </c:catAx>
      <c:valAx>
        <c:axId val="114883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875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4 Data Analysis.xlsx]DATE_PIVOT!PivotTable9</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DATE_PIVOT!$B$25</c:f>
              <c:strCache>
                <c:ptCount val="1"/>
                <c:pt idx="0">
                  <c:v>Total</c:v>
                </c:pt>
              </c:strCache>
            </c:strRef>
          </c:tx>
          <c:spPr>
            <a:solidFill>
              <a:schemeClr val="accent1"/>
            </a:solidFill>
            <a:ln>
              <a:noFill/>
            </a:ln>
            <a:effectLst/>
          </c:spPr>
          <c:invertIfNegative val="0"/>
          <c:cat>
            <c:multiLvlStrRef>
              <c:f>DATE_PIVOT!$A$26:$A$40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DATE_PIVOT!$B$26:$B$40</c:f>
              <c:numCache>
                <c:formatCode>"₹"\ #,##0.00</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56A2-44C8-B3F8-16384C53BB8A}"/>
            </c:ext>
          </c:extLst>
        </c:ser>
        <c:dLbls>
          <c:showLegendKey val="0"/>
          <c:showVal val="0"/>
          <c:showCatName val="0"/>
          <c:showSerName val="0"/>
          <c:showPercent val="0"/>
          <c:showBubbleSize val="0"/>
        </c:dLbls>
        <c:gapWidth val="219"/>
        <c:overlap val="-27"/>
        <c:axId val="1198937807"/>
        <c:axId val="1198941647"/>
      </c:barChart>
      <c:catAx>
        <c:axId val="119893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41647"/>
        <c:crosses val="autoZero"/>
        <c:auto val="1"/>
        <c:lblAlgn val="ctr"/>
        <c:lblOffset val="100"/>
        <c:noMultiLvlLbl val="0"/>
      </c:catAx>
      <c:valAx>
        <c:axId val="1198941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4 Data Analysis.xlsx]DURATION_RATING_PIVOT!PivotTable16</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DURATION_RATING_PIVOT!$B$13</c:f>
              <c:strCache>
                <c:ptCount val="1"/>
                <c:pt idx="0">
                  <c:v>Max of Purchase Amount</c:v>
                </c:pt>
              </c:strCache>
            </c:strRef>
          </c:tx>
          <c:spPr>
            <a:solidFill>
              <a:schemeClr val="accent1"/>
            </a:solidFill>
            <a:ln>
              <a:noFill/>
            </a:ln>
            <a:effectLst/>
          </c:spPr>
          <c:invertIfNegative val="0"/>
          <c:cat>
            <c:multiLvlStrRef>
              <c:f>DURATION_RATING_PIVOT!$A$14:$A$41</c:f>
              <c:multiLvlStrCache>
                <c:ptCount val="15"/>
                <c:lvl>
                  <c:pt idx="0">
                    <c:v>Call_8247</c:v>
                  </c:pt>
                  <c:pt idx="1">
                    <c:v>Call_8000</c:v>
                  </c:pt>
                  <c:pt idx="2">
                    <c:v>Call_7525</c:v>
                  </c:pt>
                  <c:pt idx="3">
                    <c:v>Call_7440</c:v>
                  </c:pt>
                  <c:pt idx="4">
                    <c:v>Call_7348</c:v>
                  </c:pt>
                  <c:pt idx="5">
                    <c:v>Call_7838</c:v>
                  </c:pt>
                  <c:pt idx="6">
                    <c:v>Call_7818</c:v>
                  </c:pt>
                  <c:pt idx="7">
                    <c:v>Call_7752</c:v>
                  </c:pt>
                  <c:pt idx="8">
                    <c:v>Call_7618</c:v>
                  </c:pt>
                  <c:pt idx="9">
                    <c:v>Call_7592</c:v>
                  </c:pt>
                  <c:pt idx="10">
                    <c:v>Call_7728</c:v>
                  </c:pt>
                  <c:pt idx="11">
                    <c:v>Call_7333</c:v>
                  </c:pt>
                  <c:pt idx="12">
                    <c:v>Call_7681</c:v>
                  </c:pt>
                  <c:pt idx="13">
                    <c:v>Call_7769</c:v>
                  </c:pt>
                  <c:pt idx="14">
                    <c:v>Call_7489</c:v>
                  </c:pt>
                </c:lvl>
                <c:lvl>
                  <c:pt idx="0">
                    <c:v>C0005</c:v>
                  </c:pt>
                  <c:pt idx="2">
                    <c:v>C0004</c:v>
                  </c:pt>
                  <c:pt idx="5">
                    <c:v>C0013</c:v>
                  </c:pt>
                  <c:pt idx="6">
                    <c:v>C0011</c:v>
                  </c:pt>
                  <c:pt idx="7">
                    <c:v>C0012</c:v>
                  </c:pt>
                  <c:pt idx="9">
                    <c:v>C0001</c:v>
                  </c:pt>
                  <c:pt idx="10">
                    <c:v>C0003</c:v>
                  </c:pt>
                  <c:pt idx="11">
                    <c:v>C0015</c:v>
                  </c:pt>
                  <c:pt idx="12">
                    <c:v>C0010</c:v>
                  </c:pt>
                  <c:pt idx="13">
                    <c:v>C0009</c:v>
                  </c:pt>
                  <c:pt idx="14">
                    <c:v>C0002</c:v>
                  </c:pt>
                </c:lvl>
                <c:lvl>
                  <c:pt idx="0">
                    <c:v>R03</c:v>
                  </c:pt>
                </c:lvl>
              </c:multiLvlStrCache>
            </c:multiLvlStrRef>
          </c:cat>
          <c:val>
            <c:numRef>
              <c:f>DURATION_RATING_PIVOT!$B$14:$B$41</c:f>
              <c:numCache>
                <c:formatCode>General</c:formatCode>
                <c:ptCount val="15"/>
                <c:pt idx="0">
                  <c:v>180</c:v>
                </c:pt>
                <c:pt idx="1">
                  <c:v>108</c:v>
                </c:pt>
                <c:pt idx="2">
                  <c:v>148</c:v>
                </c:pt>
                <c:pt idx="3">
                  <c:v>128</c:v>
                </c:pt>
                <c:pt idx="4">
                  <c:v>23</c:v>
                </c:pt>
                <c:pt idx="5">
                  <c:v>136</c:v>
                </c:pt>
                <c:pt idx="6">
                  <c:v>120</c:v>
                </c:pt>
                <c:pt idx="7">
                  <c:v>115</c:v>
                </c:pt>
                <c:pt idx="8">
                  <c:v>23</c:v>
                </c:pt>
                <c:pt idx="9">
                  <c:v>114</c:v>
                </c:pt>
                <c:pt idx="10">
                  <c:v>105</c:v>
                </c:pt>
                <c:pt idx="11">
                  <c:v>96</c:v>
                </c:pt>
                <c:pt idx="12">
                  <c:v>41</c:v>
                </c:pt>
                <c:pt idx="13">
                  <c:v>40</c:v>
                </c:pt>
                <c:pt idx="14">
                  <c:v>32</c:v>
                </c:pt>
              </c:numCache>
            </c:numRef>
          </c:val>
          <c:extLst>
            <c:ext xmlns:c16="http://schemas.microsoft.com/office/drawing/2014/chart" uri="{C3380CC4-5D6E-409C-BE32-E72D297353CC}">
              <c16:uniqueId val="{00000000-2D00-4851-BB3E-74C26FB04FCD}"/>
            </c:ext>
          </c:extLst>
        </c:ser>
        <c:ser>
          <c:idx val="1"/>
          <c:order val="1"/>
          <c:tx>
            <c:strRef>
              <c:f>DURATION_RATING_PIVOT!$C$13</c:f>
              <c:strCache>
                <c:ptCount val="1"/>
                <c:pt idx="0">
                  <c:v>Sum of Satisfaction Rating</c:v>
                </c:pt>
              </c:strCache>
            </c:strRef>
          </c:tx>
          <c:spPr>
            <a:solidFill>
              <a:schemeClr val="accent2"/>
            </a:solidFill>
            <a:ln>
              <a:noFill/>
            </a:ln>
            <a:effectLst/>
          </c:spPr>
          <c:invertIfNegative val="0"/>
          <c:cat>
            <c:multiLvlStrRef>
              <c:f>DURATION_RATING_PIVOT!$A$14:$A$41</c:f>
              <c:multiLvlStrCache>
                <c:ptCount val="15"/>
                <c:lvl>
                  <c:pt idx="0">
                    <c:v>Call_8247</c:v>
                  </c:pt>
                  <c:pt idx="1">
                    <c:v>Call_8000</c:v>
                  </c:pt>
                  <c:pt idx="2">
                    <c:v>Call_7525</c:v>
                  </c:pt>
                  <c:pt idx="3">
                    <c:v>Call_7440</c:v>
                  </c:pt>
                  <c:pt idx="4">
                    <c:v>Call_7348</c:v>
                  </c:pt>
                  <c:pt idx="5">
                    <c:v>Call_7838</c:v>
                  </c:pt>
                  <c:pt idx="6">
                    <c:v>Call_7818</c:v>
                  </c:pt>
                  <c:pt idx="7">
                    <c:v>Call_7752</c:v>
                  </c:pt>
                  <c:pt idx="8">
                    <c:v>Call_7618</c:v>
                  </c:pt>
                  <c:pt idx="9">
                    <c:v>Call_7592</c:v>
                  </c:pt>
                  <c:pt idx="10">
                    <c:v>Call_7728</c:v>
                  </c:pt>
                  <c:pt idx="11">
                    <c:v>Call_7333</c:v>
                  </c:pt>
                  <c:pt idx="12">
                    <c:v>Call_7681</c:v>
                  </c:pt>
                  <c:pt idx="13">
                    <c:v>Call_7769</c:v>
                  </c:pt>
                  <c:pt idx="14">
                    <c:v>Call_7489</c:v>
                  </c:pt>
                </c:lvl>
                <c:lvl>
                  <c:pt idx="0">
                    <c:v>C0005</c:v>
                  </c:pt>
                  <c:pt idx="2">
                    <c:v>C0004</c:v>
                  </c:pt>
                  <c:pt idx="5">
                    <c:v>C0013</c:v>
                  </c:pt>
                  <c:pt idx="6">
                    <c:v>C0011</c:v>
                  </c:pt>
                  <c:pt idx="7">
                    <c:v>C0012</c:v>
                  </c:pt>
                  <c:pt idx="9">
                    <c:v>C0001</c:v>
                  </c:pt>
                  <c:pt idx="10">
                    <c:v>C0003</c:v>
                  </c:pt>
                  <c:pt idx="11">
                    <c:v>C0015</c:v>
                  </c:pt>
                  <c:pt idx="12">
                    <c:v>C0010</c:v>
                  </c:pt>
                  <c:pt idx="13">
                    <c:v>C0009</c:v>
                  </c:pt>
                  <c:pt idx="14">
                    <c:v>C0002</c:v>
                  </c:pt>
                </c:lvl>
                <c:lvl>
                  <c:pt idx="0">
                    <c:v>R03</c:v>
                  </c:pt>
                </c:lvl>
              </c:multiLvlStrCache>
            </c:multiLvlStrRef>
          </c:cat>
          <c:val>
            <c:numRef>
              <c:f>DURATION_RATING_PIVOT!$C$14:$C$41</c:f>
              <c:numCache>
                <c:formatCode>General</c:formatCode>
                <c:ptCount val="15"/>
                <c:pt idx="0">
                  <c:v>4.9000000000000004</c:v>
                </c:pt>
                <c:pt idx="1">
                  <c:v>4.9000000000000004</c:v>
                </c:pt>
                <c:pt idx="2">
                  <c:v>5</c:v>
                </c:pt>
                <c:pt idx="3">
                  <c:v>5</c:v>
                </c:pt>
                <c:pt idx="4">
                  <c:v>4.9000000000000004</c:v>
                </c:pt>
                <c:pt idx="5">
                  <c:v>5</c:v>
                </c:pt>
                <c:pt idx="6">
                  <c:v>5</c:v>
                </c:pt>
                <c:pt idx="7">
                  <c:v>4.9000000000000004</c:v>
                </c:pt>
                <c:pt idx="8">
                  <c:v>4.9000000000000004</c:v>
                </c:pt>
                <c:pt idx="9">
                  <c:v>5</c:v>
                </c:pt>
                <c:pt idx="10">
                  <c:v>4.9000000000000004</c:v>
                </c:pt>
                <c:pt idx="11">
                  <c:v>5</c:v>
                </c:pt>
                <c:pt idx="12">
                  <c:v>4.9000000000000004</c:v>
                </c:pt>
                <c:pt idx="13">
                  <c:v>4.9000000000000004</c:v>
                </c:pt>
                <c:pt idx="14">
                  <c:v>4.9000000000000004</c:v>
                </c:pt>
              </c:numCache>
            </c:numRef>
          </c:val>
          <c:extLst>
            <c:ext xmlns:c16="http://schemas.microsoft.com/office/drawing/2014/chart" uri="{C3380CC4-5D6E-409C-BE32-E72D297353CC}">
              <c16:uniqueId val="{00000001-2D00-4851-BB3E-74C26FB04FCD}"/>
            </c:ext>
          </c:extLst>
        </c:ser>
        <c:dLbls>
          <c:showLegendKey val="0"/>
          <c:showVal val="0"/>
          <c:showCatName val="0"/>
          <c:showSerName val="0"/>
          <c:showPercent val="0"/>
          <c:showBubbleSize val="0"/>
        </c:dLbls>
        <c:gapWidth val="219"/>
        <c:overlap val="-27"/>
        <c:axId val="180152383"/>
        <c:axId val="180149023"/>
      </c:barChart>
      <c:catAx>
        <c:axId val="18015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49023"/>
        <c:crosses val="autoZero"/>
        <c:auto val="1"/>
        <c:lblAlgn val="ctr"/>
        <c:lblOffset val="100"/>
        <c:noMultiLvlLbl val="0"/>
      </c:catAx>
      <c:valAx>
        <c:axId val="18014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510540</xdr:colOff>
      <xdr:row>27</xdr:row>
      <xdr:rowOff>143826</xdr:rowOff>
    </xdr:to>
    <xdr:pic>
      <xdr:nvPicPr>
        <xdr:cNvPr id="2" name="Picture 1">
          <a:extLst>
            <a:ext uri="{FF2B5EF4-FFF2-40B4-BE49-F238E27FC236}">
              <a16:creationId xmlns:a16="http://schemas.microsoft.com/office/drawing/2014/main" id="{5AB386F1-293F-4142-8A8A-C98156F49D14}"/>
            </a:ext>
          </a:extLst>
        </xdr:cNvPr>
        <xdr:cNvPicPr>
          <a:picLocks noChangeAspect="1"/>
        </xdr:cNvPicPr>
      </xdr:nvPicPr>
      <xdr:blipFill>
        <a:blip xmlns:r="http://schemas.openxmlformats.org/officeDocument/2006/relationships" r:embed="rId1"/>
        <a:stretch>
          <a:fillRect/>
        </a:stretch>
      </xdr:blipFill>
      <xdr:spPr>
        <a:xfrm>
          <a:off x="0" y="0"/>
          <a:ext cx="9044940" cy="50815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72</xdr:row>
      <xdr:rowOff>60960</xdr:rowOff>
    </xdr:from>
    <xdr:to>
      <xdr:col>8</xdr:col>
      <xdr:colOff>563880</xdr:colOff>
      <xdr:row>96</xdr:row>
      <xdr:rowOff>52168</xdr:rowOff>
    </xdr:to>
    <xdr:pic>
      <xdr:nvPicPr>
        <xdr:cNvPr id="2" name="Picture 1">
          <a:extLst>
            <a:ext uri="{FF2B5EF4-FFF2-40B4-BE49-F238E27FC236}">
              <a16:creationId xmlns:a16="http://schemas.microsoft.com/office/drawing/2014/main" id="{05882AB4-73B7-4B1B-AAC8-1BDCD08EEDE5}"/>
            </a:ext>
          </a:extLst>
        </xdr:cNvPr>
        <xdr:cNvPicPr>
          <a:picLocks noChangeAspect="1"/>
        </xdr:cNvPicPr>
      </xdr:nvPicPr>
      <xdr:blipFill>
        <a:blip xmlns:r="http://schemas.openxmlformats.org/officeDocument/2006/relationships" r:embed="rId1"/>
        <a:stretch>
          <a:fillRect/>
        </a:stretch>
      </xdr:blipFill>
      <xdr:spPr>
        <a:xfrm>
          <a:off x="0" y="13228320"/>
          <a:ext cx="7848600" cy="43803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422910</xdr:colOff>
      <xdr:row>3</xdr:row>
      <xdr:rowOff>57150</xdr:rowOff>
    </xdr:from>
    <xdr:to>
      <xdr:col>15</xdr:col>
      <xdr:colOff>118110</xdr:colOff>
      <xdr:row>18</xdr:row>
      <xdr:rowOff>57150</xdr:rowOff>
    </xdr:to>
    <xdr:graphicFrame macro="">
      <xdr:nvGraphicFramePr>
        <xdr:cNvPr id="2" name="Chart 1">
          <a:extLst>
            <a:ext uri="{FF2B5EF4-FFF2-40B4-BE49-F238E27FC236}">
              <a16:creationId xmlns:a16="http://schemas.microsoft.com/office/drawing/2014/main" id="{71A96F9D-B9CD-4947-A153-D6A4F0E73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83820</xdr:colOff>
      <xdr:row>2</xdr:row>
      <xdr:rowOff>7621</xdr:rowOff>
    </xdr:from>
    <xdr:to>
      <xdr:col>4</xdr:col>
      <xdr:colOff>419100</xdr:colOff>
      <xdr:row>4</xdr:row>
      <xdr:rowOff>891541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AC76F685-942A-237E-2043-ECC249C5885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430780" y="1287781"/>
              <a:ext cx="155448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xdr:colOff>
      <xdr:row>6</xdr:row>
      <xdr:rowOff>26670</xdr:rowOff>
    </xdr:from>
    <xdr:to>
      <xdr:col>7</xdr:col>
      <xdr:colOff>381000</xdr:colOff>
      <xdr:row>16</xdr:row>
      <xdr:rowOff>68580</xdr:rowOff>
    </xdr:to>
    <xdr:graphicFrame macro="">
      <xdr:nvGraphicFramePr>
        <xdr:cNvPr id="5" name="Chart 4">
          <a:extLst>
            <a:ext uri="{FF2B5EF4-FFF2-40B4-BE49-F238E27FC236}">
              <a16:creationId xmlns:a16="http://schemas.microsoft.com/office/drawing/2014/main" id="{88FAA76B-3623-E5B9-F158-4887C4B85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93574</xdr:colOff>
      <xdr:row>3</xdr:row>
      <xdr:rowOff>215656</xdr:rowOff>
    </xdr:from>
    <xdr:to>
      <xdr:col>9</xdr:col>
      <xdr:colOff>502920</xdr:colOff>
      <xdr:row>15</xdr:row>
      <xdr:rowOff>76200</xdr:rowOff>
    </xdr:to>
    <xdr:graphicFrame macro="">
      <xdr:nvGraphicFramePr>
        <xdr:cNvPr id="2" name="Chart 1">
          <a:extLst>
            <a:ext uri="{FF2B5EF4-FFF2-40B4-BE49-F238E27FC236}">
              <a16:creationId xmlns:a16="http://schemas.microsoft.com/office/drawing/2014/main" id="{BBDC7E58-F74A-A52E-8D43-B3D5BBD72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419100</xdr:colOff>
      <xdr:row>16</xdr:row>
      <xdr:rowOff>83821</xdr:rowOff>
    </xdr:from>
    <xdr:to>
      <xdr:col>6</xdr:col>
      <xdr:colOff>144780</xdr:colOff>
      <xdr:row>24</xdr:row>
      <xdr:rowOff>441961</xdr:rowOff>
    </xdr:to>
    <mc:AlternateContent xmlns:mc="http://schemas.openxmlformats.org/markup-compatibility/2006" xmlns:a14="http://schemas.microsoft.com/office/drawing/2010/main">
      <mc:Choice Requires="a14">
        <xdr:graphicFrame macro="">
          <xdr:nvGraphicFramePr>
            <xdr:cNvPr id="4" name="Representative 1">
              <a:extLst>
                <a:ext uri="{FF2B5EF4-FFF2-40B4-BE49-F238E27FC236}">
                  <a16:creationId xmlns:a16="http://schemas.microsoft.com/office/drawing/2014/main" id="{977C8078-B2F4-AD74-9BDF-ADBCC1316009}"/>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2057400" y="5935981"/>
              <a:ext cx="208026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27</xdr:row>
      <xdr:rowOff>102870</xdr:rowOff>
    </xdr:from>
    <xdr:to>
      <xdr:col>9</xdr:col>
      <xdr:colOff>525780</xdr:colOff>
      <xdr:row>42</xdr:row>
      <xdr:rowOff>19050</xdr:rowOff>
    </xdr:to>
    <xdr:graphicFrame macro="">
      <xdr:nvGraphicFramePr>
        <xdr:cNvPr id="6" name="Chart 5">
          <a:extLst>
            <a:ext uri="{FF2B5EF4-FFF2-40B4-BE49-F238E27FC236}">
              <a16:creationId xmlns:a16="http://schemas.microsoft.com/office/drawing/2014/main" id="{263B84D1-DDDB-ADBA-A8B4-B49DC983B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575310</xdr:colOff>
      <xdr:row>26</xdr:row>
      <xdr:rowOff>3810</xdr:rowOff>
    </xdr:from>
    <xdr:to>
      <xdr:col>11</xdr:col>
      <xdr:colOff>788670</xdr:colOff>
      <xdr:row>41</xdr:row>
      <xdr:rowOff>3810</xdr:rowOff>
    </xdr:to>
    <xdr:graphicFrame macro="">
      <xdr:nvGraphicFramePr>
        <xdr:cNvPr id="7" name="Chart 6">
          <a:extLst>
            <a:ext uri="{FF2B5EF4-FFF2-40B4-BE49-F238E27FC236}">
              <a16:creationId xmlns:a16="http://schemas.microsoft.com/office/drawing/2014/main" id="{D86A1C4F-2FF8-045C-6171-93AA76A2E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14</xdr:row>
      <xdr:rowOff>129540</xdr:rowOff>
    </xdr:from>
    <xdr:to>
      <xdr:col>6</xdr:col>
      <xdr:colOff>518160</xdr:colOff>
      <xdr:row>28</xdr:row>
      <xdr:rowOff>150495</xdr:rowOff>
    </xdr:to>
    <mc:AlternateContent xmlns:mc="http://schemas.openxmlformats.org/markup-compatibility/2006" xmlns:a14="http://schemas.microsoft.com/office/drawing/2010/main">
      <mc:Choice Requires="a14">
        <xdr:graphicFrame macro="">
          <xdr:nvGraphicFramePr>
            <xdr:cNvPr id="5" name="Representative 3">
              <a:extLst>
                <a:ext uri="{FF2B5EF4-FFF2-40B4-BE49-F238E27FC236}">
                  <a16:creationId xmlns:a16="http://schemas.microsoft.com/office/drawing/2014/main" id="{3E792426-61C7-4969-6418-EE5E32A0381F}"/>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3703320" y="2689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346710</xdr:colOff>
      <xdr:row>12</xdr:row>
      <xdr:rowOff>87630</xdr:rowOff>
    </xdr:from>
    <xdr:to>
      <xdr:col>17</xdr:col>
      <xdr:colOff>57150</xdr:colOff>
      <xdr:row>27</xdr:row>
      <xdr:rowOff>87630</xdr:rowOff>
    </xdr:to>
    <xdr:graphicFrame macro="">
      <xdr:nvGraphicFramePr>
        <xdr:cNvPr id="7" name="Chart 6">
          <a:extLst>
            <a:ext uri="{FF2B5EF4-FFF2-40B4-BE49-F238E27FC236}">
              <a16:creationId xmlns:a16="http://schemas.microsoft.com/office/drawing/2014/main" id="{5F74051F-ED91-F273-276F-A35FB70D4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a Ranganathan Harikrishnan" refreshedDate="45822.467625231482" createdVersion="8" refreshedVersion="8" minRefreshableVersion="3" recordCount="1000" xr:uid="{9E62C711-648B-4492-A2FF-62B0CE39A088}">
  <cacheSource type="worksheet">
    <worksheetSource name="TABLE_PIVOT"/>
  </cacheSource>
  <cacheFields count="14">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1"/>
    </cacheField>
    <cacheField name="Representative" numFmtId="2">
      <sharedItems count="5">
        <s v="R05"/>
        <s v="R02"/>
        <s v="R01"/>
        <s v="R04"/>
        <s v="R03"/>
      </sharedItems>
    </cacheField>
    <cacheField name="Date of Call" numFmtId="168">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3"/>
    </cacheField>
    <cacheField name="Purchase Amount" numFmtId="0">
      <sharedItems containsSemiMixedTypes="0" containsString="0" containsNumber="1" containsInteger="1" minValue="20" maxValue="225" count="107">
        <n v="128"/>
        <n v="135"/>
        <n v="66"/>
        <n v="22"/>
        <n v="31"/>
        <n v="60"/>
        <n v="148"/>
        <n v="105"/>
        <n v="69"/>
        <n v="46"/>
        <n v="108"/>
        <n v="96"/>
        <n v="68"/>
        <n v="24"/>
        <n v="195"/>
        <n v="28"/>
        <n v="170"/>
        <n v="30"/>
        <n v="72"/>
        <n v="92"/>
        <n v="165"/>
        <n v="140"/>
        <n v="111"/>
        <n v="63"/>
        <n v="80"/>
        <n v="50"/>
        <n v="123"/>
        <n v="110"/>
        <n v="42"/>
        <n v="125"/>
        <n v="26"/>
        <n v="120"/>
        <n v="132"/>
        <n v="86"/>
        <n v="155"/>
        <n v="168"/>
        <n v="56"/>
        <n v="32"/>
        <n v="78"/>
        <n v="64"/>
        <n v="136"/>
        <n v="126"/>
        <n v="160"/>
        <n v="48"/>
        <n v="90"/>
        <n v="40"/>
        <n v="215"/>
        <n v="156"/>
        <n v="54"/>
        <n v="205"/>
        <n v="23"/>
        <n v="99"/>
        <n v="34"/>
        <n v="62"/>
        <n v="112"/>
        <n v="124"/>
        <n v="35"/>
        <n v="43"/>
        <n v="130"/>
        <n v="84"/>
        <n v="172"/>
        <n v="74"/>
        <n v="100"/>
        <n v="70"/>
        <n v="37"/>
        <n v="21"/>
        <n v="88"/>
        <n v="180"/>
        <n v="52"/>
        <n v="150"/>
        <n v="200"/>
        <n v="102"/>
        <n v="104"/>
        <n v="36"/>
        <n v="114"/>
        <n v="75"/>
        <n v="93"/>
        <n v="39"/>
        <n v="25"/>
        <n v="27"/>
        <n v="210"/>
        <n v="58"/>
        <n v="45"/>
        <n v="117"/>
        <n v="164"/>
        <n v="44"/>
        <n v="129"/>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ount="43">
        <n v="4.9000000000000004"/>
        <n v="2.9"/>
        <n v="4.7"/>
        <n v="2.8"/>
        <n v="4.8"/>
        <n v="4.4000000000000004"/>
        <n v="3.6"/>
        <n v="3.4"/>
        <n v="3.5"/>
        <n v="4"/>
        <n v="3.9"/>
        <n v="3.8"/>
        <n v="4.3"/>
        <n v="5"/>
        <n v="4.5"/>
        <n v="2.1"/>
        <n v="3.3"/>
        <n v="4.0999999999999996"/>
        <n v="4.2"/>
        <n v="4.5999999999999996"/>
        <n v="3.7"/>
        <n v="2.4"/>
        <n v="3.1"/>
        <n v="3.2"/>
        <n v="2.2999999999999998"/>
        <n v="2.5"/>
        <n v="2"/>
        <n v="2.6"/>
        <n v="0"/>
        <n v="1.9"/>
        <n v="2.2000000000000002"/>
        <n v="1.1000000000000001"/>
        <n v="1.8"/>
        <n v="1"/>
        <n v="2.7"/>
        <n v="3"/>
        <n v="0.7"/>
        <n v="1.6"/>
        <n v="1.5"/>
        <n v="1.2"/>
        <n v="1.3"/>
        <n v="0.9"/>
        <n v="1.7"/>
      </sharedItems>
    </cacheField>
    <cacheField name="Finacial Year"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in Hours"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Duration2" numFmtId="0" databaseField="0">
      <fieldGroup base="2">
        <discretePr count="164">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discretePr>
        <groupItems count="5">
          <s v="Group1"/>
          <s v="Group2"/>
          <s v="Group3"/>
          <s v="Group4"/>
          <s v="Group5"/>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7830627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da Ranganathan Harikrishnan" refreshedDate="45822.548634837964" backgroundQuery="1" createdVersion="8" refreshedVersion="8" minRefreshableVersion="3" recordCount="0" supportSubquery="1" supportAdvancedDrill="1" xr:uid="{16F93BCD-4AAF-41BA-BAE3-C0164220DE07}">
  <cacheSource type="external" connectionId="4"/>
  <cacheFields count="0"/>
  <cacheHierarchies count="13">
    <cacheHierarchy uniqueName="[Call_Table_Data].[Call number]" caption="Call number" attribute="1" defaultMemberUniqueName="[Call_Table_Data].[Call number].[All]" allUniqueName="[Call_Table_Data].[Call number].[All]" dimensionUniqueName="[Call_Table_Data]" displayFolder="" count="0" memberValueDatatype="130" unbalanced="0"/>
    <cacheHierarchy uniqueName="[Call_Table_Data].[Customer ID]" caption="Customer ID" attribute="1" defaultMemberUniqueName="[Call_Table_Data].[Customer ID].[All]" allUniqueName="[Call_Table_Data].[Customer ID].[All]" dimensionUniqueName="[Call_Table_Data]" displayFolder="" count="0" memberValueDatatype="130" unbalanced="0"/>
    <cacheHierarchy uniqueName="[Call_Table_Data].[Duration]" caption="Duration" attribute="1" defaultMemberUniqueName="[Call_Table_Data].[Duration].[All]" allUniqueName="[Call_Table_Data].[Duration].[All]" dimensionUniqueName="[Call_Table_Data]" displayFolder="" count="0" memberValueDatatype="20" unbalanced="0"/>
    <cacheHierarchy uniqueName="[Call_Table_Data].[Representative]" caption="Representative" attribute="1" defaultMemberUniqueName="[Call_Table_Data].[Representative].[All]" allUniqueName="[Call_Table_Data].[Representative].[All]" dimensionUniqueName="[Call_Table_Data]" displayFolder="" count="0" memberValueDatatype="130" unbalanced="0"/>
    <cacheHierarchy uniqueName="[Call_Table_Data].[Date of Call]" caption="Date of Call" attribute="1" time="1" defaultMemberUniqueName="[Call_Table_Data].[Date of Call].[All]" allUniqueName="[Call_Table_Data].[Date of Call].[All]" dimensionUniqueName="[Call_Table_Data]" displayFolder="" count="0" memberValueDatatype="7" unbalanced="0"/>
    <cacheHierarchy uniqueName="[Call_Table_Data].[Purchase Amount]" caption="Purchase Amount" attribute="1" defaultMemberUniqueName="[Call_Table_Data].[Purchase Amount].[All]" allUniqueName="[Call_Table_Data].[Purchase Amount].[All]" dimensionUniqueName="[Call_Table_Data]" displayFolder="" count="0" memberValueDatatype="20" unbalanced="0"/>
    <cacheHierarchy uniqueName="[Call_Table_Data].[Satisfaction Rating]" caption="Satisfaction Rating" attribute="1" defaultMemberUniqueName="[Call_Table_Data].[Satisfaction Rating].[All]" allUniqueName="[Call_Table_Data].[Satisfaction Rating].[All]" dimensionUniqueName="[Call_Table_Data]" displayFolder="" count="0" memberValueDatatype="5" unbalanced="0"/>
    <cacheHierarchy uniqueName="[Call_Table_Data].[Finacial Year]" caption="Finacial Year" attribute="1" defaultMemberUniqueName="[Call_Table_Data].[Finacial Year].[All]" allUniqueName="[Call_Table_Data].[Finacial Year].[All]" dimensionUniqueName="[Call_Table_Data]" displayFolder="" count="0" memberValueDatatype="20" unbalanced="0"/>
    <cacheHierarchy uniqueName="[Call_Table_Data].[Day of Week]" caption="Day of Week" attribute="1" defaultMemberUniqueName="[Call_Table_Data].[Day of Week].[All]" allUniqueName="[Call_Table_Data].[Day of Week].[All]" dimensionUniqueName="[Call_Table_Data]" displayFolder="" count="0" memberValueDatatype="130" unbalanced="0"/>
    <cacheHierarchy uniqueName="[Call_Table_Data].[Duration Bucket in Hours]" caption="Duration Bucket in Hours" attribute="1" defaultMemberUniqueName="[Call_Table_Data].[Duration Bucket in Hours].[All]" allUniqueName="[Call_Table_Data].[Duration Bucket in Hours].[All]" dimensionUniqueName="[Call_Table_Data]" displayFolder="" count="0" memberValueDatatype="130" unbalanced="0"/>
    <cacheHierarchy uniqueName="[Call_Table_Data].[Rating Rounded]" caption="Rating Rounded" attribute="1" defaultMemberUniqueName="[Call_Table_Data].[Rating Rounded].[All]" allUniqueName="[Call_Table_Data].[Rating Rounded].[All]" dimensionUniqueName="[Call_Table_Data]" displayFolder="" count="0" memberValueDatatype="20" unbalanced="0"/>
    <cacheHierarchy uniqueName="[Measures].[__XL_Count Call_Table_Data]" caption="__XL_Count Call_Table_Data" measure="1" displayFolder="" measureGroup="Call_Table_Data" count="0" hidden="1"/>
    <cacheHierarchy uniqueName="[Measures].[__No measures defined]" caption="__No measures defined" measure="1" displayFolder="" count="0" hidden="1"/>
  </cacheHierarchies>
  <kpis count="0"/>
  <dimensions count="2">
    <dimension name="Call_Table_Data" uniqueName="[Call_Table_Data]" caption="Call_Table_Data"/>
    <dimension measure="1" name="Measures" uniqueName="[Measures]" caption="Measures"/>
  </dimensions>
  <measureGroups count="1">
    <measureGroup name="Call_Table_Data" caption="Call_Tabl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r>
  <r>
    <x v="1"/>
    <x v="1"/>
    <x v="1"/>
    <x v="0"/>
    <x v="0"/>
    <x v="1"/>
    <x v="1"/>
    <x v="0"/>
    <x v="0"/>
    <x v="0"/>
    <x v="1"/>
  </r>
  <r>
    <x v="2"/>
    <x v="2"/>
    <x v="2"/>
    <x v="1"/>
    <x v="0"/>
    <x v="2"/>
    <x v="2"/>
    <x v="0"/>
    <x v="0"/>
    <x v="0"/>
    <x v="0"/>
  </r>
  <r>
    <x v="3"/>
    <x v="3"/>
    <x v="1"/>
    <x v="1"/>
    <x v="0"/>
    <x v="3"/>
    <x v="1"/>
    <x v="0"/>
    <x v="0"/>
    <x v="0"/>
    <x v="1"/>
  </r>
  <r>
    <x v="4"/>
    <x v="4"/>
    <x v="3"/>
    <x v="2"/>
    <x v="1"/>
    <x v="4"/>
    <x v="3"/>
    <x v="0"/>
    <x v="1"/>
    <x v="1"/>
    <x v="1"/>
  </r>
  <r>
    <x v="5"/>
    <x v="4"/>
    <x v="4"/>
    <x v="1"/>
    <x v="2"/>
    <x v="1"/>
    <x v="4"/>
    <x v="0"/>
    <x v="2"/>
    <x v="2"/>
    <x v="0"/>
  </r>
  <r>
    <x v="6"/>
    <x v="5"/>
    <x v="5"/>
    <x v="0"/>
    <x v="2"/>
    <x v="5"/>
    <x v="2"/>
    <x v="0"/>
    <x v="2"/>
    <x v="0"/>
    <x v="0"/>
  </r>
  <r>
    <x v="7"/>
    <x v="0"/>
    <x v="6"/>
    <x v="3"/>
    <x v="2"/>
    <x v="6"/>
    <x v="5"/>
    <x v="0"/>
    <x v="2"/>
    <x v="0"/>
    <x v="2"/>
  </r>
  <r>
    <x v="8"/>
    <x v="2"/>
    <x v="7"/>
    <x v="1"/>
    <x v="2"/>
    <x v="1"/>
    <x v="6"/>
    <x v="0"/>
    <x v="2"/>
    <x v="2"/>
    <x v="2"/>
  </r>
  <r>
    <x v="9"/>
    <x v="6"/>
    <x v="8"/>
    <x v="4"/>
    <x v="2"/>
    <x v="7"/>
    <x v="1"/>
    <x v="0"/>
    <x v="2"/>
    <x v="2"/>
    <x v="1"/>
  </r>
  <r>
    <x v="10"/>
    <x v="4"/>
    <x v="9"/>
    <x v="1"/>
    <x v="2"/>
    <x v="8"/>
    <x v="0"/>
    <x v="0"/>
    <x v="2"/>
    <x v="0"/>
    <x v="0"/>
  </r>
  <r>
    <x v="11"/>
    <x v="7"/>
    <x v="10"/>
    <x v="0"/>
    <x v="2"/>
    <x v="9"/>
    <x v="7"/>
    <x v="0"/>
    <x v="2"/>
    <x v="1"/>
    <x v="1"/>
  </r>
  <r>
    <x v="12"/>
    <x v="8"/>
    <x v="11"/>
    <x v="1"/>
    <x v="3"/>
    <x v="10"/>
    <x v="8"/>
    <x v="0"/>
    <x v="3"/>
    <x v="0"/>
    <x v="2"/>
  </r>
  <r>
    <x v="13"/>
    <x v="6"/>
    <x v="12"/>
    <x v="1"/>
    <x v="3"/>
    <x v="11"/>
    <x v="9"/>
    <x v="0"/>
    <x v="3"/>
    <x v="1"/>
    <x v="2"/>
  </r>
  <r>
    <x v="14"/>
    <x v="7"/>
    <x v="13"/>
    <x v="2"/>
    <x v="3"/>
    <x v="12"/>
    <x v="0"/>
    <x v="0"/>
    <x v="3"/>
    <x v="2"/>
    <x v="0"/>
  </r>
  <r>
    <x v="15"/>
    <x v="6"/>
    <x v="14"/>
    <x v="0"/>
    <x v="4"/>
    <x v="13"/>
    <x v="4"/>
    <x v="0"/>
    <x v="4"/>
    <x v="1"/>
    <x v="0"/>
  </r>
  <r>
    <x v="16"/>
    <x v="6"/>
    <x v="15"/>
    <x v="2"/>
    <x v="4"/>
    <x v="14"/>
    <x v="10"/>
    <x v="0"/>
    <x v="4"/>
    <x v="0"/>
    <x v="2"/>
  </r>
  <r>
    <x v="17"/>
    <x v="9"/>
    <x v="16"/>
    <x v="4"/>
    <x v="4"/>
    <x v="15"/>
    <x v="11"/>
    <x v="0"/>
    <x v="4"/>
    <x v="3"/>
    <x v="2"/>
  </r>
  <r>
    <x v="18"/>
    <x v="5"/>
    <x v="17"/>
    <x v="1"/>
    <x v="4"/>
    <x v="16"/>
    <x v="12"/>
    <x v="0"/>
    <x v="4"/>
    <x v="2"/>
    <x v="2"/>
  </r>
  <r>
    <x v="19"/>
    <x v="10"/>
    <x v="13"/>
    <x v="0"/>
    <x v="5"/>
    <x v="17"/>
    <x v="5"/>
    <x v="0"/>
    <x v="5"/>
    <x v="2"/>
    <x v="2"/>
  </r>
  <r>
    <x v="20"/>
    <x v="1"/>
    <x v="3"/>
    <x v="0"/>
    <x v="5"/>
    <x v="18"/>
    <x v="13"/>
    <x v="0"/>
    <x v="5"/>
    <x v="1"/>
    <x v="0"/>
  </r>
  <r>
    <x v="21"/>
    <x v="1"/>
    <x v="18"/>
    <x v="3"/>
    <x v="6"/>
    <x v="19"/>
    <x v="0"/>
    <x v="0"/>
    <x v="6"/>
    <x v="2"/>
    <x v="0"/>
  </r>
  <r>
    <x v="22"/>
    <x v="0"/>
    <x v="19"/>
    <x v="3"/>
    <x v="7"/>
    <x v="20"/>
    <x v="14"/>
    <x v="0"/>
    <x v="0"/>
    <x v="0"/>
    <x v="0"/>
  </r>
  <r>
    <x v="23"/>
    <x v="11"/>
    <x v="20"/>
    <x v="1"/>
    <x v="7"/>
    <x v="21"/>
    <x v="15"/>
    <x v="0"/>
    <x v="0"/>
    <x v="2"/>
    <x v="3"/>
  </r>
  <r>
    <x v="24"/>
    <x v="6"/>
    <x v="17"/>
    <x v="2"/>
    <x v="7"/>
    <x v="22"/>
    <x v="16"/>
    <x v="0"/>
    <x v="0"/>
    <x v="2"/>
    <x v="1"/>
  </r>
  <r>
    <x v="25"/>
    <x v="12"/>
    <x v="16"/>
    <x v="0"/>
    <x v="8"/>
    <x v="23"/>
    <x v="17"/>
    <x v="0"/>
    <x v="1"/>
    <x v="3"/>
    <x v="2"/>
  </r>
  <r>
    <x v="26"/>
    <x v="8"/>
    <x v="21"/>
    <x v="0"/>
    <x v="8"/>
    <x v="24"/>
    <x v="18"/>
    <x v="0"/>
    <x v="1"/>
    <x v="0"/>
    <x v="2"/>
  </r>
  <r>
    <x v="27"/>
    <x v="4"/>
    <x v="22"/>
    <x v="0"/>
    <x v="9"/>
    <x v="25"/>
    <x v="19"/>
    <x v="0"/>
    <x v="2"/>
    <x v="0"/>
    <x v="0"/>
  </r>
  <r>
    <x v="28"/>
    <x v="9"/>
    <x v="7"/>
    <x v="3"/>
    <x v="9"/>
    <x v="26"/>
    <x v="1"/>
    <x v="0"/>
    <x v="2"/>
    <x v="2"/>
    <x v="1"/>
  </r>
  <r>
    <x v="29"/>
    <x v="11"/>
    <x v="23"/>
    <x v="2"/>
    <x v="9"/>
    <x v="27"/>
    <x v="4"/>
    <x v="0"/>
    <x v="2"/>
    <x v="1"/>
    <x v="0"/>
  </r>
  <r>
    <x v="30"/>
    <x v="9"/>
    <x v="24"/>
    <x v="0"/>
    <x v="9"/>
    <x v="21"/>
    <x v="18"/>
    <x v="0"/>
    <x v="2"/>
    <x v="0"/>
    <x v="2"/>
  </r>
  <r>
    <x v="31"/>
    <x v="4"/>
    <x v="25"/>
    <x v="0"/>
    <x v="10"/>
    <x v="28"/>
    <x v="20"/>
    <x v="0"/>
    <x v="4"/>
    <x v="0"/>
    <x v="2"/>
  </r>
  <r>
    <x v="32"/>
    <x v="4"/>
    <x v="26"/>
    <x v="2"/>
    <x v="10"/>
    <x v="16"/>
    <x v="13"/>
    <x v="0"/>
    <x v="4"/>
    <x v="3"/>
    <x v="0"/>
  </r>
  <r>
    <x v="33"/>
    <x v="10"/>
    <x v="27"/>
    <x v="1"/>
    <x v="11"/>
    <x v="7"/>
    <x v="13"/>
    <x v="0"/>
    <x v="6"/>
    <x v="1"/>
    <x v="0"/>
  </r>
  <r>
    <x v="34"/>
    <x v="13"/>
    <x v="28"/>
    <x v="0"/>
    <x v="12"/>
    <x v="29"/>
    <x v="4"/>
    <x v="0"/>
    <x v="0"/>
    <x v="0"/>
    <x v="0"/>
  </r>
  <r>
    <x v="35"/>
    <x v="9"/>
    <x v="29"/>
    <x v="4"/>
    <x v="12"/>
    <x v="30"/>
    <x v="21"/>
    <x v="0"/>
    <x v="0"/>
    <x v="0"/>
    <x v="3"/>
  </r>
  <r>
    <x v="36"/>
    <x v="11"/>
    <x v="30"/>
    <x v="4"/>
    <x v="13"/>
    <x v="31"/>
    <x v="22"/>
    <x v="0"/>
    <x v="1"/>
    <x v="0"/>
    <x v="1"/>
  </r>
  <r>
    <x v="37"/>
    <x v="1"/>
    <x v="31"/>
    <x v="1"/>
    <x v="13"/>
    <x v="32"/>
    <x v="23"/>
    <x v="0"/>
    <x v="1"/>
    <x v="0"/>
    <x v="1"/>
  </r>
  <r>
    <x v="38"/>
    <x v="11"/>
    <x v="22"/>
    <x v="3"/>
    <x v="14"/>
    <x v="33"/>
    <x v="21"/>
    <x v="0"/>
    <x v="2"/>
    <x v="0"/>
    <x v="3"/>
  </r>
  <r>
    <x v="39"/>
    <x v="9"/>
    <x v="32"/>
    <x v="0"/>
    <x v="14"/>
    <x v="10"/>
    <x v="13"/>
    <x v="0"/>
    <x v="2"/>
    <x v="0"/>
    <x v="0"/>
  </r>
  <r>
    <x v="40"/>
    <x v="1"/>
    <x v="33"/>
    <x v="3"/>
    <x v="14"/>
    <x v="11"/>
    <x v="2"/>
    <x v="0"/>
    <x v="2"/>
    <x v="0"/>
    <x v="0"/>
  </r>
  <r>
    <x v="41"/>
    <x v="6"/>
    <x v="28"/>
    <x v="1"/>
    <x v="15"/>
    <x v="24"/>
    <x v="2"/>
    <x v="0"/>
    <x v="3"/>
    <x v="0"/>
    <x v="0"/>
  </r>
  <r>
    <x v="42"/>
    <x v="9"/>
    <x v="34"/>
    <x v="0"/>
    <x v="15"/>
    <x v="34"/>
    <x v="17"/>
    <x v="0"/>
    <x v="3"/>
    <x v="0"/>
    <x v="2"/>
  </r>
  <r>
    <x v="43"/>
    <x v="7"/>
    <x v="35"/>
    <x v="4"/>
    <x v="15"/>
    <x v="35"/>
    <x v="17"/>
    <x v="0"/>
    <x v="3"/>
    <x v="1"/>
    <x v="2"/>
  </r>
  <r>
    <x v="44"/>
    <x v="13"/>
    <x v="28"/>
    <x v="2"/>
    <x v="15"/>
    <x v="36"/>
    <x v="6"/>
    <x v="0"/>
    <x v="3"/>
    <x v="0"/>
    <x v="2"/>
  </r>
  <r>
    <x v="45"/>
    <x v="4"/>
    <x v="36"/>
    <x v="4"/>
    <x v="16"/>
    <x v="37"/>
    <x v="5"/>
    <x v="0"/>
    <x v="4"/>
    <x v="3"/>
    <x v="2"/>
  </r>
  <r>
    <x v="46"/>
    <x v="3"/>
    <x v="37"/>
    <x v="2"/>
    <x v="16"/>
    <x v="38"/>
    <x v="5"/>
    <x v="0"/>
    <x v="4"/>
    <x v="1"/>
    <x v="2"/>
  </r>
  <r>
    <x v="47"/>
    <x v="1"/>
    <x v="38"/>
    <x v="0"/>
    <x v="16"/>
    <x v="33"/>
    <x v="9"/>
    <x v="0"/>
    <x v="4"/>
    <x v="0"/>
    <x v="2"/>
  </r>
  <r>
    <x v="48"/>
    <x v="0"/>
    <x v="31"/>
    <x v="1"/>
    <x v="17"/>
    <x v="39"/>
    <x v="11"/>
    <x v="0"/>
    <x v="5"/>
    <x v="0"/>
    <x v="2"/>
  </r>
  <r>
    <x v="49"/>
    <x v="12"/>
    <x v="39"/>
    <x v="1"/>
    <x v="17"/>
    <x v="11"/>
    <x v="6"/>
    <x v="0"/>
    <x v="5"/>
    <x v="2"/>
    <x v="2"/>
  </r>
  <r>
    <x v="50"/>
    <x v="8"/>
    <x v="40"/>
    <x v="2"/>
    <x v="17"/>
    <x v="18"/>
    <x v="12"/>
    <x v="0"/>
    <x v="5"/>
    <x v="1"/>
    <x v="2"/>
  </r>
  <r>
    <x v="51"/>
    <x v="7"/>
    <x v="41"/>
    <x v="3"/>
    <x v="18"/>
    <x v="1"/>
    <x v="11"/>
    <x v="0"/>
    <x v="6"/>
    <x v="0"/>
    <x v="2"/>
  </r>
  <r>
    <x v="52"/>
    <x v="7"/>
    <x v="42"/>
    <x v="4"/>
    <x v="18"/>
    <x v="21"/>
    <x v="14"/>
    <x v="0"/>
    <x v="6"/>
    <x v="0"/>
    <x v="0"/>
  </r>
  <r>
    <x v="53"/>
    <x v="14"/>
    <x v="43"/>
    <x v="2"/>
    <x v="18"/>
    <x v="8"/>
    <x v="14"/>
    <x v="0"/>
    <x v="6"/>
    <x v="1"/>
    <x v="0"/>
  </r>
  <r>
    <x v="54"/>
    <x v="7"/>
    <x v="44"/>
    <x v="0"/>
    <x v="19"/>
    <x v="40"/>
    <x v="19"/>
    <x v="0"/>
    <x v="0"/>
    <x v="2"/>
    <x v="0"/>
  </r>
  <r>
    <x v="55"/>
    <x v="12"/>
    <x v="45"/>
    <x v="2"/>
    <x v="19"/>
    <x v="15"/>
    <x v="14"/>
    <x v="0"/>
    <x v="0"/>
    <x v="0"/>
    <x v="0"/>
  </r>
  <r>
    <x v="56"/>
    <x v="14"/>
    <x v="20"/>
    <x v="1"/>
    <x v="20"/>
    <x v="1"/>
    <x v="16"/>
    <x v="0"/>
    <x v="1"/>
    <x v="2"/>
    <x v="1"/>
  </r>
  <r>
    <x v="57"/>
    <x v="11"/>
    <x v="46"/>
    <x v="1"/>
    <x v="20"/>
    <x v="41"/>
    <x v="24"/>
    <x v="0"/>
    <x v="1"/>
    <x v="0"/>
    <x v="3"/>
  </r>
  <r>
    <x v="58"/>
    <x v="4"/>
    <x v="47"/>
    <x v="0"/>
    <x v="20"/>
    <x v="42"/>
    <x v="12"/>
    <x v="0"/>
    <x v="1"/>
    <x v="0"/>
    <x v="2"/>
  </r>
  <r>
    <x v="59"/>
    <x v="14"/>
    <x v="48"/>
    <x v="1"/>
    <x v="21"/>
    <x v="43"/>
    <x v="19"/>
    <x v="0"/>
    <x v="2"/>
    <x v="0"/>
    <x v="0"/>
  </r>
  <r>
    <x v="60"/>
    <x v="7"/>
    <x v="33"/>
    <x v="2"/>
    <x v="21"/>
    <x v="2"/>
    <x v="9"/>
    <x v="0"/>
    <x v="2"/>
    <x v="0"/>
    <x v="2"/>
  </r>
  <r>
    <x v="61"/>
    <x v="6"/>
    <x v="49"/>
    <x v="3"/>
    <x v="21"/>
    <x v="41"/>
    <x v="25"/>
    <x v="0"/>
    <x v="2"/>
    <x v="1"/>
    <x v="1"/>
  </r>
  <r>
    <x v="62"/>
    <x v="11"/>
    <x v="50"/>
    <x v="4"/>
    <x v="21"/>
    <x v="11"/>
    <x v="13"/>
    <x v="0"/>
    <x v="2"/>
    <x v="0"/>
    <x v="0"/>
  </r>
  <r>
    <x v="63"/>
    <x v="7"/>
    <x v="51"/>
    <x v="0"/>
    <x v="22"/>
    <x v="44"/>
    <x v="11"/>
    <x v="0"/>
    <x v="3"/>
    <x v="0"/>
    <x v="2"/>
  </r>
  <r>
    <x v="64"/>
    <x v="13"/>
    <x v="52"/>
    <x v="3"/>
    <x v="22"/>
    <x v="7"/>
    <x v="5"/>
    <x v="0"/>
    <x v="3"/>
    <x v="1"/>
    <x v="2"/>
  </r>
  <r>
    <x v="65"/>
    <x v="1"/>
    <x v="53"/>
    <x v="1"/>
    <x v="23"/>
    <x v="45"/>
    <x v="11"/>
    <x v="0"/>
    <x v="4"/>
    <x v="0"/>
    <x v="2"/>
  </r>
  <r>
    <x v="66"/>
    <x v="11"/>
    <x v="54"/>
    <x v="0"/>
    <x v="23"/>
    <x v="5"/>
    <x v="26"/>
    <x v="0"/>
    <x v="4"/>
    <x v="2"/>
    <x v="3"/>
  </r>
  <r>
    <x v="67"/>
    <x v="6"/>
    <x v="55"/>
    <x v="3"/>
    <x v="24"/>
    <x v="46"/>
    <x v="17"/>
    <x v="0"/>
    <x v="5"/>
    <x v="1"/>
    <x v="2"/>
  </r>
  <r>
    <x v="68"/>
    <x v="2"/>
    <x v="22"/>
    <x v="2"/>
    <x v="24"/>
    <x v="47"/>
    <x v="27"/>
    <x v="0"/>
    <x v="5"/>
    <x v="0"/>
    <x v="1"/>
  </r>
  <r>
    <x v="69"/>
    <x v="10"/>
    <x v="56"/>
    <x v="4"/>
    <x v="24"/>
    <x v="48"/>
    <x v="28"/>
    <x v="0"/>
    <x v="5"/>
    <x v="1"/>
    <x v="4"/>
  </r>
  <r>
    <x v="70"/>
    <x v="10"/>
    <x v="57"/>
    <x v="4"/>
    <x v="25"/>
    <x v="42"/>
    <x v="10"/>
    <x v="0"/>
    <x v="6"/>
    <x v="1"/>
    <x v="2"/>
  </r>
  <r>
    <x v="71"/>
    <x v="13"/>
    <x v="58"/>
    <x v="2"/>
    <x v="25"/>
    <x v="24"/>
    <x v="4"/>
    <x v="0"/>
    <x v="6"/>
    <x v="0"/>
    <x v="0"/>
  </r>
  <r>
    <x v="72"/>
    <x v="7"/>
    <x v="19"/>
    <x v="2"/>
    <x v="25"/>
    <x v="35"/>
    <x v="27"/>
    <x v="0"/>
    <x v="6"/>
    <x v="0"/>
    <x v="1"/>
  </r>
  <r>
    <x v="73"/>
    <x v="14"/>
    <x v="59"/>
    <x v="4"/>
    <x v="26"/>
    <x v="28"/>
    <x v="27"/>
    <x v="0"/>
    <x v="1"/>
    <x v="0"/>
    <x v="1"/>
  </r>
  <r>
    <x v="74"/>
    <x v="2"/>
    <x v="60"/>
    <x v="2"/>
    <x v="26"/>
    <x v="49"/>
    <x v="6"/>
    <x v="0"/>
    <x v="1"/>
    <x v="2"/>
    <x v="2"/>
  </r>
  <r>
    <x v="75"/>
    <x v="4"/>
    <x v="53"/>
    <x v="4"/>
    <x v="26"/>
    <x v="10"/>
    <x v="16"/>
    <x v="0"/>
    <x v="1"/>
    <x v="0"/>
    <x v="1"/>
  </r>
  <r>
    <x v="76"/>
    <x v="6"/>
    <x v="61"/>
    <x v="1"/>
    <x v="26"/>
    <x v="38"/>
    <x v="29"/>
    <x v="0"/>
    <x v="1"/>
    <x v="1"/>
    <x v="3"/>
  </r>
  <r>
    <x v="77"/>
    <x v="1"/>
    <x v="62"/>
    <x v="4"/>
    <x v="26"/>
    <x v="50"/>
    <x v="0"/>
    <x v="0"/>
    <x v="1"/>
    <x v="2"/>
    <x v="0"/>
  </r>
  <r>
    <x v="78"/>
    <x v="4"/>
    <x v="63"/>
    <x v="0"/>
    <x v="27"/>
    <x v="51"/>
    <x v="6"/>
    <x v="0"/>
    <x v="2"/>
    <x v="0"/>
    <x v="2"/>
  </r>
  <r>
    <x v="79"/>
    <x v="9"/>
    <x v="42"/>
    <x v="4"/>
    <x v="28"/>
    <x v="6"/>
    <x v="14"/>
    <x v="0"/>
    <x v="3"/>
    <x v="0"/>
    <x v="0"/>
  </r>
  <r>
    <x v="80"/>
    <x v="6"/>
    <x v="64"/>
    <x v="3"/>
    <x v="28"/>
    <x v="52"/>
    <x v="20"/>
    <x v="0"/>
    <x v="3"/>
    <x v="2"/>
    <x v="2"/>
  </r>
  <r>
    <x v="81"/>
    <x v="4"/>
    <x v="65"/>
    <x v="4"/>
    <x v="28"/>
    <x v="33"/>
    <x v="4"/>
    <x v="0"/>
    <x v="3"/>
    <x v="1"/>
    <x v="0"/>
  </r>
  <r>
    <x v="82"/>
    <x v="14"/>
    <x v="66"/>
    <x v="0"/>
    <x v="28"/>
    <x v="7"/>
    <x v="16"/>
    <x v="0"/>
    <x v="3"/>
    <x v="0"/>
    <x v="1"/>
  </r>
  <r>
    <x v="83"/>
    <x v="1"/>
    <x v="67"/>
    <x v="0"/>
    <x v="28"/>
    <x v="53"/>
    <x v="22"/>
    <x v="0"/>
    <x v="3"/>
    <x v="0"/>
    <x v="1"/>
  </r>
  <r>
    <x v="84"/>
    <x v="4"/>
    <x v="65"/>
    <x v="3"/>
    <x v="28"/>
    <x v="44"/>
    <x v="17"/>
    <x v="0"/>
    <x v="3"/>
    <x v="1"/>
    <x v="2"/>
  </r>
  <r>
    <x v="85"/>
    <x v="3"/>
    <x v="15"/>
    <x v="0"/>
    <x v="29"/>
    <x v="54"/>
    <x v="0"/>
    <x v="0"/>
    <x v="4"/>
    <x v="0"/>
    <x v="0"/>
  </r>
  <r>
    <x v="86"/>
    <x v="11"/>
    <x v="41"/>
    <x v="0"/>
    <x v="29"/>
    <x v="1"/>
    <x v="9"/>
    <x v="0"/>
    <x v="4"/>
    <x v="0"/>
    <x v="2"/>
  </r>
  <r>
    <x v="87"/>
    <x v="1"/>
    <x v="68"/>
    <x v="1"/>
    <x v="29"/>
    <x v="52"/>
    <x v="15"/>
    <x v="0"/>
    <x v="4"/>
    <x v="2"/>
    <x v="3"/>
  </r>
  <r>
    <x v="88"/>
    <x v="14"/>
    <x v="69"/>
    <x v="2"/>
    <x v="29"/>
    <x v="34"/>
    <x v="14"/>
    <x v="0"/>
    <x v="4"/>
    <x v="0"/>
    <x v="0"/>
  </r>
  <r>
    <x v="89"/>
    <x v="3"/>
    <x v="70"/>
    <x v="2"/>
    <x v="30"/>
    <x v="55"/>
    <x v="0"/>
    <x v="0"/>
    <x v="6"/>
    <x v="1"/>
    <x v="0"/>
  </r>
  <r>
    <x v="90"/>
    <x v="11"/>
    <x v="5"/>
    <x v="0"/>
    <x v="30"/>
    <x v="14"/>
    <x v="17"/>
    <x v="0"/>
    <x v="6"/>
    <x v="0"/>
    <x v="2"/>
  </r>
  <r>
    <x v="91"/>
    <x v="13"/>
    <x v="71"/>
    <x v="2"/>
    <x v="31"/>
    <x v="38"/>
    <x v="14"/>
    <x v="0"/>
    <x v="0"/>
    <x v="2"/>
    <x v="0"/>
  </r>
  <r>
    <x v="92"/>
    <x v="5"/>
    <x v="10"/>
    <x v="3"/>
    <x v="32"/>
    <x v="56"/>
    <x v="4"/>
    <x v="0"/>
    <x v="2"/>
    <x v="1"/>
    <x v="0"/>
  </r>
  <r>
    <x v="93"/>
    <x v="12"/>
    <x v="72"/>
    <x v="1"/>
    <x v="32"/>
    <x v="26"/>
    <x v="19"/>
    <x v="0"/>
    <x v="2"/>
    <x v="1"/>
    <x v="0"/>
  </r>
  <r>
    <x v="94"/>
    <x v="2"/>
    <x v="35"/>
    <x v="1"/>
    <x v="32"/>
    <x v="57"/>
    <x v="19"/>
    <x v="0"/>
    <x v="2"/>
    <x v="1"/>
    <x v="0"/>
  </r>
  <r>
    <x v="95"/>
    <x v="10"/>
    <x v="73"/>
    <x v="0"/>
    <x v="33"/>
    <x v="8"/>
    <x v="12"/>
    <x v="0"/>
    <x v="3"/>
    <x v="2"/>
    <x v="2"/>
  </r>
  <r>
    <x v="96"/>
    <x v="12"/>
    <x v="48"/>
    <x v="1"/>
    <x v="33"/>
    <x v="58"/>
    <x v="13"/>
    <x v="0"/>
    <x v="3"/>
    <x v="0"/>
    <x v="0"/>
  </r>
  <r>
    <x v="97"/>
    <x v="0"/>
    <x v="74"/>
    <x v="4"/>
    <x v="33"/>
    <x v="31"/>
    <x v="9"/>
    <x v="0"/>
    <x v="3"/>
    <x v="0"/>
    <x v="2"/>
  </r>
  <r>
    <x v="98"/>
    <x v="13"/>
    <x v="64"/>
    <x v="0"/>
    <x v="34"/>
    <x v="59"/>
    <x v="19"/>
    <x v="0"/>
    <x v="4"/>
    <x v="2"/>
    <x v="0"/>
  </r>
  <r>
    <x v="99"/>
    <x v="0"/>
    <x v="35"/>
    <x v="4"/>
    <x v="35"/>
    <x v="54"/>
    <x v="14"/>
    <x v="0"/>
    <x v="5"/>
    <x v="1"/>
    <x v="0"/>
  </r>
  <r>
    <x v="100"/>
    <x v="7"/>
    <x v="48"/>
    <x v="0"/>
    <x v="35"/>
    <x v="2"/>
    <x v="19"/>
    <x v="0"/>
    <x v="5"/>
    <x v="0"/>
    <x v="0"/>
  </r>
  <r>
    <x v="101"/>
    <x v="12"/>
    <x v="37"/>
    <x v="2"/>
    <x v="35"/>
    <x v="60"/>
    <x v="27"/>
    <x v="0"/>
    <x v="5"/>
    <x v="1"/>
    <x v="1"/>
  </r>
  <r>
    <x v="102"/>
    <x v="9"/>
    <x v="19"/>
    <x v="3"/>
    <x v="36"/>
    <x v="13"/>
    <x v="12"/>
    <x v="0"/>
    <x v="6"/>
    <x v="0"/>
    <x v="2"/>
  </r>
  <r>
    <x v="103"/>
    <x v="3"/>
    <x v="75"/>
    <x v="2"/>
    <x v="37"/>
    <x v="57"/>
    <x v="10"/>
    <x v="0"/>
    <x v="0"/>
    <x v="0"/>
    <x v="2"/>
  </r>
  <r>
    <x v="104"/>
    <x v="2"/>
    <x v="67"/>
    <x v="1"/>
    <x v="37"/>
    <x v="50"/>
    <x v="13"/>
    <x v="0"/>
    <x v="0"/>
    <x v="0"/>
    <x v="0"/>
  </r>
  <r>
    <x v="105"/>
    <x v="8"/>
    <x v="16"/>
    <x v="4"/>
    <x v="37"/>
    <x v="61"/>
    <x v="8"/>
    <x v="0"/>
    <x v="0"/>
    <x v="3"/>
    <x v="2"/>
  </r>
  <r>
    <x v="106"/>
    <x v="1"/>
    <x v="76"/>
    <x v="3"/>
    <x v="38"/>
    <x v="20"/>
    <x v="2"/>
    <x v="0"/>
    <x v="1"/>
    <x v="1"/>
    <x v="0"/>
  </r>
  <r>
    <x v="107"/>
    <x v="11"/>
    <x v="65"/>
    <x v="2"/>
    <x v="38"/>
    <x v="52"/>
    <x v="1"/>
    <x v="0"/>
    <x v="1"/>
    <x v="1"/>
    <x v="1"/>
  </r>
  <r>
    <x v="108"/>
    <x v="1"/>
    <x v="77"/>
    <x v="4"/>
    <x v="38"/>
    <x v="39"/>
    <x v="7"/>
    <x v="0"/>
    <x v="1"/>
    <x v="0"/>
    <x v="1"/>
  </r>
  <r>
    <x v="109"/>
    <x v="2"/>
    <x v="24"/>
    <x v="3"/>
    <x v="39"/>
    <x v="34"/>
    <x v="23"/>
    <x v="0"/>
    <x v="2"/>
    <x v="0"/>
    <x v="1"/>
  </r>
  <r>
    <x v="110"/>
    <x v="1"/>
    <x v="48"/>
    <x v="1"/>
    <x v="40"/>
    <x v="31"/>
    <x v="4"/>
    <x v="0"/>
    <x v="3"/>
    <x v="0"/>
    <x v="0"/>
  </r>
  <r>
    <x v="111"/>
    <x v="10"/>
    <x v="78"/>
    <x v="4"/>
    <x v="40"/>
    <x v="7"/>
    <x v="6"/>
    <x v="0"/>
    <x v="3"/>
    <x v="3"/>
    <x v="2"/>
  </r>
  <r>
    <x v="112"/>
    <x v="4"/>
    <x v="79"/>
    <x v="2"/>
    <x v="40"/>
    <x v="15"/>
    <x v="0"/>
    <x v="0"/>
    <x v="3"/>
    <x v="3"/>
    <x v="0"/>
  </r>
  <r>
    <x v="113"/>
    <x v="6"/>
    <x v="18"/>
    <x v="3"/>
    <x v="40"/>
    <x v="62"/>
    <x v="4"/>
    <x v="0"/>
    <x v="3"/>
    <x v="2"/>
    <x v="0"/>
  </r>
  <r>
    <x v="114"/>
    <x v="7"/>
    <x v="71"/>
    <x v="2"/>
    <x v="40"/>
    <x v="50"/>
    <x v="6"/>
    <x v="0"/>
    <x v="3"/>
    <x v="2"/>
    <x v="2"/>
  </r>
  <r>
    <x v="115"/>
    <x v="9"/>
    <x v="80"/>
    <x v="4"/>
    <x v="41"/>
    <x v="63"/>
    <x v="10"/>
    <x v="0"/>
    <x v="4"/>
    <x v="3"/>
    <x v="2"/>
  </r>
  <r>
    <x v="116"/>
    <x v="9"/>
    <x v="81"/>
    <x v="4"/>
    <x v="41"/>
    <x v="64"/>
    <x v="29"/>
    <x v="0"/>
    <x v="4"/>
    <x v="2"/>
    <x v="3"/>
  </r>
  <r>
    <x v="117"/>
    <x v="8"/>
    <x v="0"/>
    <x v="0"/>
    <x v="41"/>
    <x v="21"/>
    <x v="6"/>
    <x v="0"/>
    <x v="4"/>
    <x v="0"/>
    <x v="2"/>
  </r>
  <r>
    <x v="118"/>
    <x v="0"/>
    <x v="15"/>
    <x v="1"/>
    <x v="41"/>
    <x v="38"/>
    <x v="17"/>
    <x v="0"/>
    <x v="4"/>
    <x v="0"/>
    <x v="2"/>
  </r>
  <r>
    <x v="119"/>
    <x v="1"/>
    <x v="29"/>
    <x v="4"/>
    <x v="42"/>
    <x v="65"/>
    <x v="18"/>
    <x v="0"/>
    <x v="5"/>
    <x v="0"/>
    <x v="2"/>
  </r>
  <r>
    <x v="120"/>
    <x v="2"/>
    <x v="82"/>
    <x v="0"/>
    <x v="42"/>
    <x v="66"/>
    <x v="12"/>
    <x v="0"/>
    <x v="5"/>
    <x v="2"/>
    <x v="2"/>
  </r>
  <r>
    <x v="121"/>
    <x v="5"/>
    <x v="23"/>
    <x v="0"/>
    <x v="43"/>
    <x v="67"/>
    <x v="30"/>
    <x v="0"/>
    <x v="6"/>
    <x v="1"/>
    <x v="3"/>
  </r>
  <r>
    <x v="122"/>
    <x v="0"/>
    <x v="2"/>
    <x v="1"/>
    <x v="43"/>
    <x v="3"/>
    <x v="16"/>
    <x v="0"/>
    <x v="6"/>
    <x v="0"/>
    <x v="1"/>
  </r>
  <r>
    <x v="123"/>
    <x v="6"/>
    <x v="48"/>
    <x v="1"/>
    <x v="43"/>
    <x v="68"/>
    <x v="4"/>
    <x v="0"/>
    <x v="6"/>
    <x v="0"/>
    <x v="0"/>
  </r>
  <r>
    <x v="124"/>
    <x v="11"/>
    <x v="83"/>
    <x v="0"/>
    <x v="44"/>
    <x v="24"/>
    <x v="9"/>
    <x v="0"/>
    <x v="0"/>
    <x v="0"/>
    <x v="2"/>
  </r>
  <r>
    <x v="125"/>
    <x v="4"/>
    <x v="59"/>
    <x v="2"/>
    <x v="44"/>
    <x v="48"/>
    <x v="31"/>
    <x v="0"/>
    <x v="0"/>
    <x v="0"/>
    <x v="5"/>
  </r>
  <r>
    <x v="126"/>
    <x v="1"/>
    <x v="23"/>
    <x v="2"/>
    <x v="45"/>
    <x v="24"/>
    <x v="10"/>
    <x v="0"/>
    <x v="1"/>
    <x v="1"/>
    <x v="2"/>
  </r>
  <r>
    <x v="127"/>
    <x v="11"/>
    <x v="59"/>
    <x v="0"/>
    <x v="46"/>
    <x v="31"/>
    <x v="32"/>
    <x v="0"/>
    <x v="2"/>
    <x v="0"/>
    <x v="3"/>
  </r>
  <r>
    <x v="128"/>
    <x v="5"/>
    <x v="49"/>
    <x v="3"/>
    <x v="46"/>
    <x v="69"/>
    <x v="33"/>
    <x v="0"/>
    <x v="2"/>
    <x v="1"/>
    <x v="5"/>
  </r>
  <r>
    <x v="129"/>
    <x v="1"/>
    <x v="34"/>
    <x v="0"/>
    <x v="46"/>
    <x v="44"/>
    <x v="12"/>
    <x v="0"/>
    <x v="2"/>
    <x v="0"/>
    <x v="2"/>
  </r>
  <r>
    <x v="130"/>
    <x v="13"/>
    <x v="84"/>
    <x v="4"/>
    <x v="47"/>
    <x v="21"/>
    <x v="7"/>
    <x v="0"/>
    <x v="3"/>
    <x v="0"/>
    <x v="1"/>
  </r>
  <r>
    <x v="131"/>
    <x v="6"/>
    <x v="85"/>
    <x v="2"/>
    <x v="47"/>
    <x v="3"/>
    <x v="7"/>
    <x v="0"/>
    <x v="3"/>
    <x v="1"/>
    <x v="1"/>
  </r>
  <r>
    <x v="132"/>
    <x v="11"/>
    <x v="86"/>
    <x v="3"/>
    <x v="48"/>
    <x v="69"/>
    <x v="17"/>
    <x v="0"/>
    <x v="4"/>
    <x v="0"/>
    <x v="2"/>
  </r>
  <r>
    <x v="133"/>
    <x v="14"/>
    <x v="87"/>
    <x v="1"/>
    <x v="49"/>
    <x v="56"/>
    <x v="4"/>
    <x v="0"/>
    <x v="5"/>
    <x v="1"/>
    <x v="0"/>
  </r>
  <r>
    <x v="134"/>
    <x v="3"/>
    <x v="88"/>
    <x v="0"/>
    <x v="49"/>
    <x v="70"/>
    <x v="26"/>
    <x v="0"/>
    <x v="5"/>
    <x v="1"/>
    <x v="3"/>
  </r>
  <r>
    <x v="135"/>
    <x v="11"/>
    <x v="84"/>
    <x v="4"/>
    <x v="50"/>
    <x v="69"/>
    <x v="19"/>
    <x v="0"/>
    <x v="6"/>
    <x v="0"/>
    <x v="0"/>
  </r>
  <r>
    <x v="136"/>
    <x v="9"/>
    <x v="63"/>
    <x v="0"/>
    <x v="50"/>
    <x v="65"/>
    <x v="27"/>
    <x v="0"/>
    <x v="6"/>
    <x v="0"/>
    <x v="1"/>
  </r>
  <r>
    <x v="137"/>
    <x v="13"/>
    <x v="89"/>
    <x v="3"/>
    <x v="51"/>
    <x v="9"/>
    <x v="0"/>
    <x v="0"/>
    <x v="0"/>
    <x v="1"/>
    <x v="0"/>
  </r>
  <r>
    <x v="138"/>
    <x v="12"/>
    <x v="9"/>
    <x v="2"/>
    <x v="51"/>
    <x v="20"/>
    <x v="34"/>
    <x v="0"/>
    <x v="0"/>
    <x v="0"/>
    <x v="1"/>
  </r>
  <r>
    <x v="139"/>
    <x v="10"/>
    <x v="90"/>
    <x v="0"/>
    <x v="51"/>
    <x v="59"/>
    <x v="17"/>
    <x v="0"/>
    <x v="0"/>
    <x v="0"/>
    <x v="2"/>
  </r>
  <r>
    <x v="140"/>
    <x v="1"/>
    <x v="91"/>
    <x v="2"/>
    <x v="52"/>
    <x v="71"/>
    <x v="5"/>
    <x v="0"/>
    <x v="1"/>
    <x v="4"/>
    <x v="2"/>
  </r>
  <r>
    <x v="141"/>
    <x v="10"/>
    <x v="92"/>
    <x v="0"/>
    <x v="52"/>
    <x v="67"/>
    <x v="4"/>
    <x v="0"/>
    <x v="1"/>
    <x v="1"/>
    <x v="0"/>
  </r>
  <r>
    <x v="142"/>
    <x v="9"/>
    <x v="60"/>
    <x v="3"/>
    <x v="53"/>
    <x v="22"/>
    <x v="35"/>
    <x v="0"/>
    <x v="2"/>
    <x v="2"/>
    <x v="1"/>
  </r>
  <r>
    <x v="143"/>
    <x v="9"/>
    <x v="51"/>
    <x v="4"/>
    <x v="53"/>
    <x v="72"/>
    <x v="22"/>
    <x v="0"/>
    <x v="2"/>
    <x v="0"/>
    <x v="1"/>
  </r>
  <r>
    <x v="144"/>
    <x v="2"/>
    <x v="93"/>
    <x v="2"/>
    <x v="53"/>
    <x v="24"/>
    <x v="27"/>
    <x v="0"/>
    <x v="2"/>
    <x v="2"/>
    <x v="1"/>
  </r>
  <r>
    <x v="145"/>
    <x v="4"/>
    <x v="23"/>
    <x v="4"/>
    <x v="54"/>
    <x v="32"/>
    <x v="19"/>
    <x v="0"/>
    <x v="3"/>
    <x v="1"/>
    <x v="0"/>
  </r>
  <r>
    <x v="146"/>
    <x v="4"/>
    <x v="31"/>
    <x v="3"/>
    <x v="54"/>
    <x v="16"/>
    <x v="20"/>
    <x v="0"/>
    <x v="3"/>
    <x v="0"/>
    <x v="2"/>
  </r>
  <r>
    <x v="147"/>
    <x v="10"/>
    <x v="94"/>
    <x v="1"/>
    <x v="54"/>
    <x v="73"/>
    <x v="11"/>
    <x v="0"/>
    <x v="3"/>
    <x v="1"/>
    <x v="2"/>
  </r>
  <r>
    <x v="148"/>
    <x v="8"/>
    <x v="34"/>
    <x v="4"/>
    <x v="54"/>
    <x v="41"/>
    <x v="6"/>
    <x v="0"/>
    <x v="3"/>
    <x v="0"/>
    <x v="2"/>
  </r>
  <r>
    <x v="149"/>
    <x v="11"/>
    <x v="72"/>
    <x v="2"/>
    <x v="54"/>
    <x v="46"/>
    <x v="5"/>
    <x v="0"/>
    <x v="3"/>
    <x v="1"/>
    <x v="2"/>
  </r>
  <r>
    <x v="150"/>
    <x v="8"/>
    <x v="65"/>
    <x v="3"/>
    <x v="54"/>
    <x v="74"/>
    <x v="23"/>
    <x v="0"/>
    <x v="3"/>
    <x v="1"/>
    <x v="1"/>
  </r>
  <r>
    <x v="151"/>
    <x v="8"/>
    <x v="62"/>
    <x v="3"/>
    <x v="54"/>
    <x v="51"/>
    <x v="2"/>
    <x v="0"/>
    <x v="3"/>
    <x v="2"/>
    <x v="0"/>
  </r>
  <r>
    <x v="152"/>
    <x v="6"/>
    <x v="59"/>
    <x v="3"/>
    <x v="55"/>
    <x v="50"/>
    <x v="4"/>
    <x v="0"/>
    <x v="4"/>
    <x v="0"/>
    <x v="0"/>
  </r>
  <r>
    <x v="153"/>
    <x v="3"/>
    <x v="6"/>
    <x v="4"/>
    <x v="55"/>
    <x v="75"/>
    <x v="34"/>
    <x v="0"/>
    <x v="4"/>
    <x v="0"/>
    <x v="1"/>
  </r>
  <r>
    <x v="154"/>
    <x v="8"/>
    <x v="11"/>
    <x v="2"/>
    <x v="55"/>
    <x v="62"/>
    <x v="11"/>
    <x v="0"/>
    <x v="4"/>
    <x v="0"/>
    <x v="2"/>
  </r>
  <r>
    <x v="155"/>
    <x v="10"/>
    <x v="32"/>
    <x v="1"/>
    <x v="55"/>
    <x v="10"/>
    <x v="12"/>
    <x v="0"/>
    <x v="4"/>
    <x v="0"/>
    <x v="2"/>
  </r>
  <r>
    <x v="156"/>
    <x v="1"/>
    <x v="74"/>
    <x v="1"/>
    <x v="55"/>
    <x v="10"/>
    <x v="13"/>
    <x v="0"/>
    <x v="4"/>
    <x v="0"/>
    <x v="0"/>
  </r>
  <r>
    <x v="157"/>
    <x v="3"/>
    <x v="95"/>
    <x v="1"/>
    <x v="55"/>
    <x v="15"/>
    <x v="4"/>
    <x v="0"/>
    <x v="4"/>
    <x v="0"/>
    <x v="0"/>
  </r>
  <r>
    <x v="158"/>
    <x v="9"/>
    <x v="96"/>
    <x v="0"/>
    <x v="56"/>
    <x v="63"/>
    <x v="0"/>
    <x v="0"/>
    <x v="5"/>
    <x v="0"/>
    <x v="0"/>
  </r>
  <r>
    <x v="159"/>
    <x v="2"/>
    <x v="90"/>
    <x v="0"/>
    <x v="56"/>
    <x v="60"/>
    <x v="17"/>
    <x v="0"/>
    <x v="5"/>
    <x v="0"/>
    <x v="2"/>
  </r>
  <r>
    <x v="160"/>
    <x v="1"/>
    <x v="97"/>
    <x v="2"/>
    <x v="56"/>
    <x v="26"/>
    <x v="5"/>
    <x v="0"/>
    <x v="5"/>
    <x v="0"/>
    <x v="2"/>
  </r>
  <r>
    <x v="161"/>
    <x v="1"/>
    <x v="98"/>
    <x v="1"/>
    <x v="56"/>
    <x v="76"/>
    <x v="7"/>
    <x v="0"/>
    <x v="5"/>
    <x v="3"/>
    <x v="1"/>
  </r>
  <r>
    <x v="162"/>
    <x v="12"/>
    <x v="99"/>
    <x v="0"/>
    <x v="56"/>
    <x v="2"/>
    <x v="9"/>
    <x v="0"/>
    <x v="5"/>
    <x v="0"/>
    <x v="2"/>
  </r>
  <r>
    <x v="163"/>
    <x v="12"/>
    <x v="37"/>
    <x v="1"/>
    <x v="56"/>
    <x v="77"/>
    <x v="21"/>
    <x v="0"/>
    <x v="5"/>
    <x v="1"/>
    <x v="3"/>
  </r>
  <r>
    <x v="164"/>
    <x v="0"/>
    <x v="100"/>
    <x v="4"/>
    <x v="56"/>
    <x v="78"/>
    <x v="15"/>
    <x v="0"/>
    <x v="5"/>
    <x v="3"/>
    <x v="3"/>
  </r>
  <r>
    <x v="165"/>
    <x v="13"/>
    <x v="96"/>
    <x v="2"/>
    <x v="56"/>
    <x v="12"/>
    <x v="35"/>
    <x v="0"/>
    <x v="5"/>
    <x v="0"/>
    <x v="1"/>
  </r>
  <r>
    <x v="166"/>
    <x v="2"/>
    <x v="16"/>
    <x v="4"/>
    <x v="56"/>
    <x v="59"/>
    <x v="23"/>
    <x v="0"/>
    <x v="5"/>
    <x v="3"/>
    <x v="1"/>
  </r>
  <r>
    <x v="167"/>
    <x v="4"/>
    <x v="12"/>
    <x v="1"/>
    <x v="57"/>
    <x v="66"/>
    <x v="7"/>
    <x v="0"/>
    <x v="6"/>
    <x v="1"/>
    <x v="1"/>
  </r>
  <r>
    <x v="168"/>
    <x v="10"/>
    <x v="25"/>
    <x v="2"/>
    <x v="57"/>
    <x v="76"/>
    <x v="34"/>
    <x v="0"/>
    <x v="6"/>
    <x v="0"/>
    <x v="1"/>
  </r>
  <r>
    <x v="169"/>
    <x v="1"/>
    <x v="58"/>
    <x v="4"/>
    <x v="57"/>
    <x v="0"/>
    <x v="13"/>
    <x v="0"/>
    <x v="6"/>
    <x v="0"/>
    <x v="0"/>
  </r>
  <r>
    <x v="170"/>
    <x v="2"/>
    <x v="29"/>
    <x v="3"/>
    <x v="57"/>
    <x v="45"/>
    <x v="7"/>
    <x v="0"/>
    <x v="6"/>
    <x v="0"/>
    <x v="1"/>
  </r>
  <r>
    <x v="171"/>
    <x v="6"/>
    <x v="101"/>
    <x v="4"/>
    <x v="58"/>
    <x v="19"/>
    <x v="2"/>
    <x v="0"/>
    <x v="0"/>
    <x v="2"/>
    <x v="0"/>
  </r>
  <r>
    <x v="172"/>
    <x v="8"/>
    <x v="96"/>
    <x v="1"/>
    <x v="58"/>
    <x v="79"/>
    <x v="14"/>
    <x v="0"/>
    <x v="0"/>
    <x v="0"/>
    <x v="0"/>
  </r>
  <r>
    <x v="173"/>
    <x v="5"/>
    <x v="37"/>
    <x v="0"/>
    <x v="58"/>
    <x v="21"/>
    <x v="17"/>
    <x v="0"/>
    <x v="0"/>
    <x v="1"/>
    <x v="2"/>
  </r>
  <r>
    <x v="174"/>
    <x v="12"/>
    <x v="19"/>
    <x v="2"/>
    <x v="58"/>
    <x v="45"/>
    <x v="13"/>
    <x v="0"/>
    <x v="0"/>
    <x v="0"/>
    <x v="0"/>
  </r>
  <r>
    <x v="175"/>
    <x v="14"/>
    <x v="51"/>
    <x v="4"/>
    <x v="58"/>
    <x v="71"/>
    <x v="2"/>
    <x v="0"/>
    <x v="0"/>
    <x v="0"/>
    <x v="0"/>
  </r>
  <r>
    <x v="176"/>
    <x v="5"/>
    <x v="97"/>
    <x v="0"/>
    <x v="58"/>
    <x v="28"/>
    <x v="18"/>
    <x v="0"/>
    <x v="0"/>
    <x v="0"/>
    <x v="2"/>
  </r>
  <r>
    <x v="177"/>
    <x v="10"/>
    <x v="93"/>
    <x v="1"/>
    <x v="59"/>
    <x v="80"/>
    <x v="10"/>
    <x v="0"/>
    <x v="1"/>
    <x v="2"/>
    <x v="2"/>
  </r>
  <r>
    <x v="178"/>
    <x v="5"/>
    <x v="88"/>
    <x v="2"/>
    <x v="59"/>
    <x v="52"/>
    <x v="35"/>
    <x v="0"/>
    <x v="1"/>
    <x v="1"/>
    <x v="1"/>
  </r>
  <r>
    <x v="179"/>
    <x v="12"/>
    <x v="21"/>
    <x v="3"/>
    <x v="59"/>
    <x v="46"/>
    <x v="6"/>
    <x v="0"/>
    <x v="1"/>
    <x v="0"/>
    <x v="2"/>
  </r>
  <r>
    <x v="180"/>
    <x v="9"/>
    <x v="63"/>
    <x v="3"/>
    <x v="59"/>
    <x v="37"/>
    <x v="36"/>
    <x v="0"/>
    <x v="1"/>
    <x v="0"/>
    <x v="5"/>
  </r>
  <r>
    <x v="181"/>
    <x v="4"/>
    <x v="86"/>
    <x v="1"/>
    <x v="60"/>
    <x v="43"/>
    <x v="2"/>
    <x v="0"/>
    <x v="2"/>
    <x v="0"/>
    <x v="0"/>
  </r>
  <r>
    <x v="182"/>
    <x v="5"/>
    <x v="53"/>
    <x v="1"/>
    <x v="60"/>
    <x v="32"/>
    <x v="14"/>
    <x v="0"/>
    <x v="2"/>
    <x v="0"/>
    <x v="0"/>
  </r>
  <r>
    <x v="183"/>
    <x v="8"/>
    <x v="6"/>
    <x v="0"/>
    <x v="60"/>
    <x v="60"/>
    <x v="12"/>
    <x v="0"/>
    <x v="2"/>
    <x v="0"/>
    <x v="2"/>
  </r>
  <r>
    <x v="184"/>
    <x v="8"/>
    <x v="29"/>
    <x v="0"/>
    <x v="60"/>
    <x v="22"/>
    <x v="7"/>
    <x v="0"/>
    <x v="2"/>
    <x v="0"/>
    <x v="1"/>
  </r>
  <r>
    <x v="185"/>
    <x v="7"/>
    <x v="102"/>
    <x v="0"/>
    <x v="60"/>
    <x v="81"/>
    <x v="6"/>
    <x v="0"/>
    <x v="2"/>
    <x v="0"/>
    <x v="2"/>
  </r>
  <r>
    <x v="186"/>
    <x v="7"/>
    <x v="103"/>
    <x v="3"/>
    <x v="60"/>
    <x v="12"/>
    <x v="9"/>
    <x v="0"/>
    <x v="2"/>
    <x v="2"/>
    <x v="2"/>
  </r>
  <r>
    <x v="187"/>
    <x v="8"/>
    <x v="104"/>
    <x v="2"/>
    <x v="60"/>
    <x v="42"/>
    <x v="14"/>
    <x v="0"/>
    <x v="2"/>
    <x v="1"/>
    <x v="0"/>
  </r>
  <r>
    <x v="188"/>
    <x v="13"/>
    <x v="24"/>
    <x v="4"/>
    <x v="60"/>
    <x v="82"/>
    <x v="35"/>
    <x v="0"/>
    <x v="2"/>
    <x v="0"/>
    <x v="1"/>
  </r>
  <r>
    <x v="189"/>
    <x v="14"/>
    <x v="6"/>
    <x v="1"/>
    <x v="61"/>
    <x v="83"/>
    <x v="35"/>
    <x v="0"/>
    <x v="3"/>
    <x v="0"/>
    <x v="1"/>
  </r>
  <r>
    <x v="190"/>
    <x v="10"/>
    <x v="105"/>
    <x v="0"/>
    <x v="62"/>
    <x v="3"/>
    <x v="37"/>
    <x v="0"/>
    <x v="4"/>
    <x v="3"/>
    <x v="3"/>
  </r>
  <r>
    <x v="191"/>
    <x v="14"/>
    <x v="29"/>
    <x v="4"/>
    <x v="62"/>
    <x v="14"/>
    <x v="35"/>
    <x v="0"/>
    <x v="4"/>
    <x v="0"/>
    <x v="1"/>
  </r>
  <r>
    <x v="192"/>
    <x v="7"/>
    <x v="24"/>
    <x v="2"/>
    <x v="62"/>
    <x v="35"/>
    <x v="20"/>
    <x v="0"/>
    <x v="4"/>
    <x v="0"/>
    <x v="2"/>
  </r>
  <r>
    <x v="193"/>
    <x v="5"/>
    <x v="106"/>
    <x v="3"/>
    <x v="63"/>
    <x v="9"/>
    <x v="0"/>
    <x v="0"/>
    <x v="5"/>
    <x v="0"/>
    <x v="0"/>
  </r>
  <r>
    <x v="194"/>
    <x v="1"/>
    <x v="23"/>
    <x v="0"/>
    <x v="63"/>
    <x v="84"/>
    <x v="7"/>
    <x v="0"/>
    <x v="5"/>
    <x v="1"/>
    <x v="1"/>
  </r>
  <r>
    <x v="195"/>
    <x v="5"/>
    <x v="47"/>
    <x v="3"/>
    <x v="63"/>
    <x v="43"/>
    <x v="13"/>
    <x v="0"/>
    <x v="5"/>
    <x v="0"/>
    <x v="0"/>
  </r>
  <r>
    <x v="196"/>
    <x v="2"/>
    <x v="28"/>
    <x v="1"/>
    <x v="63"/>
    <x v="11"/>
    <x v="13"/>
    <x v="0"/>
    <x v="5"/>
    <x v="0"/>
    <x v="0"/>
  </r>
  <r>
    <x v="197"/>
    <x v="5"/>
    <x v="51"/>
    <x v="3"/>
    <x v="63"/>
    <x v="7"/>
    <x v="9"/>
    <x v="0"/>
    <x v="5"/>
    <x v="0"/>
    <x v="2"/>
  </r>
  <r>
    <x v="198"/>
    <x v="1"/>
    <x v="41"/>
    <x v="3"/>
    <x v="64"/>
    <x v="85"/>
    <x v="6"/>
    <x v="0"/>
    <x v="6"/>
    <x v="0"/>
    <x v="2"/>
  </r>
  <r>
    <x v="199"/>
    <x v="0"/>
    <x v="107"/>
    <x v="2"/>
    <x v="64"/>
    <x v="32"/>
    <x v="20"/>
    <x v="0"/>
    <x v="6"/>
    <x v="0"/>
    <x v="2"/>
  </r>
  <r>
    <x v="200"/>
    <x v="2"/>
    <x v="5"/>
    <x v="0"/>
    <x v="64"/>
    <x v="48"/>
    <x v="18"/>
    <x v="0"/>
    <x v="6"/>
    <x v="0"/>
    <x v="2"/>
  </r>
  <r>
    <x v="201"/>
    <x v="13"/>
    <x v="108"/>
    <x v="4"/>
    <x v="64"/>
    <x v="86"/>
    <x v="15"/>
    <x v="0"/>
    <x v="6"/>
    <x v="2"/>
    <x v="3"/>
  </r>
  <r>
    <x v="202"/>
    <x v="13"/>
    <x v="47"/>
    <x v="3"/>
    <x v="64"/>
    <x v="28"/>
    <x v="9"/>
    <x v="0"/>
    <x v="6"/>
    <x v="0"/>
    <x v="2"/>
  </r>
  <r>
    <x v="203"/>
    <x v="9"/>
    <x v="45"/>
    <x v="3"/>
    <x v="64"/>
    <x v="28"/>
    <x v="18"/>
    <x v="0"/>
    <x v="6"/>
    <x v="0"/>
    <x v="2"/>
  </r>
  <r>
    <x v="204"/>
    <x v="7"/>
    <x v="104"/>
    <x v="0"/>
    <x v="64"/>
    <x v="67"/>
    <x v="22"/>
    <x v="0"/>
    <x v="6"/>
    <x v="1"/>
    <x v="1"/>
  </r>
  <r>
    <x v="205"/>
    <x v="4"/>
    <x v="21"/>
    <x v="3"/>
    <x v="65"/>
    <x v="52"/>
    <x v="4"/>
    <x v="0"/>
    <x v="0"/>
    <x v="0"/>
    <x v="0"/>
  </r>
  <r>
    <x v="206"/>
    <x v="14"/>
    <x v="91"/>
    <x v="4"/>
    <x v="65"/>
    <x v="87"/>
    <x v="2"/>
    <x v="0"/>
    <x v="0"/>
    <x v="4"/>
    <x v="0"/>
  </r>
  <r>
    <x v="207"/>
    <x v="12"/>
    <x v="109"/>
    <x v="1"/>
    <x v="65"/>
    <x v="20"/>
    <x v="16"/>
    <x v="0"/>
    <x v="0"/>
    <x v="2"/>
    <x v="1"/>
  </r>
  <r>
    <x v="208"/>
    <x v="14"/>
    <x v="110"/>
    <x v="3"/>
    <x v="66"/>
    <x v="37"/>
    <x v="20"/>
    <x v="0"/>
    <x v="1"/>
    <x v="1"/>
    <x v="2"/>
  </r>
  <r>
    <x v="209"/>
    <x v="13"/>
    <x v="84"/>
    <x v="2"/>
    <x v="66"/>
    <x v="42"/>
    <x v="0"/>
    <x v="0"/>
    <x v="1"/>
    <x v="0"/>
    <x v="0"/>
  </r>
  <r>
    <x v="210"/>
    <x v="7"/>
    <x v="111"/>
    <x v="0"/>
    <x v="66"/>
    <x v="21"/>
    <x v="8"/>
    <x v="0"/>
    <x v="1"/>
    <x v="1"/>
    <x v="2"/>
  </r>
  <r>
    <x v="211"/>
    <x v="12"/>
    <x v="61"/>
    <x v="0"/>
    <x v="66"/>
    <x v="40"/>
    <x v="5"/>
    <x v="0"/>
    <x v="1"/>
    <x v="1"/>
    <x v="2"/>
  </r>
  <r>
    <x v="212"/>
    <x v="2"/>
    <x v="106"/>
    <x v="4"/>
    <x v="66"/>
    <x v="2"/>
    <x v="3"/>
    <x v="0"/>
    <x v="1"/>
    <x v="0"/>
    <x v="1"/>
  </r>
  <r>
    <x v="213"/>
    <x v="12"/>
    <x v="36"/>
    <x v="2"/>
    <x v="67"/>
    <x v="23"/>
    <x v="17"/>
    <x v="0"/>
    <x v="2"/>
    <x v="3"/>
    <x v="2"/>
  </r>
  <r>
    <x v="214"/>
    <x v="0"/>
    <x v="112"/>
    <x v="3"/>
    <x v="67"/>
    <x v="85"/>
    <x v="8"/>
    <x v="0"/>
    <x v="2"/>
    <x v="1"/>
    <x v="2"/>
  </r>
  <r>
    <x v="215"/>
    <x v="7"/>
    <x v="16"/>
    <x v="1"/>
    <x v="67"/>
    <x v="38"/>
    <x v="11"/>
    <x v="0"/>
    <x v="2"/>
    <x v="3"/>
    <x v="2"/>
  </r>
  <r>
    <x v="216"/>
    <x v="7"/>
    <x v="1"/>
    <x v="3"/>
    <x v="67"/>
    <x v="88"/>
    <x v="10"/>
    <x v="0"/>
    <x v="2"/>
    <x v="0"/>
    <x v="2"/>
  </r>
  <r>
    <x v="217"/>
    <x v="14"/>
    <x v="83"/>
    <x v="4"/>
    <x v="67"/>
    <x v="59"/>
    <x v="25"/>
    <x v="0"/>
    <x v="2"/>
    <x v="0"/>
    <x v="1"/>
  </r>
  <r>
    <x v="218"/>
    <x v="8"/>
    <x v="2"/>
    <x v="4"/>
    <x v="67"/>
    <x v="37"/>
    <x v="0"/>
    <x v="0"/>
    <x v="2"/>
    <x v="0"/>
    <x v="0"/>
  </r>
  <r>
    <x v="219"/>
    <x v="9"/>
    <x v="113"/>
    <x v="1"/>
    <x v="67"/>
    <x v="32"/>
    <x v="7"/>
    <x v="0"/>
    <x v="2"/>
    <x v="0"/>
    <x v="1"/>
  </r>
  <r>
    <x v="220"/>
    <x v="9"/>
    <x v="47"/>
    <x v="0"/>
    <x v="67"/>
    <x v="7"/>
    <x v="16"/>
    <x v="0"/>
    <x v="2"/>
    <x v="0"/>
    <x v="1"/>
  </r>
  <r>
    <x v="221"/>
    <x v="1"/>
    <x v="12"/>
    <x v="3"/>
    <x v="68"/>
    <x v="43"/>
    <x v="2"/>
    <x v="0"/>
    <x v="3"/>
    <x v="1"/>
    <x v="0"/>
  </r>
  <r>
    <x v="222"/>
    <x v="7"/>
    <x v="44"/>
    <x v="3"/>
    <x v="68"/>
    <x v="39"/>
    <x v="9"/>
    <x v="0"/>
    <x v="3"/>
    <x v="2"/>
    <x v="2"/>
  </r>
  <r>
    <x v="223"/>
    <x v="10"/>
    <x v="87"/>
    <x v="0"/>
    <x v="68"/>
    <x v="85"/>
    <x v="11"/>
    <x v="0"/>
    <x v="3"/>
    <x v="1"/>
    <x v="2"/>
  </r>
  <r>
    <x v="224"/>
    <x v="1"/>
    <x v="68"/>
    <x v="1"/>
    <x v="68"/>
    <x v="31"/>
    <x v="22"/>
    <x v="0"/>
    <x v="3"/>
    <x v="2"/>
    <x v="1"/>
  </r>
  <r>
    <x v="225"/>
    <x v="10"/>
    <x v="33"/>
    <x v="1"/>
    <x v="68"/>
    <x v="89"/>
    <x v="4"/>
    <x v="0"/>
    <x v="3"/>
    <x v="0"/>
    <x v="0"/>
  </r>
  <r>
    <x v="226"/>
    <x v="9"/>
    <x v="83"/>
    <x v="1"/>
    <x v="68"/>
    <x v="90"/>
    <x v="34"/>
    <x v="0"/>
    <x v="3"/>
    <x v="0"/>
    <x v="1"/>
  </r>
  <r>
    <x v="227"/>
    <x v="4"/>
    <x v="114"/>
    <x v="4"/>
    <x v="68"/>
    <x v="73"/>
    <x v="6"/>
    <x v="0"/>
    <x v="3"/>
    <x v="1"/>
    <x v="2"/>
  </r>
  <r>
    <x v="228"/>
    <x v="9"/>
    <x v="31"/>
    <x v="3"/>
    <x v="69"/>
    <x v="18"/>
    <x v="2"/>
    <x v="0"/>
    <x v="4"/>
    <x v="0"/>
    <x v="0"/>
  </r>
  <r>
    <x v="229"/>
    <x v="13"/>
    <x v="76"/>
    <x v="0"/>
    <x v="69"/>
    <x v="69"/>
    <x v="5"/>
    <x v="0"/>
    <x v="4"/>
    <x v="1"/>
    <x v="2"/>
  </r>
  <r>
    <x v="230"/>
    <x v="3"/>
    <x v="73"/>
    <x v="1"/>
    <x v="69"/>
    <x v="12"/>
    <x v="12"/>
    <x v="0"/>
    <x v="4"/>
    <x v="2"/>
    <x v="2"/>
  </r>
  <r>
    <x v="231"/>
    <x v="1"/>
    <x v="30"/>
    <x v="0"/>
    <x v="69"/>
    <x v="51"/>
    <x v="0"/>
    <x v="0"/>
    <x v="4"/>
    <x v="0"/>
    <x v="0"/>
  </r>
  <r>
    <x v="232"/>
    <x v="4"/>
    <x v="17"/>
    <x v="1"/>
    <x v="69"/>
    <x v="30"/>
    <x v="4"/>
    <x v="0"/>
    <x v="4"/>
    <x v="2"/>
    <x v="0"/>
  </r>
  <r>
    <x v="233"/>
    <x v="9"/>
    <x v="38"/>
    <x v="1"/>
    <x v="69"/>
    <x v="66"/>
    <x v="23"/>
    <x v="0"/>
    <x v="4"/>
    <x v="0"/>
    <x v="1"/>
  </r>
  <r>
    <x v="234"/>
    <x v="5"/>
    <x v="41"/>
    <x v="1"/>
    <x v="69"/>
    <x v="55"/>
    <x v="7"/>
    <x v="0"/>
    <x v="4"/>
    <x v="0"/>
    <x v="1"/>
  </r>
  <r>
    <x v="235"/>
    <x v="10"/>
    <x v="5"/>
    <x v="1"/>
    <x v="69"/>
    <x v="18"/>
    <x v="8"/>
    <x v="0"/>
    <x v="4"/>
    <x v="0"/>
    <x v="2"/>
  </r>
  <r>
    <x v="236"/>
    <x v="0"/>
    <x v="102"/>
    <x v="2"/>
    <x v="70"/>
    <x v="29"/>
    <x v="0"/>
    <x v="0"/>
    <x v="5"/>
    <x v="0"/>
    <x v="0"/>
  </r>
  <r>
    <x v="237"/>
    <x v="6"/>
    <x v="90"/>
    <x v="0"/>
    <x v="70"/>
    <x v="3"/>
    <x v="17"/>
    <x v="0"/>
    <x v="5"/>
    <x v="0"/>
    <x v="2"/>
  </r>
  <r>
    <x v="238"/>
    <x v="2"/>
    <x v="34"/>
    <x v="3"/>
    <x v="71"/>
    <x v="63"/>
    <x v="0"/>
    <x v="0"/>
    <x v="6"/>
    <x v="0"/>
    <x v="0"/>
  </r>
  <r>
    <x v="239"/>
    <x v="11"/>
    <x v="101"/>
    <x v="1"/>
    <x v="71"/>
    <x v="13"/>
    <x v="12"/>
    <x v="0"/>
    <x v="6"/>
    <x v="2"/>
    <x v="2"/>
  </r>
  <r>
    <x v="240"/>
    <x v="7"/>
    <x v="29"/>
    <x v="4"/>
    <x v="71"/>
    <x v="37"/>
    <x v="17"/>
    <x v="0"/>
    <x v="6"/>
    <x v="0"/>
    <x v="2"/>
  </r>
  <r>
    <x v="241"/>
    <x v="13"/>
    <x v="32"/>
    <x v="2"/>
    <x v="71"/>
    <x v="54"/>
    <x v="5"/>
    <x v="0"/>
    <x v="6"/>
    <x v="0"/>
    <x v="2"/>
  </r>
  <r>
    <x v="242"/>
    <x v="6"/>
    <x v="20"/>
    <x v="1"/>
    <x v="72"/>
    <x v="57"/>
    <x v="14"/>
    <x v="0"/>
    <x v="0"/>
    <x v="2"/>
    <x v="0"/>
  </r>
  <r>
    <x v="243"/>
    <x v="10"/>
    <x v="5"/>
    <x v="2"/>
    <x v="72"/>
    <x v="3"/>
    <x v="8"/>
    <x v="0"/>
    <x v="0"/>
    <x v="0"/>
    <x v="2"/>
  </r>
  <r>
    <x v="244"/>
    <x v="9"/>
    <x v="115"/>
    <x v="2"/>
    <x v="72"/>
    <x v="76"/>
    <x v="5"/>
    <x v="0"/>
    <x v="0"/>
    <x v="1"/>
    <x v="2"/>
  </r>
  <r>
    <x v="245"/>
    <x v="6"/>
    <x v="19"/>
    <x v="2"/>
    <x v="72"/>
    <x v="82"/>
    <x v="8"/>
    <x v="0"/>
    <x v="0"/>
    <x v="0"/>
    <x v="2"/>
  </r>
  <r>
    <x v="246"/>
    <x v="1"/>
    <x v="116"/>
    <x v="2"/>
    <x v="73"/>
    <x v="11"/>
    <x v="11"/>
    <x v="0"/>
    <x v="1"/>
    <x v="1"/>
    <x v="2"/>
  </r>
  <r>
    <x v="247"/>
    <x v="1"/>
    <x v="34"/>
    <x v="1"/>
    <x v="73"/>
    <x v="11"/>
    <x v="16"/>
    <x v="0"/>
    <x v="1"/>
    <x v="0"/>
    <x v="1"/>
  </r>
  <r>
    <x v="248"/>
    <x v="2"/>
    <x v="108"/>
    <x v="0"/>
    <x v="73"/>
    <x v="4"/>
    <x v="5"/>
    <x v="0"/>
    <x v="1"/>
    <x v="2"/>
    <x v="2"/>
  </r>
  <r>
    <x v="249"/>
    <x v="4"/>
    <x v="13"/>
    <x v="1"/>
    <x v="73"/>
    <x v="70"/>
    <x v="10"/>
    <x v="0"/>
    <x v="1"/>
    <x v="2"/>
    <x v="2"/>
  </r>
  <r>
    <x v="250"/>
    <x v="1"/>
    <x v="71"/>
    <x v="0"/>
    <x v="73"/>
    <x v="51"/>
    <x v="34"/>
    <x v="0"/>
    <x v="1"/>
    <x v="2"/>
    <x v="1"/>
  </r>
  <r>
    <x v="251"/>
    <x v="3"/>
    <x v="117"/>
    <x v="4"/>
    <x v="73"/>
    <x v="89"/>
    <x v="1"/>
    <x v="0"/>
    <x v="1"/>
    <x v="0"/>
    <x v="1"/>
  </r>
  <r>
    <x v="252"/>
    <x v="2"/>
    <x v="9"/>
    <x v="2"/>
    <x v="74"/>
    <x v="91"/>
    <x v="9"/>
    <x v="0"/>
    <x v="2"/>
    <x v="0"/>
    <x v="2"/>
  </r>
  <r>
    <x v="253"/>
    <x v="3"/>
    <x v="23"/>
    <x v="4"/>
    <x v="74"/>
    <x v="63"/>
    <x v="5"/>
    <x v="0"/>
    <x v="2"/>
    <x v="1"/>
    <x v="2"/>
  </r>
  <r>
    <x v="254"/>
    <x v="1"/>
    <x v="47"/>
    <x v="4"/>
    <x v="74"/>
    <x v="6"/>
    <x v="13"/>
    <x v="0"/>
    <x v="2"/>
    <x v="0"/>
    <x v="0"/>
  </r>
  <r>
    <x v="255"/>
    <x v="5"/>
    <x v="44"/>
    <x v="2"/>
    <x v="74"/>
    <x v="46"/>
    <x v="17"/>
    <x v="0"/>
    <x v="2"/>
    <x v="2"/>
    <x v="2"/>
  </r>
  <r>
    <x v="256"/>
    <x v="5"/>
    <x v="111"/>
    <x v="1"/>
    <x v="74"/>
    <x v="55"/>
    <x v="5"/>
    <x v="0"/>
    <x v="2"/>
    <x v="1"/>
    <x v="2"/>
  </r>
  <r>
    <x v="257"/>
    <x v="10"/>
    <x v="97"/>
    <x v="3"/>
    <x v="74"/>
    <x v="35"/>
    <x v="17"/>
    <x v="0"/>
    <x v="2"/>
    <x v="0"/>
    <x v="2"/>
  </r>
  <r>
    <x v="258"/>
    <x v="12"/>
    <x v="85"/>
    <x v="0"/>
    <x v="74"/>
    <x v="44"/>
    <x v="14"/>
    <x v="0"/>
    <x v="2"/>
    <x v="1"/>
    <x v="0"/>
  </r>
  <r>
    <x v="259"/>
    <x v="12"/>
    <x v="20"/>
    <x v="2"/>
    <x v="75"/>
    <x v="92"/>
    <x v="18"/>
    <x v="0"/>
    <x v="3"/>
    <x v="2"/>
    <x v="2"/>
  </r>
  <r>
    <x v="260"/>
    <x v="4"/>
    <x v="47"/>
    <x v="4"/>
    <x v="75"/>
    <x v="90"/>
    <x v="19"/>
    <x v="0"/>
    <x v="3"/>
    <x v="0"/>
    <x v="0"/>
  </r>
  <r>
    <x v="261"/>
    <x v="9"/>
    <x v="44"/>
    <x v="1"/>
    <x v="75"/>
    <x v="0"/>
    <x v="14"/>
    <x v="0"/>
    <x v="3"/>
    <x v="2"/>
    <x v="0"/>
  </r>
  <r>
    <x v="262"/>
    <x v="14"/>
    <x v="92"/>
    <x v="4"/>
    <x v="75"/>
    <x v="31"/>
    <x v="17"/>
    <x v="0"/>
    <x v="3"/>
    <x v="1"/>
    <x v="2"/>
  </r>
  <r>
    <x v="263"/>
    <x v="8"/>
    <x v="58"/>
    <x v="3"/>
    <x v="75"/>
    <x v="58"/>
    <x v="4"/>
    <x v="0"/>
    <x v="3"/>
    <x v="0"/>
    <x v="0"/>
  </r>
  <r>
    <x v="264"/>
    <x v="11"/>
    <x v="85"/>
    <x v="1"/>
    <x v="75"/>
    <x v="60"/>
    <x v="22"/>
    <x v="0"/>
    <x v="3"/>
    <x v="1"/>
    <x v="1"/>
  </r>
  <r>
    <x v="265"/>
    <x v="6"/>
    <x v="37"/>
    <x v="1"/>
    <x v="75"/>
    <x v="81"/>
    <x v="0"/>
    <x v="0"/>
    <x v="3"/>
    <x v="1"/>
    <x v="0"/>
  </r>
  <r>
    <x v="266"/>
    <x v="5"/>
    <x v="75"/>
    <x v="3"/>
    <x v="76"/>
    <x v="33"/>
    <x v="17"/>
    <x v="0"/>
    <x v="4"/>
    <x v="0"/>
    <x v="2"/>
  </r>
  <r>
    <x v="267"/>
    <x v="12"/>
    <x v="112"/>
    <x v="3"/>
    <x v="77"/>
    <x v="4"/>
    <x v="5"/>
    <x v="0"/>
    <x v="5"/>
    <x v="1"/>
    <x v="2"/>
  </r>
  <r>
    <x v="268"/>
    <x v="2"/>
    <x v="107"/>
    <x v="4"/>
    <x v="77"/>
    <x v="18"/>
    <x v="5"/>
    <x v="0"/>
    <x v="5"/>
    <x v="0"/>
    <x v="2"/>
  </r>
  <r>
    <x v="269"/>
    <x v="12"/>
    <x v="118"/>
    <x v="0"/>
    <x v="78"/>
    <x v="79"/>
    <x v="35"/>
    <x v="0"/>
    <x v="6"/>
    <x v="1"/>
    <x v="1"/>
  </r>
  <r>
    <x v="270"/>
    <x v="14"/>
    <x v="77"/>
    <x v="1"/>
    <x v="78"/>
    <x v="27"/>
    <x v="5"/>
    <x v="0"/>
    <x v="6"/>
    <x v="0"/>
    <x v="2"/>
  </r>
  <r>
    <x v="271"/>
    <x v="10"/>
    <x v="53"/>
    <x v="4"/>
    <x v="78"/>
    <x v="41"/>
    <x v="20"/>
    <x v="0"/>
    <x v="6"/>
    <x v="0"/>
    <x v="2"/>
  </r>
  <r>
    <x v="272"/>
    <x v="9"/>
    <x v="40"/>
    <x v="0"/>
    <x v="78"/>
    <x v="5"/>
    <x v="10"/>
    <x v="0"/>
    <x v="6"/>
    <x v="1"/>
    <x v="2"/>
  </r>
  <r>
    <x v="273"/>
    <x v="12"/>
    <x v="82"/>
    <x v="4"/>
    <x v="78"/>
    <x v="56"/>
    <x v="8"/>
    <x v="0"/>
    <x v="6"/>
    <x v="2"/>
    <x v="2"/>
  </r>
  <r>
    <x v="274"/>
    <x v="1"/>
    <x v="97"/>
    <x v="1"/>
    <x v="78"/>
    <x v="91"/>
    <x v="8"/>
    <x v="0"/>
    <x v="6"/>
    <x v="0"/>
    <x v="2"/>
  </r>
  <r>
    <x v="275"/>
    <x v="0"/>
    <x v="27"/>
    <x v="0"/>
    <x v="78"/>
    <x v="93"/>
    <x v="7"/>
    <x v="0"/>
    <x v="6"/>
    <x v="1"/>
    <x v="1"/>
  </r>
  <r>
    <x v="276"/>
    <x v="4"/>
    <x v="119"/>
    <x v="2"/>
    <x v="78"/>
    <x v="5"/>
    <x v="14"/>
    <x v="0"/>
    <x v="6"/>
    <x v="1"/>
    <x v="0"/>
  </r>
  <r>
    <x v="277"/>
    <x v="10"/>
    <x v="120"/>
    <x v="0"/>
    <x v="79"/>
    <x v="58"/>
    <x v="18"/>
    <x v="0"/>
    <x v="0"/>
    <x v="0"/>
    <x v="2"/>
  </r>
  <r>
    <x v="278"/>
    <x v="7"/>
    <x v="46"/>
    <x v="3"/>
    <x v="79"/>
    <x v="51"/>
    <x v="13"/>
    <x v="0"/>
    <x v="0"/>
    <x v="0"/>
    <x v="0"/>
  </r>
  <r>
    <x v="279"/>
    <x v="11"/>
    <x v="29"/>
    <x v="1"/>
    <x v="79"/>
    <x v="1"/>
    <x v="2"/>
    <x v="0"/>
    <x v="0"/>
    <x v="0"/>
    <x v="0"/>
  </r>
  <r>
    <x v="280"/>
    <x v="1"/>
    <x v="6"/>
    <x v="0"/>
    <x v="79"/>
    <x v="28"/>
    <x v="3"/>
    <x v="0"/>
    <x v="0"/>
    <x v="0"/>
    <x v="1"/>
  </r>
  <r>
    <x v="281"/>
    <x v="10"/>
    <x v="0"/>
    <x v="3"/>
    <x v="80"/>
    <x v="23"/>
    <x v="7"/>
    <x v="0"/>
    <x v="1"/>
    <x v="0"/>
    <x v="1"/>
  </r>
  <r>
    <x v="282"/>
    <x v="5"/>
    <x v="84"/>
    <x v="2"/>
    <x v="80"/>
    <x v="21"/>
    <x v="32"/>
    <x v="0"/>
    <x v="1"/>
    <x v="0"/>
    <x v="3"/>
  </r>
  <r>
    <x v="283"/>
    <x v="12"/>
    <x v="116"/>
    <x v="1"/>
    <x v="80"/>
    <x v="0"/>
    <x v="18"/>
    <x v="0"/>
    <x v="1"/>
    <x v="1"/>
    <x v="2"/>
  </r>
  <r>
    <x v="284"/>
    <x v="8"/>
    <x v="56"/>
    <x v="4"/>
    <x v="80"/>
    <x v="24"/>
    <x v="5"/>
    <x v="0"/>
    <x v="1"/>
    <x v="1"/>
    <x v="2"/>
  </r>
  <r>
    <x v="285"/>
    <x v="4"/>
    <x v="48"/>
    <x v="3"/>
    <x v="80"/>
    <x v="15"/>
    <x v="34"/>
    <x v="0"/>
    <x v="1"/>
    <x v="0"/>
    <x v="1"/>
  </r>
  <r>
    <x v="286"/>
    <x v="11"/>
    <x v="121"/>
    <x v="2"/>
    <x v="81"/>
    <x v="91"/>
    <x v="13"/>
    <x v="0"/>
    <x v="2"/>
    <x v="2"/>
    <x v="0"/>
  </r>
  <r>
    <x v="287"/>
    <x v="1"/>
    <x v="76"/>
    <x v="1"/>
    <x v="81"/>
    <x v="51"/>
    <x v="10"/>
    <x v="0"/>
    <x v="2"/>
    <x v="1"/>
    <x v="2"/>
  </r>
  <r>
    <x v="288"/>
    <x v="5"/>
    <x v="67"/>
    <x v="1"/>
    <x v="81"/>
    <x v="57"/>
    <x v="11"/>
    <x v="0"/>
    <x v="2"/>
    <x v="0"/>
    <x v="2"/>
  </r>
  <r>
    <x v="289"/>
    <x v="7"/>
    <x v="101"/>
    <x v="1"/>
    <x v="81"/>
    <x v="52"/>
    <x v="19"/>
    <x v="0"/>
    <x v="2"/>
    <x v="2"/>
    <x v="0"/>
  </r>
  <r>
    <x v="290"/>
    <x v="5"/>
    <x v="108"/>
    <x v="2"/>
    <x v="81"/>
    <x v="94"/>
    <x v="19"/>
    <x v="0"/>
    <x v="2"/>
    <x v="2"/>
    <x v="0"/>
  </r>
  <r>
    <x v="291"/>
    <x v="11"/>
    <x v="44"/>
    <x v="4"/>
    <x v="81"/>
    <x v="80"/>
    <x v="14"/>
    <x v="0"/>
    <x v="2"/>
    <x v="2"/>
    <x v="0"/>
  </r>
  <r>
    <x v="292"/>
    <x v="12"/>
    <x v="78"/>
    <x v="1"/>
    <x v="81"/>
    <x v="35"/>
    <x v="18"/>
    <x v="0"/>
    <x v="2"/>
    <x v="3"/>
    <x v="2"/>
  </r>
  <r>
    <x v="293"/>
    <x v="7"/>
    <x v="47"/>
    <x v="0"/>
    <x v="82"/>
    <x v="95"/>
    <x v="14"/>
    <x v="0"/>
    <x v="3"/>
    <x v="0"/>
    <x v="0"/>
  </r>
  <r>
    <x v="294"/>
    <x v="2"/>
    <x v="108"/>
    <x v="3"/>
    <x v="82"/>
    <x v="66"/>
    <x v="17"/>
    <x v="0"/>
    <x v="3"/>
    <x v="2"/>
    <x v="2"/>
  </r>
  <r>
    <x v="295"/>
    <x v="14"/>
    <x v="48"/>
    <x v="0"/>
    <x v="82"/>
    <x v="22"/>
    <x v="16"/>
    <x v="0"/>
    <x v="3"/>
    <x v="0"/>
    <x v="1"/>
  </r>
  <r>
    <x v="296"/>
    <x v="13"/>
    <x v="3"/>
    <x v="4"/>
    <x v="82"/>
    <x v="5"/>
    <x v="11"/>
    <x v="0"/>
    <x v="3"/>
    <x v="1"/>
    <x v="2"/>
  </r>
  <r>
    <x v="297"/>
    <x v="4"/>
    <x v="4"/>
    <x v="0"/>
    <x v="82"/>
    <x v="24"/>
    <x v="35"/>
    <x v="0"/>
    <x v="3"/>
    <x v="2"/>
    <x v="1"/>
  </r>
  <r>
    <x v="298"/>
    <x v="13"/>
    <x v="34"/>
    <x v="2"/>
    <x v="83"/>
    <x v="44"/>
    <x v="19"/>
    <x v="0"/>
    <x v="5"/>
    <x v="0"/>
    <x v="0"/>
  </r>
  <r>
    <x v="299"/>
    <x v="9"/>
    <x v="69"/>
    <x v="0"/>
    <x v="83"/>
    <x v="94"/>
    <x v="1"/>
    <x v="0"/>
    <x v="5"/>
    <x v="0"/>
    <x v="1"/>
  </r>
  <r>
    <x v="300"/>
    <x v="0"/>
    <x v="73"/>
    <x v="1"/>
    <x v="84"/>
    <x v="46"/>
    <x v="23"/>
    <x v="0"/>
    <x v="6"/>
    <x v="2"/>
    <x v="1"/>
  </r>
  <r>
    <x v="301"/>
    <x v="3"/>
    <x v="60"/>
    <x v="2"/>
    <x v="84"/>
    <x v="82"/>
    <x v="38"/>
    <x v="0"/>
    <x v="6"/>
    <x v="2"/>
    <x v="3"/>
  </r>
  <r>
    <x v="302"/>
    <x v="6"/>
    <x v="15"/>
    <x v="1"/>
    <x v="84"/>
    <x v="61"/>
    <x v="9"/>
    <x v="0"/>
    <x v="6"/>
    <x v="0"/>
    <x v="2"/>
  </r>
  <r>
    <x v="303"/>
    <x v="2"/>
    <x v="105"/>
    <x v="2"/>
    <x v="84"/>
    <x v="5"/>
    <x v="6"/>
    <x v="0"/>
    <x v="6"/>
    <x v="3"/>
    <x v="2"/>
  </r>
  <r>
    <x v="304"/>
    <x v="7"/>
    <x v="83"/>
    <x v="1"/>
    <x v="84"/>
    <x v="39"/>
    <x v="20"/>
    <x v="0"/>
    <x v="6"/>
    <x v="0"/>
    <x v="2"/>
  </r>
  <r>
    <x v="305"/>
    <x v="12"/>
    <x v="51"/>
    <x v="0"/>
    <x v="85"/>
    <x v="27"/>
    <x v="4"/>
    <x v="0"/>
    <x v="0"/>
    <x v="0"/>
    <x v="0"/>
  </r>
  <r>
    <x v="306"/>
    <x v="1"/>
    <x v="48"/>
    <x v="4"/>
    <x v="85"/>
    <x v="68"/>
    <x v="39"/>
    <x v="0"/>
    <x v="0"/>
    <x v="0"/>
    <x v="5"/>
  </r>
  <r>
    <x v="307"/>
    <x v="2"/>
    <x v="22"/>
    <x v="3"/>
    <x v="86"/>
    <x v="42"/>
    <x v="2"/>
    <x v="0"/>
    <x v="1"/>
    <x v="0"/>
    <x v="0"/>
  </r>
  <r>
    <x v="308"/>
    <x v="10"/>
    <x v="65"/>
    <x v="3"/>
    <x v="86"/>
    <x v="46"/>
    <x v="2"/>
    <x v="0"/>
    <x v="1"/>
    <x v="1"/>
    <x v="0"/>
  </r>
  <r>
    <x v="309"/>
    <x v="10"/>
    <x v="101"/>
    <x v="4"/>
    <x v="86"/>
    <x v="96"/>
    <x v="14"/>
    <x v="0"/>
    <x v="1"/>
    <x v="2"/>
    <x v="0"/>
  </r>
  <r>
    <x v="310"/>
    <x v="6"/>
    <x v="75"/>
    <x v="1"/>
    <x v="87"/>
    <x v="97"/>
    <x v="8"/>
    <x v="0"/>
    <x v="2"/>
    <x v="0"/>
    <x v="2"/>
  </r>
  <r>
    <x v="311"/>
    <x v="12"/>
    <x v="32"/>
    <x v="1"/>
    <x v="87"/>
    <x v="98"/>
    <x v="17"/>
    <x v="0"/>
    <x v="2"/>
    <x v="0"/>
    <x v="2"/>
  </r>
  <r>
    <x v="312"/>
    <x v="3"/>
    <x v="122"/>
    <x v="2"/>
    <x v="87"/>
    <x v="18"/>
    <x v="5"/>
    <x v="0"/>
    <x v="2"/>
    <x v="1"/>
    <x v="2"/>
  </r>
  <r>
    <x v="313"/>
    <x v="5"/>
    <x v="18"/>
    <x v="1"/>
    <x v="88"/>
    <x v="91"/>
    <x v="6"/>
    <x v="0"/>
    <x v="3"/>
    <x v="2"/>
    <x v="2"/>
  </r>
  <r>
    <x v="314"/>
    <x v="11"/>
    <x v="49"/>
    <x v="4"/>
    <x v="88"/>
    <x v="48"/>
    <x v="17"/>
    <x v="0"/>
    <x v="3"/>
    <x v="1"/>
    <x v="2"/>
  </r>
  <r>
    <x v="315"/>
    <x v="7"/>
    <x v="123"/>
    <x v="2"/>
    <x v="88"/>
    <x v="7"/>
    <x v="4"/>
    <x v="0"/>
    <x v="3"/>
    <x v="3"/>
    <x v="0"/>
  </r>
  <r>
    <x v="316"/>
    <x v="11"/>
    <x v="55"/>
    <x v="1"/>
    <x v="89"/>
    <x v="92"/>
    <x v="10"/>
    <x v="0"/>
    <x v="4"/>
    <x v="1"/>
    <x v="2"/>
  </r>
  <r>
    <x v="317"/>
    <x v="2"/>
    <x v="99"/>
    <x v="1"/>
    <x v="89"/>
    <x v="99"/>
    <x v="11"/>
    <x v="0"/>
    <x v="4"/>
    <x v="0"/>
    <x v="2"/>
  </r>
  <r>
    <x v="318"/>
    <x v="10"/>
    <x v="73"/>
    <x v="0"/>
    <x v="89"/>
    <x v="93"/>
    <x v="10"/>
    <x v="0"/>
    <x v="4"/>
    <x v="2"/>
    <x v="2"/>
  </r>
  <r>
    <x v="319"/>
    <x v="10"/>
    <x v="119"/>
    <x v="4"/>
    <x v="89"/>
    <x v="62"/>
    <x v="17"/>
    <x v="0"/>
    <x v="4"/>
    <x v="1"/>
    <x v="2"/>
  </r>
  <r>
    <x v="320"/>
    <x v="9"/>
    <x v="50"/>
    <x v="4"/>
    <x v="90"/>
    <x v="73"/>
    <x v="30"/>
    <x v="0"/>
    <x v="5"/>
    <x v="0"/>
    <x v="3"/>
  </r>
  <r>
    <x v="321"/>
    <x v="13"/>
    <x v="95"/>
    <x v="4"/>
    <x v="90"/>
    <x v="74"/>
    <x v="13"/>
    <x v="0"/>
    <x v="5"/>
    <x v="0"/>
    <x v="0"/>
  </r>
  <r>
    <x v="322"/>
    <x v="13"/>
    <x v="124"/>
    <x v="0"/>
    <x v="90"/>
    <x v="13"/>
    <x v="11"/>
    <x v="0"/>
    <x v="5"/>
    <x v="1"/>
    <x v="2"/>
  </r>
  <r>
    <x v="323"/>
    <x v="5"/>
    <x v="125"/>
    <x v="1"/>
    <x v="90"/>
    <x v="1"/>
    <x v="19"/>
    <x v="0"/>
    <x v="5"/>
    <x v="2"/>
    <x v="0"/>
  </r>
  <r>
    <x v="324"/>
    <x v="11"/>
    <x v="33"/>
    <x v="1"/>
    <x v="90"/>
    <x v="17"/>
    <x v="9"/>
    <x v="0"/>
    <x v="5"/>
    <x v="0"/>
    <x v="2"/>
  </r>
  <r>
    <x v="325"/>
    <x v="1"/>
    <x v="29"/>
    <x v="1"/>
    <x v="90"/>
    <x v="59"/>
    <x v="3"/>
    <x v="0"/>
    <x v="5"/>
    <x v="0"/>
    <x v="1"/>
  </r>
  <r>
    <x v="326"/>
    <x v="14"/>
    <x v="95"/>
    <x v="3"/>
    <x v="90"/>
    <x v="28"/>
    <x v="5"/>
    <x v="0"/>
    <x v="5"/>
    <x v="0"/>
    <x v="2"/>
  </r>
  <r>
    <x v="327"/>
    <x v="9"/>
    <x v="123"/>
    <x v="4"/>
    <x v="90"/>
    <x v="83"/>
    <x v="21"/>
    <x v="0"/>
    <x v="5"/>
    <x v="3"/>
    <x v="3"/>
  </r>
  <r>
    <x v="328"/>
    <x v="6"/>
    <x v="38"/>
    <x v="2"/>
    <x v="90"/>
    <x v="84"/>
    <x v="9"/>
    <x v="0"/>
    <x v="5"/>
    <x v="0"/>
    <x v="2"/>
  </r>
  <r>
    <x v="329"/>
    <x v="13"/>
    <x v="48"/>
    <x v="3"/>
    <x v="91"/>
    <x v="26"/>
    <x v="5"/>
    <x v="0"/>
    <x v="6"/>
    <x v="0"/>
    <x v="2"/>
  </r>
  <r>
    <x v="330"/>
    <x v="4"/>
    <x v="4"/>
    <x v="0"/>
    <x v="91"/>
    <x v="60"/>
    <x v="1"/>
    <x v="0"/>
    <x v="6"/>
    <x v="2"/>
    <x v="1"/>
  </r>
  <r>
    <x v="331"/>
    <x v="12"/>
    <x v="126"/>
    <x v="4"/>
    <x v="91"/>
    <x v="88"/>
    <x v="4"/>
    <x v="0"/>
    <x v="6"/>
    <x v="4"/>
    <x v="0"/>
  </r>
  <r>
    <x v="332"/>
    <x v="13"/>
    <x v="43"/>
    <x v="0"/>
    <x v="91"/>
    <x v="18"/>
    <x v="20"/>
    <x v="0"/>
    <x v="6"/>
    <x v="1"/>
    <x v="2"/>
  </r>
  <r>
    <x v="333"/>
    <x v="2"/>
    <x v="33"/>
    <x v="1"/>
    <x v="91"/>
    <x v="37"/>
    <x v="4"/>
    <x v="0"/>
    <x v="6"/>
    <x v="0"/>
    <x v="0"/>
  </r>
  <r>
    <x v="334"/>
    <x v="9"/>
    <x v="113"/>
    <x v="3"/>
    <x v="91"/>
    <x v="21"/>
    <x v="23"/>
    <x v="0"/>
    <x v="6"/>
    <x v="0"/>
    <x v="1"/>
  </r>
  <r>
    <x v="335"/>
    <x v="2"/>
    <x v="42"/>
    <x v="1"/>
    <x v="92"/>
    <x v="31"/>
    <x v="0"/>
    <x v="0"/>
    <x v="0"/>
    <x v="0"/>
    <x v="0"/>
  </r>
  <r>
    <x v="336"/>
    <x v="11"/>
    <x v="123"/>
    <x v="1"/>
    <x v="92"/>
    <x v="33"/>
    <x v="30"/>
    <x v="0"/>
    <x v="0"/>
    <x v="3"/>
    <x v="3"/>
  </r>
  <r>
    <x v="337"/>
    <x v="1"/>
    <x v="53"/>
    <x v="1"/>
    <x v="92"/>
    <x v="32"/>
    <x v="13"/>
    <x v="0"/>
    <x v="0"/>
    <x v="0"/>
    <x v="0"/>
  </r>
  <r>
    <x v="338"/>
    <x v="10"/>
    <x v="90"/>
    <x v="1"/>
    <x v="92"/>
    <x v="24"/>
    <x v="16"/>
    <x v="0"/>
    <x v="0"/>
    <x v="0"/>
    <x v="1"/>
  </r>
  <r>
    <x v="339"/>
    <x v="8"/>
    <x v="68"/>
    <x v="0"/>
    <x v="92"/>
    <x v="32"/>
    <x v="20"/>
    <x v="0"/>
    <x v="0"/>
    <x v="2"/>
    <x v="2"/>
  </r>
  <r>
    <x v="340"/>
    <x v="2"/>
    <x v="71"/>
    <x v="3"/>
    <x v="92"/>
    <x v="79"/>
    <x v="20"/>
    <x v="0"/>
    <x v="0"/>
    <x v="2"/>
    <x v="2"/>
  </r>
  <r>
    <x v="341"/>
    <x v="6"/>
    <x v="38"/>
    <x v="3"/>
    <x v="93"/>
    <x v="12"/>
    <x v="6"/>
    <x v="0"/>
    <x v="1"/>
    <x v="0"/>
    <x v="2"/>
  </r>
  <r>
    <x v="342"/>
    <x v="8"/>
    <x v="0"/>
    <x v="1"/>
    <x v="93"/>
    <x v="3"/>
    <x v="2"/>
    <x v="0"/>
    <x v="1"/>
    <x v="0"/>
    <x v="0"/>
  </r>
  <r>
    <x v="343"/>
    <x v="11"/>
    <x v="15"/>
    <x v="3"/>
    <x v="93"/>
    <x v="28"/>
    <x v="22"/>
    <x v="0"/>
    <x v="1"/>
    <x v="0"/>
    <x v="1"/>
  </r>
  <r>
    <x v="344"/>
    <x v="6"/>
    <x v="5"/>
    <x v="3"/>
    <x v="94"/>
    <x v="100"/>
    <x v="16"/>
    <x v="0"/>
    <x v="2"/>
    <x v="0"/>
    <x v="1"/>
  </r>
  <r>
    <x v="345"/>
    <x v="12"/>
    <x v="127"/>
    <x v="3"/>
    <x v="94"/>
    <x v="28"/>
    <x v="14"/>
    <x v="0"/>
    <x v="2"/>
    <x v="1"/>
    <x v="0"/>
  </r>
  <r>
    <x v="346"/>
    <x v="5"/>
    <x v="128"/>
    <x v="0"/>
    <x v="94"/>
    <x v="75"/>
    <x v="10"/>
    <x v="0"/>
    <x v="2"/>
    <x v="3"/>
    <x v="2"/>
  </r>
  <r>
    <x v="347"/>
    <x v="12"/>
    <x v="93"/>
    <x v="4"/>
    <x v="95"/>
    <x v="50"/>
    <x v="0"/>
    <x v="0"/>
    <x v="3"/>
    <x v="2"/>
    <x v="0"/>
  </r>
  <r>
    <x v="348"/>
    <x v="12"/>
    <x v="34"/>
    <x v="0"/>
    <x v="95"/>
    <x v="70"/>
    <x v="4"/>
    <x v="0"/>
    <x v="3"/>
    <x v="0"/>
    <x v="0"/>
  </r>
  <r>
    <x v="349"/>
    <x v="3"/>
    <x v="21"/>
    <x v="1"/>
    <x v="96"/>
    <x v="82"/>
    <x v="6"/>
    <x v="0"/>
    <x v="4"/>
    <x v="0"/>
    <x v="2"/>
  </r>
  <r>
    <x v="350"/>
    <x v="11"/>
    <x v="54"/>
    <x v="1"/>
    <x v="96"/>
    <x v="7"/>
    <x v="8"/>
    <x v="0"/>
    <x v="4"/>
    <x v="2"/>
    <x v="2"/>
  </r>
  <r>
    <x v="351"/>
    <x v="4"/>
    <x v="11"/>
    <x v="1"/>
    <x v="96"/>
    <x v="3"/>
    <x v="11"/>
    <x v="0"/>
    <x v="4"/>
    <x v="0"/>
    <x v="2"/>
  </r>
  <r>
    <x v="352"/>
    <x v="7"/>
    <x v="59"/>
    <x v="3"/>
    <x v="97"/>
    <x v="41"/>
    <x v="5"/>
    <x v="0"/>
    <x v="5"/>
    <x v="0"/>
    <x v="2"/>
  </r>
  <r>
    <x v="353"/>
    <x v="10"/>
    <x v="19"/>
    <x v="3"/>
    <x v="97"/>
    <x v="56"/>
    <x v="35"/>
    <x v="0"/>
    <x v="5"/>
    <x v="0"/>
    <x v="1"/>
  </r>
  <r>
    <x v="354"/>
    <x v="2"/>
    <x v="129"/>
    <x v="1"/>
    <x v="97"/>
    <x v="59"/>
    <x v="14"/>
    <x v="0"/>
    <x v="5"/>
    <x v="0"/>
    <x v="0"/>
  </r>
  <r>
    <x v="355"/>
    <x v="14"/>
    <x v="19"/>
    <x v="1"/>
    <x v="98"/>
    <x v="60"/>
    <x v="14"/>
    <x v="0"/>
    <x v="6"/>
    <x v="0"/>
    <x v="0"/>
  </r>
  <r>
    <x v="356"/>
    <x v="7"/>
    <x v="12"/>
    <x v="0"/>
    <x v="98"/>
    <x v="74"/>
    <x v="9"/>
    <x v="0"/>
    <x v="6"/>
    <x v="1"/>
    <x v="2"/>
  </r>
  <r>
    <x v="357"/>
    <x v="14"/>
    <x v="9"/>
    <x v="0"/>
    <x v="98"/>
    <x v="5"/>
    <x v="11"/>
    <x v="0"/>
    <x v="6"/>
    <x v="0"/>
    <x v="2"/>
  </r>
  <r>
    <x v="358"/>
    <x v="13"/>
    <x v="130"/>
    <x v="2"/>
    <x v="98"/>
    <x v="30"/>
    <x v="16"/>
    <x v="0"/>
    <x v="6"/>
    <x v="0"/>
    <x v="1"/>
  </r>
  <r>
    <x v="359"/>
    <x v="5"/>
    <x v="131"/>
    <x v="1"/>
    <x v="98"/>
    <x v="80"/>
    <x v="12"/>
    <x v="0"/>
    <x v="6"/>
    <x v="0"/>
    <x v="2"/>
  </r>
  <r>
    <x v="360"/>
    <x v="9"/>
    <x v="106"/>
    <x v="0"/>
    <x v="98"/>
    <x v="86"/>
    <x v="18"/>
    <x v="0"/>
    <x v="6"/>
    <x v="0"/>
    <x v="2"/>
  </r>
  <r>
    <x v="361"/>
    <x v="10"/>
    <x v="71"/>
    <x v="2"/>
    <x v="98"/>
    <x v="46"/>
    <x v="12"/>
    <x v="0"/>
    <x v="6"/>
    <x v="2"/>
    <x v="2"/>
  </r>
  <r>
    <x v="362"/>
    <x v="13"/>
    <x v="132"/>
    <x v="4"/>
    <x v="98"/>
    <x v="8"/>
    <x v="19"/>
    <x v="0"/>
    <x v="6"/>
    <x v="3"/>
    <x v="0"/>
  </r>
  <r>
    <x v="363"/>
    <x v="10"/>
    <x v="3"/>
    <x v="4"/>
    <x v="98"/>
    <x v="21"/>
    <x v="35"/>
    <x v="0"/>
    <x v="6"/>
    <x v="1"/>
    <x v="1"/>
  </r>
  <r>
    <x v="364"/>
    <x v="11"/>
    <x v="64"/>
    <x v="2"/>
    <x v="99"/>
    <x v="47"/>
    <x v="34"/>
    <x v="0"/>
    <x v="0"/>
    <x v="2"/>
    <x v="1"/>
  </r>
  <r>
    <x v="365"/>
    <x v="13"/>
    <x v="103"/>
    <x v="4"/>
    <x v="99"/>
    <x v="84"/>
    <x v="22"/>
    <x v="0"/>
    <x v="0"/>
    <x v="2"/>
    <x v="1"/>
  </r>
  <r>
    <x v="366"/>
    <x v="8"/>
    <x v="4"/>
    <x v="4"/>
    <x v="99"/>
    <x v="14"/>
    <x v="27"/>
    <x v="0"/>
    <x v="0"/>
    <x v="2"/>
    <x v="1"/>
  </r>
  <r>
    <x v="367"/>
    <x v="1"/>
    <x v="98"/>
    <x v="3"/>
    <x v="99"/>
    <x v="61"/>
    <x v="19"/>
    <x v="0"/>
    <x v="0"/>
    <x v="3"/>
    <x v="0"/>
  </r>
  <r>
    <x v="368"/>
    <x v="12"/>
    <x v="122"/>
    <x v="2"/>
    <x v="99"/>
    <x v="62"/>
    <x v="9"/>
    <x v="0"/>
    <x v="0"/>
    <x v="1"/>
    <x v="2"/>
  </r>
  <r>
    <x v="369"/>
    <x v="0"/>
    <x v="10"/>
    <x v="1"/>
    <x v="99"/>
    <x v="101"/>
    <x v="14"/>
    <x v="0"/>
    <x v="0"/>
    <x v="1"/>
    <x v="0"/>
  </r>
  <r>
    <x v="370"/>
    <x v="7"/>
    <x v="53"/>
    <x v="2"/>
    <x v="99"/>
    <x v="58"/>
    <x v="29"/>
    <x v="0"/>
    <x v="0"/>
    <x v="0"/>
    <x v="3"/>
  </r>
  <r>
    <x v="371"/>
    <x v="6"/>
    <x v="50"/>
    <x v="3"/>
    <x v="100"/>
    <x v="65"/>
    <x v="27"/>
    <x v="0"/>
    <x v="1"/>
    <x v="0"/>
    <x v="1"/>
  </r>
  <r>
    <x v="372"/>
    <x v="14"/>
    <x v="90"/>
    <x v="0"/>
    <x v="100"/>
    <x v="66"/>
    <x v="12"/>
    <x v="0"/>
    <x v="1"/>
    <x v="0"/>
    <x v="2"/>
  </r>
  <r>
    <x v="373"/>
    <x v="2"/>
    <x v="28"/>
    <x v="4"/>
    <x v="100"/>
    <x v="56"/>
    <x v="5"/>
    <x v="0"/>
    <x v="1"/>
    <x v="0"/>
    <x v="2"/>
  </r>
  <r>
    <x v="374"/>
    <x v="14"/>
    <x v="133"/>
    <x v="1"/>
    <x v="100"/>
    <x v="12"/>
    <x v="12"/>
    <x v="0"/>
    <x v="1"/>
    <x v="1"/>
    <x v="2"/>
  </r>
  <r>
    <x v="375"/>
    <x v="11"/>
    <x v="118"/>
    <x v="1"/>
    <x v="100"/>
    <x v="6"/>
    <x v="14"/>
    <x v="0"/>
    <x v="1"/>
    <x v="1"/>
    <x v="0"/>
  </r>
  <r>
    <x v="376"/>
    <x v="2"/>
    <x v="117"/>
    <x v="0"/>
    <x v="101"/>
    <x v="91"/>
    <x v="18"/>
    <x v="0"/>
    <x v="2"/>
    <x v="0"/>
    <x v="2"/>
  </r>
  <r>
    <x v="377"/>
    <x v="7"/>
    <x v="91"/>
    <x v="0"/>
    <x v="101"/>
    <x v="75"/>
    <x v="10"/>
    <x v="0"/>
    <x v="2"/>
    <x v="4"/>
    <x v="2"/>
  </r>
  <r>
    <x v="378"/>
    <x v="9"/>
    <x v="53"/>
    <x v="2"/>
    <x v="102"/>
    <x v="37"/>
    <x v="6"/>
    <x v="0"/>
    <x v="3"/>
    <x v="0"/>
    <x v="2"/>
  </r>
  <r>
    <x v="379"/>
    <x v="13"/>
    <x v="99"/>
    <x v="2"/>
    <x v="102"/>
    <x v="47"/>
    <x v="11"/>
    <x v="0"/>
    <x v="3"/>
    <x v="0"/>
    <x v="2"/>
  </r>
  <r>
    <x v="380"/>
    <x v="1"/>
    <x v="31"/>
    <x v="1"/>
    <x v="102"/>
    <x v="51"/>
    <x v="0"/>
    <x v="0"/>
    <x v="3"/>
    <x v="0"/>
    <x v="0"/>
  </r>
  <r>
    <x v="381"/>
    <x v="0"/>
    <x v="134"/>
    <x v="4"/>
    <x v="102"/>
    <x v="30"/>
    <x v="9"/>
    <x v="0"/>
    <x v="3"/>
    <x v="0"/>
    <x v="2"/>
  </r>
  <r>
    <x v="382"/>
    <x v="4"/>
    <x v="68"/>
    <x v="2"/>
    <x v="102"/>
    <x v="59"/>
    <x v="17"/>
    <x v="0"/>
    <x v="3"/>
    <x v="2"/>
    <x v="2"/>
  </r>
  <r>
    <x v="383"/>
    <x v="3"/>
    <x v="73"/>
    <x v="4"/>
    <x v="102"/>
    <x v="59"/>
    <x v="4"/>
    <x v="0"/>
    <x v="3"/>
    <x v="2"/>
    <x v="0"/>
  </r>
  <r>
    <x v="384"/>
    <x v="10"/>
    <x v="90"/>
    <x v="1"/>
    <x v="102"/>
    <x v="16"/>
    <x v="24"/>
    <x v="0"/>
    <x v="3"/>
    <x v="0"/>
    <x v="3"/>
  </r>
  <r>
    <x v="385"/>
    <x v="14"/>
    <x v="63"/>
    <x v="2"/>
    <x v="102"/>
    <x v="56"/>
    <x v="5"/>
    <x v="0"/>
    <x v="3"/>
    <x v="0"/>
    <x v="2"/>
  </r>
  <r>
    <x v="386"/>
    <x v="6"/>
    <x v="117"/>
    <x v="2"/>
    <x v="103"/>
    <x v="56"/>
    <x v="11"/>
    <x v="0"/>
    <x v="4"/>
    <x v="0"/>
    <x v="2"/>
  </r>
  <r>
    <x v="387"/>
    <x v="11"/>
    <x v="0"/>
    <x v="2"/>
    <x v="103"/>
    <x v="32"/>
    <x v="13"/>
    <x v="0"/>
    <x v="4"/>
    <x v="0"/>
    <x v="0"/>
  </r>
  <r>
    <x v="388"/>
    <x v="1"/>
    <x v="25"/>
    <x v="0"/>
    <x v="104"/>
    <x v="89"/>
    <x v="16"/>
    <x v="0"/>
    <x v="5"/>
    <x v="0"/>
    <x v="1"/>
  </r>
  <r>
    <x v="389"/>
    <x v="14"/>
    <x v="15"/>
    <x v="1"/>
    <x v="104"/>
    <x v="43"/>
    <x v="13"/>
    <x v="0"/>
    <x v="5"/>
    <x v="0"/>
    <x v="0"/>
  </r>
  <r>
    <x v="390"/>
    <x v="14"/>
    <x v="71"/>
    <x v="0"/>
    <x v="104"/>
    <x v="70"/>
    <x v="24"/>
    <x v="0"/>
    <x v="5"/>
    <x v="2"/>
    <x v="3"/>
  </r>
  <r>
    <x v="391"/>
    <x v="10"/>
    <x v="84"/>
    <x v="4"/>
    <x v="104"/>
    <x v="100"/>
    <x v="4"/>
    <x v="0"/>
    <x v="5"/>
    <x v="0"/>
    <x v="0"/>
  </r>
  <r>
    <x v="392"/>
    <x v="11"/>
    <x v="125"/>
    <x v="3"/>
    <x v="104"/>
    <x v="91"/>
    <x v="20"/>
    <x v="0"/>
    <x v="5"/>
    <x v="2"/>
    <x v="2"/>
  </r>
  <r>
    <x v="393"/>
    <x v="1"/>
    <x v="114"/>
    <x v="2"/>
    <x v="104"/>
    <x v="31"/>
    <x v="18"/>
    <x v="0"/>
    <x v="5"/>
    <x v="1"/>
    <x v="2"/>
  </r>
  <r>
    <x v="394"/>
    <x v="8"/>
    <x v="135"/>
    <x v="4"/>
    <x v="104"/>
    <x v="61"/>
    <x v="4"/>
    <x v="0"/>
    <x v="5"/>
    <x v="3"/>
    <x v="0"/>
  </r>
  <r>
    <x v="395"/>
    <x v="1"/>
    <x v="62"/>
    <x v="2"/>
    <x v="105"/>
    <x v="0"/>
    <x v="2"/>
    <x v="0"/>
    <x v="6"/>
    <x v="2"/>
    <x v="0"/>
  </r>
  <r>
    <x v="396"/>
    <x v="3"/>
    <x v="48"/>
    <x v="1"/>
    <x v="105"/>
    <x v="65"/>
    <x v="10"/>
    <x v="0"/>
    <x v="6"/>
    <x v="0"/>
    <x v="2"/>
  </r>
  <r>
    <x v="397"/>
    <x v="14"/>
    <x v="93"/>
    <x v="2"/>
    <x v="105"/>
    <x v="27"/>
    <x v="12"/>
    <x v="0"/>
    <x v="6"/>
    <x v="2"/>
    <x v="2"/>
  </r>
  <r>
    <x v="398"/>
    <x v="1"/>
    <x v="97"/>
    <x v="2"/>
    <x v="105"/>
    <x v="98"/>
    <x v="9"/>
    <x v="0"/>
    <x v="6"/>
    <x v="0"/>
    <x v="2"/>
  </r>
  <r>
    <x v="399"/>
    <x v="14"/>
    <x v="34"/>
    <x v="3"/>
    <x v="105"/>
    <x v="86"/>
    <x v="9"/>
    <x v="0"/>
    <x v="6"/>
    <x v="0"/>
    <x v="2"/>
  </r>
  <r>
    <x v="400"/>
    <x v="6"/>
    <x v="5"/>
    <x v="0"/>
    <x v="105"/>
    <x v="47"/>
    <x v="23"/>
    <x v="0"/>
    <x v="6"/>
    <x v="0"/>
    <x v="1"/>
  </r>
  <r>
    <x v="401"/>
    <x v="8"/>
    <x v="49"/>
    <x v="2"/>
    <x v="106"/>
    <x v="31"/>
    <x v="11"/>
    <x v="0"/>
    <x v="0"/>
    <x v="1"/>
    <x v="2"/>
  </r>
  <r>
    <x v="402"/>
    <x v="3"/>
    <x v="136"/>
    <x v="3"/>
    <x v="106"/>
    <x v="53"/>
    <x v="7"/>
    <x v="0"/>
    <x v="0"/>
    <x v="1"/>
    <x v="1"/>
  </r>
  <r>
    <x v="403"/>
    <x v="9"/>
    <x v="76"/>
    <x v="2"/>
    <x v="106"/>
    <x v="42"/>
    <x v="23"/>
    <x v="0"/>
    <x v="0"/>
    <x v="1"/>
    <x v="1"/>
  </r>
  <r>
    <x v="404"/>
    <x v="1"/>
    <x v="54"/>
    <x v="2"/>
    <x v="106"/>
    <x v="36"/>
    <x v="2"/>
    <x v="0"/>
    <x v="0"/>
    <x v="2"/>
    <x v="0"/>
  </r>
  <r>
    <x v="405"/>
    <x v="5"/>
    <x v="117"/>
    <x v="4"/>
    <x v="106"/>
    <x v="18"/>
    <x v="9"/>
    <x v="0"/>
    <x v="0"/>
    <x v="0"/>
    <x v="2"/>
  </r>
  <r>
    <x v="406"/>
    <x v="1"/>
    <x v="12"/>
    <x v="1"/>
    <x v="107"/>
    <x v="91"/>
    <x v="4"/>
    <x v="0"/>
    <x v="1"/>
    <x v="1"/>
    <x v="0"/>
  </r>
  <r>
    <x v="407"/>
    <x v="3"/>
    <x v="75"/>
    <x v="2"/>
    <x v="107"/>
    <x v="89"/>
    <x v="10"/>
    <x v="0"/>
    <x v="1"/>
    <x v="0"/>
    <x v="2"/>
  </r>
  <r>
    <x v="408"/>
    <x v="2"/>
    <x v="86"/>
    <x v="1"/>
    <x v="107"/>
    <x v="22"/>
    <x v="12"/>
    <x v="0"/>
    <x v="1"/>
    <x v="0"/>
    <x v="2"/>
  </r>
  <r>
    <x v="409"/>
    <x v="14"/>
    <x v="137"/>
    <x v="3"/>
    <x v="107"/>
    <x v="57"/>
    <x v="18"/>
    <x v="0"/>
    <x v="1"/>
    <x v="3"/>
    <x v="2"/>
  </r>
  <r>
    <x v="410"/>
    <x v="6"/>
    <x v="37"/>
    <x v="4"/>
    <x v="107"/>
    <x v="102"/>
    <x v="0"/>
    <x v="0"/>
    <x v="1"/>
    <x v="1"/>
    <x v="0"/>
  </r>
  <r>
    <x v="411"/>
    <x v="2"/>
    <x v="80"/>
    <x v="4"/>
    <x v="107"/>
    <x v="61"/>
    <x v="9"/>
    <x v="0"/>
    <x v="1"/>
    <x v="3"/>
    <x v="2"/>
  </r>
  <r>
    <x v="412"/>
    <x v="12"/>
    <x v="29"/>
    <x v="2"/>
    <x v="107"/>
    <x v="57"/>
    <x v="0"/>
    <x v="0"/>
    <x v="1"/>
    <x v="0"/>
    <x v="0"/>
  </r>
  <r>
    <x v="413"/>
    <x v="10"/>
    <x v="114"/>
    <x v="4"/>
    <x v="107"/>
    <x v="0"/>
    <x v="6"/>
    <x v="0"/>
    <x v="1"/>
    <x v="1"/>
    <x v="2"/>
  </r>
  <r>
    <x v="414"/>
    <x v="0"/>
    <x v="92"/>
    <x v="4"/>
    <x v="108"/>
    <x v="89"/>
    <x v="17"/>
    <x v="0"/>
    <x v="2"/>
    <x v="1"/>
    <x v="2"/>
  </r>
  <r>
    <x v="415"/>
    <x v="12"/>
    <x v="55"/>
    <x v="1"/>
    <x v="108"/>
    <x v="32"/>
    <x v="0"/>
    <x v="0"/>
    <x v="2"/>
    <x v="1"/>
    <x v="0"/>
  </r>
  <r>
    <x v="416"/>
    <x v="2"/>
    <x v="130"/>
    <x v="1"/>
    <x v="108"/>
    <x v="67"/>
    <x v="10"/>
    <x v="0"/>
    <x v="2"/>
    <x v="0"/>
    <x v="2"/>
  </r>
  <r>
    <x v="417"/>
    <x v="4"/>
    <x v="138"/>
    <x v="1"/>
    <x v="108"/>
    <x v="4"/>
    <x v="17"/>
    <x v="0"/>
    <x v="2"/>
    <x v="3"/>
    <x v="2"/>
  </r>
  <r>
    <x v="418"/>
    <x v="2"/>
    <x v="131"/>
    <x v="1"/>
    <x v="108"/>
    <x v="71"/>
    <x v="11"/>
    <x v="0"/>
    <x v="2"/>
    <x v="0"/>
    <x v="2"/>
  </r>
  <r>
    <x v="419"/>
    <x v="5"/>
    <x v="116"/>
    <x v="2"/>
    <x v="109"/>
    <x v="97"/>
    <x v="4"/>
    <x v="0"/>
    <x v="3"/>
    <x v="1"/>
    <x v="0"/>
  </r>
  <r>
    <x v="420"/>
    <x v="12"/>
    <x v="137"/>
    <x v="0"/>
    <x v="109"/>
    <x v="90"/>
    <x v="2"/>
    <x v="0"/>
    <x v="3"/>
    <x v="3"/>
    <x v="0"/>
  </r>
  <r>
    <x v="421"/>
    <x v="8"/>
    <x v="28"/>
    <x v="2"/>
    <x v="109"/>
    <x v="2"/>
    <x v="18"/>
    <x v="0"/>
    <x v="3"/>
    <x v="0"/>
    <x v="2"/>
  </r>
  <r>
    <x v="422"/>
    <x v="8"/>
    <x v="7"/>
    <x v="2"/>
    <x v="109"/>
    <x v="78"/>
    <x v="23"/>
    <x v="0"/>
    <x v="3"/>
    <x v="2"/>
    <x v="1"/>
  </r>
  <r>
    <x v="423"/>
    <x v="2"/>
    <x v="66"/>
    <x v="1"/>
    <x v="109"/>
    <x v="41"/>
    <x v="7"/>
    <x v="0"/>
    <x v="3"/>
    <x v="0"/>
    <x v="1"/>
  </r>
  <r>
    <x v="424"/>
    <x v="0"/>
    <x v="97"/>
    <x v="3"/>
    <x v="110"/>
    <x v="28"/>
    <x v="19"/>
    <x v="0"/>
    <x v="4"/>
    <x v="0"/>
    <x v="0"/>
  </r>
  <r>
    <x v="425"/>
    <x v="5"/>
    <x v="58"/>
    <x v="0"/>
    <x v="110"/>
    <x v="94"/>
    <x v="29"/>
    <x v="0"/>
    <x v="4"/>
    <x v="0"/>
    <x v="3"/>
  </r>
  <r>
    <x v="426"/>
    <x v="3"/>
    <x v="139"/>
    <x v="0"/>
    <x v="110"/>
    <x v="28"/>
    <x v="16"/>
    <x v="0"/>
    <x v="4"/>
    <x v="1"/>
    <x v="1"/>
  </r>
  <r>
    <x v="427"/>
    <x v="2"/>
    <x v="61"/>
    <x v="3"/>
    <x v="111"/>
    <x v="27"/>
    <x v="22"/>
    <x v="0"/>
    <x v="5"/>
    <x v="1"/>
    <x v="1"/>
  </r>
  <r>
    <x v="428"/>
    <x v="10"/>
    <x v="125"/>
    <x v="1"/>
    <x v="111"/>
    <x v="94"/>
    <x v="4"/>
    <x v="0"/>
    <x v="5"/>
    <x v="2"/>
    <x v="0"/>
  </r>
  <r>
    <x v="429"/>
    <x v="8"/>
    <x v="10"/>
    <x v="4"/>
    <x v="112"/>
    <x v="29"/>
    <x v="16"/>
    <x v="0"/>
    <x v="6"/>
    <x v="1"/>
    <x v="1"/>
  </r>
  <r>
    <x v="430"/>
    <x v="5"/>
    <x v="22"/>
    <x v="1"/>
    <x v="112"/>
    <x v="38"/>
    <x v="1"/>
    <x v="0"/>
    <x v="6"/>
    <x v="0"/>
    <x v="1"/>
  </r>
  <r>
    <x v="431"/>
    <x v="5"/>
    <x v="22"/>
    <x v="3"/>
    <x v="112"/>
    <x v="45"/>
    <x v="21"/>
    <x v="0"/>
    <x v="6"/>
    <x v="0"/>
    <x v="3"/>
  </r>
  <r>
    <x v="432"/>
    <x v="9"/>
    <x v="107"/>
    <x v="2"/>
    <x v="112"/>
    <x v="69"/>
    <x v="19"/>
    <x v="0"/>
    <x v="6"/>
    <x v="0"/>
    <x v="0"/>
  </r>
  <r>
    <x v="433"/>
    <x v="2"/>
    <x v="140"/>
    <x v="1"/>
    <x v="112"/>
    <x v="11"/>
    <x v="4"/>
    <x v="0"/>
    <x v="6"/>
    <x v="3"/>
    <x v="0"/>
  </r>
  <r>
    <x v="434"/>
    <x v="8"/>
    <x v="48"/>
    <x v="3"/>
    <x v="113"/>
    <x v="75"/>
    <x v="4"/>
    <x v="0"/>
    <x v="0"/>
    <x v="0"/>
    <x v="0"/>
  </r>
  <r>
    <x v="435"/>
    <x v="9"/>
    <x v="22"/>
    <x v="3"/>
    <x v="113"/>
    <x v="5"/>
    <x v="6"/>
    <x v="0"/>
    <x v="0"/>
    <x v="0"/>
    <x v="2"/>
  </r>
  <r>
    <x v="436"/>
    <x v="14"/>
    <x v="73"/>
    <x v="1"/>
    <x v="114"/>
    <x v="102"/>
    <x v="4"/>
    <x v="0"/>
    <x v="1"/>
    <x v="2"/>
    <x v="0"/>
  </r>
  <r>
    <x v="437"/>
    <x v="7"/>
    <x v="65"/>
    <x v="2"/>
    <x v="114"/>
    <x v="88"/>
    <x v="18"/>
    <x v="0"/>
    <x v="1"/>
    <x v="1"/>
    <x v="2"/>
  </r>
  <r>
    <x v="438"/>
    <x v="1"/>
    <x v="141"/>
    <x v="4"/>
    <x v="114"/>
    <x v="59"/>
    <x v="27"/>
    <x v="0"/>
    <x v="1"/>
    <x v="0"/>
    <x v="1"/>
  </r>
  <r>
    <x v="439"/>
    <x v="8"/>
    <x v="77"/>
    <x v="0"/>
    <x v="114"/>
    <x v="21"/>
    <x v="20"/>
    <x v="0"/>
    <x v="1"/>
    <x v="0"/>
    <x v="2"/>
  </r>
  <r>
    <x v="440"/>
    <x v="11"/>
    <x v="21"/>
    <x v="1"/>
    <x v="114"/>
    <x v="2"/>
    <x v="4"/>
    <x v="0"/>
    <x v="1"/>
    <x v="0"/>
    <x v="0"/>
  </r>
  <r>
    <x v="441"/>
    <x v="6"/>
    <x v="1"/>
    <x v="2"/>
    <x v="114"/>
    <x v="7"/>
    <x v="2"/>
    <x v="0"/>
    <x v="1"/>
    <x v="0"/>
    <x v="0"/>
  </r>
  <r>
    <x v="442"/>
    <x v="0"/>
    <x v="10"/>
    <x v="3"/>
    <x v="115"/>
    <x v="72"/>
    <x v="17"/>
    <x v="0"/>
    <x v="2"/>
    <x v="1"/>
    <x v="2"/>
  </r>
  <r>
    <x v="443"/>
    <x v="7"/>
    <x v="103"/>
    <x v="4"/>
    <x v="115"/>
    <x v="26"/>
    <x v="23"/>
    <x v="0"/>
    <x v="2"/>
    <x v="2"/>
    <x v="1"/>
  </r>
  <r>
    <x v="444"/>
    <x v="2"/>
    <x v="142"/>
    <x v="3"/>
    <x v="116"/>
    <x v="46"/>
    <x v="12"/>
    <x v="0"/>
    <x v="3"/>
    <x v="2"/>
    <x v="2"/>
  </r>
  <r>
    <x v="445"/>
    <x v="0"/>
    <x v="74"/>
    <x v="1"/>
    <x v="116"/>
    <x v="9"/>
    <x v="36"/>
    <x v="0"/>
    <x v="3"/>
    <x v="0"/>
    <x v="5"/>
  </r>
  <r>
    <x v="446"/>
    <x v="9"/>
    <x v="84"/>
    <x v="4"/>
    <x v="116"/>
    <x v="99"/>
    <x v="20"/>
    <x v="0"/>
    <x v="3"/>
    <x v="0"/>
    <x v="2"/>
  </r>
  <r>
    <x v="447"/>
    <x v="0"/>
    <x v="129"/>
    <x v="4"/>
    <x v="116"/>
    <x v="55"/>
    <x v="10"/>
    <x v="0"/>
    <x v="3"/>
    <x v="0"/>
    <x v="2"/>
  </r>
  <r>
    <x v="448"/>
    <x v="13"/>
    <x v="78"/>
    <x v="4"/>
    <x v="117"/>
    <x v="49"/>
    <x v="14"/>
    <x v="0"/>
    <x v="4"/>
    <x v="3"/>
    <x v="0"/>
  </r>
  <r>
    <x v="449"/>
    <x v="14"/>
    <x v="75"/>
    <x v="2"/>
    <x v="117"/>
    <x v="44"/>
    <x v="3"/>
    <x v="0"/>
    <x v="4"/>
    <x v="0"/>
    <x v="1"/>
  </r>
  <r>
    <x v="450"/>
    <x v="9"/>
    <x v="22"/>
    <x v="1"/>
    <x v="117"/>
    <x v="19"/>
    <x v="0"/>
    <x v="0"/>
    <x v="4"/>
    <x v="0"/>
    <x v="0"/>
  </r>
  <r>
    <x v="451"/>
    <x v="8"/>
    <x v="101"/>
    <x v="3"/>
    <x v="118"/>
    <x v="10"/>
    <x v="18"/>
    <x v="0"/>
    <x v="6"/>
    <x v="2"/>
    <x v="2"/>
  </r>
  <r>
    <x v="452"/>
    <x v="14"/>
    <x v="70"/>
    <x v="3"/>
    <x v="118"/>
    <x v="48"/>
    <x v="5"/>
    <x v="0"/>
    <x v="6"/>
    <x v="1"/>
    <x v="2"/>
  </r>
  <r>
    <x v="453"/>
    <x v="8"/>
    <x v="95"/>
    <x v="3"/>
    <x v="119"/>
    <x v="85"/>
    <x v="8"/>
    <x v="0"/>
    <x v="0"/>
    <x v="0"/>
    <x v="2"/>
  </r>
  <r>
    <x v="454"/>
    <x v="11"/>
    <x v="65"/>
    <x v="3"/>
    <x v="119"/>
    <x v="85"/>
    <x v="2"/>
    <x v="0"/>
    <x v="0"/>
    <x v="1"/>
    <x v="0"/>
  </r>
  <r>
    <x v="455"/>
    <x v="0"/>
    <x v="143"/>
    <x v="1"/>
    <x v="120"/>
    <x v="64"/>
    <x v="0"/>
    <x v="0"/>
    <x v="1"/>
    <x v="2"/>
    <x v="0"/>
  </r>
  <r>
    <x v="456"/>
    <x v="1"/>
    <x v="7"/>
    <x v="2"/>
    <x v="120"/>
    <x v="67"/>
    <x v="14"/>
    <x v="0"/>
    <x v="1"/>
    <x v="2"/>
    <x v="0"/>
  </r>
  <r>
    <x v="457"/>
    <x v="0"/>
    <x v="59"/>
    <x v="4"/>
    <x v="120"/>
    <x v="7"/>
    <x v="0"/>
    <x v="0"/>
    <x v="1"/>
    <x v="0"/>
    <x v="0"/>
  </r>
  <r>
    <x v="458"/>
    <x v="11"/>
    <x v="21"/>
    <x v="0"/>
    <x v="120"/>
    <x v="90"/>
    <x v="6"/>
    <x v="0"/>
    <x v="1"/>
    <x v="0"/>
    <x v="2"/>
  </r>
  <r>
    <x v="459"/>
    <x v="9"/>
    <x v="128"/>
    <x v="2"/>
    <x v="120"/>
    <x v="68"/>
    <x v="11"/>
    <x v="0"/>
    <x v="1"/>
    <x v="3"/>
    <x v="2"/>
  </r>
  <r>
    <x v="460"/>
    <x v="4"/>
    <x v="8"/>
    <x v="4"/>
    <x v="120"/>
    <x v="23"/>
    <x v="8"/>
    <x v="0"/>
    <x v="1"/>
    <x v="2"/>
    <x v="2"/>
  </r>
  <r>
    <x v="461"/>
    <x v="10"/>
    <x v="144"/>
    <x v="1"/>
    <x v="121"/>
    <x v="14"/>
    <x v="4"/>
    <x v="0"/>
    <x v="2"/>
    <x v="2"/>
    <x v="0"/>
  </r>
  <r>
    <x v="462"/>
    <x v="14"/>
    <x v="34"/>
    <x v="3"/>
    <x v="122"/>
    <x v="92"/>
    <x v="14"/>
    <x v="0"/>
    <x v="3"/>
    <x v="0"/>
    <x v="0"/>
  </r>
  <r>
    <x v="463"/>
    <x v="6"/>
    <x v="17"/>
    <x v="2"/>
    <x v="123"/>
    <x v="4"/>
    <x v="16"/>
    <x v="0"/>
    <x v="4"/>
    <x v="2"/>
    <x v="1"/>
  </r>
  <r>
    <x v="464"/>
    <x v="2"/>
    <x v="128"/>
    <x v="2"/>
    <x v="124"/>
    <x v="79"/>
    <x v="23"/>
    <x v="0"/>
    <x v="5"/>
    <x v="3"/>
    <x v="1"/>
  </r>
  <r>
    <x v="465"/>
    <x v="7"/>
    <x v="129"/>
    <x v="3"/>
    <x v="124"/>
    <x v="103"/>
    <x v="0"/>
    <x v="0"/>
    <x v="5"/>
    <x v="0"/>
    <x v="0"/>
  </r>
  <r>
    <x v="466"/>
    <x v="4"/>
    <x v="111"/>
    <x v="4"/>
    <x v="124"/>
    <x v="53"/>
    <x v="4"/>
    <x v="0"/>
    <x v="5"/>
    <x v="1"/>
    <x v="0"/>
  </r>
  <r>
    <x v="467"/>
    <x v="7"/>
    <x v="22"/>
    <x v="1"/>
    <x v="125"/>
    <x v="62"/>
    <x v="40"/>
    <x v="0"/>
    <x v="0"/>
    <x v="0"/>
    <x v="5"/>
  </r>
  <r>
    <x v="468"/>
    <x v="13"/>
    <x v="102"/>
    <x v="2"/>
    <x v="125"/>
    <x v="85"/>
    <x v="22"/>
    <x v="0"/>
    <x v="0"/>
    <x v="0"/>
    <x v="1"/>
  </r>
  <r>
    <x v="469"/>
    <x v="2"/>
    <x v="86"/>
    <x v="3"/>
    <x v="125"/>
    <x v="35"/>
    <x v="7"/>
    <x v="0"/>
    <x v="0"/>
    <x v="0"/>
    <x v="1"/>
  </r>
  <r>
    <x v="470"/>
    <x v="5"/>
    <x v="108"/>
    <x v="3"/>
    <x v="126"/>
    <x v="70"/>
    <x v="19"/>
    <x v="0"/>
    <x v="1"/>
    <x v="2"/>
    <x v="0"/>
  </r>
  <r>
    <x v="471"/>
    <x v="1"/>
    <x v="85"/>
    <x v="2"/>
    <x v="126"/>
    <x v="59"/>
    <x v="12"/>
    <x v="0"/>
    <x v="1"/>
    <x v="1"/>
    <x v="2"/>
  </r>
  <r>
    <x v="472"/>
    <x v="14"/>
    <x v="145"/>
    <x v="3"/>
    <x v="127"/>
    <x v="83"/>
    <x v="34"/>
    <x v="0"/>
    <x v="2"/>
    <x v="2"/>
    <x v="1"/>
  </r>
  <r>
    <x v="473"/>
    <x v="10"/>
    <x v="98"/>
    <x v="1"/>
    <x v="127"/>
    <x v="23"/>
    <x v="18"/>
    <x v="0"/>
    <x v="2"/>
    <x v="3"/>
    <x v="2"/>
  </r>
  <r>
    <x v="474"/>
    <x v="2"/>
    <x v="24"/>
    <x v="3"/>
    <x v="128"/>
    <x v="98"/>
    <x v="0"/>
    <x v="0"/>
    <x v="3"/>
    <x v="0"/>
    <x v="0"/>
  </r>
  <r>
    <x v="475"/>
    <x v="14"/>
    <x v="12"/>
    <x v="2"/>
    <x v="128"/>
    <x v="96"/>
    <x v="23"/>
    <x v="0"/>
    <x v="3"/>
    <x v="1"/>
    <x v="1"/>
  </r>
  <r>
    <x v="476"/>
    <x v="8"/>
    <x v="54"/>
    <x v="1"/>
    <x v="128"/>
    <x v="30"/>
    <x v="2"/>
    <x v="0"/>
    <x v="3"/>
    <x v="2"/>
    <x v="0"/>
  </r>
  <r>
    <x v="477"/>
    <x v="2"/>
    <x v="117"/>
    <x v="3"/>
    <x v="128"/>
    <x v="38"/>
    <x v="12"/>
    <x v="0"/>
    <x v="3"/>
    <x v="0"/>
    <x v="2"/>
  </r>
  <r>
    <x v="478"/>
    <x v="6"/>
    <x v="79"/>
    <x v="4"/>
    <x v="129"/>
    <x v="32"/>
    <x v="12"/>
    <x v="0"/>
    <x v="4"/>
    <x v="3"/>
    <x v="2"/>
  </r>
  <r>
    <x v="479"/>
    <x v="9"/>
    <x v="38"/>
    <x v="4"/>
    <x v="130"/>
    <x v="12"/>
    <x v="20"/>
    <x v="0"/>
    <x v="5"/>
    <x v="0"/>
    <x v="2"/>
  </r>
  <r>
    <x v="480"/>
    <x v="1"/>
    <x v="19"/>
    <x v="2"/>
    <x v="131"/>
    <x v="86"/>
    <x v="2"/>
    <x v="0"/>
    <x v="0"/>
    <x v="0"/>
    <x v="0"/>
  </r>
  <r>
    <x v="481"/>
    <x v="12"/>
    <x v="99"/>
    <x v="4"/>
    <x v="131"/>
    <x v="99"/>
    <x v="0"/>
    <x v="0"/>
    <x v="0"/>
    <x v="0"/>
    <x v="0"/>
  </r>
  <r>
    <x v="482"/>
    <x v="12"/>
    <x v="107"/>
    <x v="4"/>
    <x v="131"/>
    <x v="0"/>
    <x v="10"/>
    <x v="0"/>
    <x v="0"/>
    <x v="0"/>
    <x v="2"/>
  </r>
  <r>
    <x v="483"/>
    <x v="12"/>
    <x v="146"/>
    <x v="2"/>
    <x v="131"/>
    <x v="44"/>
    <x v="14"/>
    <x v="0"/>
    <x v="0"/>
    <x v="0"/>
    <x v="0"/>
  </r>
  <r>
    <x v="484"/>
    <x v="8"/>
    <x v="77"/>
    <x v="3"/>
    <x v="132"/>
    <x v="77"/>
    <x v="19"/>
    <x v="0"/>
    <x v="1"/>
    <x v="0"/>
    <x v="0"/>
  </r>
  <r>
    <x v="485"/>
    <x v="6"/>
    <x v="90"/>
    <x v="4"/>
    <x v="132"/>
    <x v="32"/>
    <x v="16"/>
    <x v="0"/>
    <x v="1"/>
    <x v="0"/>
    <x v="1"/>
  </r>
  <r>
    <x v="486"/>
    <x v="4"/>
    <x v="147"/>
    <x v="4"/>
    <x v="132"/>
    <x v="16"/>
    <x v="11"/>
    <x v="0"/>
    <x v="1"/>
    <x v="2"/>
    <x v="2"/>
  </r>
  <r>
    <x v="487"/>
    <x v="12"/>
    <x v="86"/>
    <x v="2"/>
    <x v="132"/>
    <x v="28"/>
    <x v="2"/>
    <x v="0"/>
    <x v="1"/>
    <x v="0"/>
    <x v="0"/>
  </r>
  <r>
    <x v="488"/>
    <x v="3"/>
    <x v="23"/>
    <x v="3"/>
    <x v="133"/>
    <x v="64"/>
    <x v="9"/>
    <x v="0"/>
    <x v="2"/>
    <x v="1"/>
    <x v="2"/>
  </r>
  <r>
    <x v="489"/>
    <x v="1"/>
    <x v="146"/>
    <x v="3"/>
    <x v="133"/>
    <x v="66"/>
    <x v="2"/>
    <x v="0"/>
    <x v="2"/>
    <x v="0"/>
    <x v="0"/>
  </r>
  <r>
    <x v="490"/>
    <x v="14"/>
    <x v="47"/>
    <x v="3"/>
    <x v="133"/>
    <x v="24"/>
    <x v="25"/>
    <x v="0"/>
    <x v="2"/>
    <x v="0"/>
    <x v="1"/>
  </r>
  <r>
    <x v="491"/>
    <x v="6"/>
    <x v="44"/>
    <x v="0"/>
    <x v="134"/>
    <x v="26"/>
    <x v="6"/>
    <x v="0"/>
    <x v="3"/>
    <x v="2"/>
    <x v="2"/>
  </r>
  <r>
    <x v="492"/>
    <x v="10"/>
    <x v="122"/>
    <x v="4"/>
    <x v="134"/>
    <x v="4"/>
    <x v="20"/>
    <x v="0"/>
    <x v="3"/>
    <x v="1"/>
    <x v="2"/>
  </r>
  <r>
    <x v="493"/>
    <x v="13"/>
    <x v="58"/>
    <x v="1"/>
    <x v="134"/>
    <x v="49"/>
    <x v="10"/>
    <x v="0"/>
    <x v="3"/>
    <x v="0"/>
    <x v="2"/>
  </r>
  <r>
    <x v="494"/>
    <x v="7"/>
    <x v="89"/>
    <x v="3"/>
    <x v="135"/>
    <x v="26"/>
    <x v="20"/>
    <x v="0"/>
    <x v="4"/>
    <x v="1"/>
    <x v="2"/>
  </r>
  <r>
    <x v="495"/>
    <x v="4"/>
    <x v="148"/>
    <x v="4"/>
    <x v="135"/>
    <x v="26"/>
    <x v="12"/>
    <x v="0"/>
    <x v="4"/>
    <x v="1"/>
    <x v="2"/>
  </r>
  <r>
    <x v="496"/>
    <x v="14"/>
    <x v="149"/>
    <x v="4"/>
    <x v="135"/>
    <x v="73"/>
    <x v="1"/>
    <x v="0"/>
    <x v="4"/>
    <x v="1"/>
    <x v="1"/>
  </r>
  <r>
    <x v="497"/>
    <x v="7"/>
    <x v="22"/>
    <x v="4"/>
    <x v="135"/>
    <x v="93"/>
    <x v="12"/>
    <x v="0"/>
    <x v="4"/>
    <x v="0"/>
    <x v="2"/>
  </r>
  <r>
    <x v="498"/>
    <x v="9"/>
    <x v="86"/>
    <x v="4"/>
    <x v="135"/>
    <x v="45"/>
    <x v="0"/>
    <x v="0"/>
    <x v="4"/>
    <x v="0"/>
    <x v="0"/>
  </r>
  <r>
    <x v="499"/>
    <x v="9"/>
    <x v="146"/>
    <x v="3"/>
    <x v="135"/>
    <x v="45"/>
    <x v="9"/>
    <x v="0"/>
    <x v="4"/>
    <x v="0"/>
    <x v="2"/>
  </r>
  <r>
    <x v="500"/>
    <x v="13"/>
    <x v="50"/>
    <x v="2"/>
    <x v="136"/>
    <x v="95"/>
    <x v="9"/>
    <x v="0"/>
    <x v="5"/>
    <x v="0"/>
    <x v="2"/>
  </r>
  <r>
    <x v="501"/>
    <x v="8"/>
    <x v="6"/>
    <x v="0"/>
    <x v="136"/>
    <x v="53"/>
    <x v="7"/>
    <x v="0"/>
    <x v="5"/>
    <x v="0"/>
    <x v="1"/>
  </r>
  <r>
    <x v="502"/>
    <x v="3"/>
    <x v="64"/>
    <x v="0"/>
    <x v="136"/>
    <x v="1"/>
    <x v="10"/>
    <x v="0"/>
    <x v="5"/>
    <x v="2"/>
    <x v="2"/>
  </r>
  <r>
    <x v="503"/>
    <x v="13"/>
    <x v="50"/>
    <x v="1"/>
    <x v="136"/>
    <x v="34"/>
    <x v="15"/>
    <x v="0"/>
    <x v="5"/>
    <x v="0"/>
    <x v="3"/>
  </r>
  <r>
    <x v="504"/>
    <x v="6"/>
    <x v="62"/>
    <x v="2"/>
    <x v="136"/>
    <x v="64"/>
    <x v="0"/>
    <x v="0"/>
    <x v="5"/>
    <x v="2"/>
    <x v="0"/>
  </r>
  <r>
    <x v="505"/>
    <x v="13"/>
    <x v="38"/>
    <x v="3"/>
    <x v="137"/>
    <x v="36"/>
    <x v="7"/>
    <x v="0"/>
    <x v="6"/>
    <x v="0"/>
    <x v="1"/>
  </r>
  <r>
    <x v="506"/>
    <x v="13"/>
    <x v="58"/>
    <x v="3"/>
    <x v="137"/>
    <x v="101"/>
    <x v="13"/>
    <x v="0"/>
    <x v="6"/>
    <x v="0"/>
    <x v="0"/>
  </r>
  <r>
    <x v="507"/>
    <x v="0"/>
    <x v="71"/>
    <x v="2"/>
    <x v="138"/>
    <x v="98"/>
    <x v="14"/>
    <x v="0"/>
    <x v="0"/>
    <x v="2"/>
    <x v="0"/>
  </r>
  <r>
    <x v="508"/>
    <x v="7"/>
    <x v="101"/>
    <x v="0"/>
    <x v="138"/>
    <x v="93"/>
    <x v="27"/>
    <x v="0"/>
    <x v="0"/>
    <x v="2"/>
    <x v="1"/>
  </r>
  <r>
    <x v="509"/>
    <x v="6"/>
    <x v="150"/>
    <x v="4"/>
    <x v="138"/>
    <x v="82"/>
    <x v="18"/>
    <x v="0"/>
    <x v="0"/>
    <x v="1"/>
    <x v="2"/>
  </r>
  <r>
    <x v="510"/>
    <x v="4"/>
    <x v="11"/>
    <x v="3"/>
    <x v="139"/>
    <x v="56"/>
    <x v="14"/>
    <x v="0"/>
    <x v="1"/>
    <x v="0"/>
    <x v="0"/>
  </r>
  <r>
    <x v="511"/>
    <x v="9"/>
    <x v="50"/>
    <x v="0"/>
    <x v="139"/>
    <x v="62"/>
    <x v="5"/>
    <x v="0"/>
    <x v="1"/>
    <x v="0"/>
    <x v="2"/>
  </r>
  <r>
    <x v="512"/>
    <x v="9"/>
    <x v="63"/>
    <x v="2"/>
    <x v="140"/>
    <x v="29"/>
    <x v="8"/>
    <x v="0"/>
    <x v="2"/>
    <x v="0"/>
    <x v="2"/>
  </r>
  <r>
    <x v="513"/>
    <x v="6"/>
    <x v="104"/>
    <x v="4"/>
    <x v="140"/>
    <x v="31"/>
    <x v="35"/>
    <x v="0"/>
    <x v="2"/>
    <x v="1"/>
    <x v="1"/>
  </r>
  <r>
    <x v="514"/>
    <x v="11"/>
    <x v="30"/>
    <x v="1"/>
    <x v="140"/>
    <x v="67"/>
    <x v="2"/>
    <x v="0"/>
    <x v="2"/>
    <x v="0"/>
    <x v="0"/>
  </r>
  <r>
    <x v="515"/>
    <x v="5"/>
    <x v="47"/>
    <x v="0"/>
    <x v="140"/>
    <x v="85"/>
    <x v="35"/>
    <x v="0"/>
    <x v="2"/>
    <x v="0"/>
    <x v="1"/>
  </r>
  <r>
    <x v="516"/>
    <x v="10"/>
    <x v="48"/>
    <x v="4"/>
    <x v="140"/>
    <x v="33"/>
    <x v="6"/>
    <x v="0"/>
    <x v="2"/>
    <x v="0"/>
    <x v="2"/>
  </r>
  <r>
    <x v="517"/>
    <x v="6"/>
    <x v="32"/>
    <x v="4"/>
    <x v="141"/>
    <x v="31"/>
    <x v="17"/>
    <x v="0"/>
    <x v="3"/>
    <x v="0"/>
    <x v="2"/>
  </r>
  <r>
    <x v="518"/>
    <x v="3"/>
    <x v="30"/>
    <x v="1"/>
    <x v="141"/>
    <x v="62"/>
    <x v="20"/>
    <x v="0"/>
    <x v="3"/>
    <x v="0"/>
    <x v="2"/>
  </r>
  <r>
    <x v="519"/>
    <x v="3"/>
    <x v="145"/>
    <x v="1"/>
    <x v="142"/>
    <x v="10"/>
    <x v="14"/>
    <x v="0"/>
    <x v="4"/>
    <x v="2"/>
    <x v="0"/>
  </r>
  <r>
    <x v="520"/>
    <x v="14"/>
    <x v="121"/>
    <x v="1"/>
    <x v="142"/>
    <x v="9"/>
    <x v="19"/>
    <x v="0"/>
    <x v="4"/>
    <x v="2"/>
    <x v="0"/>
  </r>
  <r>
    <x v="521"/>
    <x v="7"/>
    <x v="75"/>
    <x v="4"/>
    <x v="142"/>
    <x v="80"/>
    <x v="12"/>
    <x v="0"/>
    <x v="4"/>
    <x v="0"/>
    <x v="2"/>
  </r>
  <r>
    <x v="522"/>
    <x v="12"/>
    <x v="56"/>
    <x v="2"/>
    <x v="143"/>
    <x v="48"/>
    <x v="4"/>
    <x v="0"/>
    <x v="6"/>
    <x v="1"/>
    <x v="0"/>
  </r>
  <r>
    <x v="523"/>
    <x v="5"/>
    <x v="52"/>
    <x v="4"/>
    <x v="143"/>
    <x v="99"/>
    <x v="2"/>
    <x v="0"/>
    <x v="6"/>
    <x v="1"/>
    <x v="0"/>
  </r>
  <r>
    <x v="524"/>
    <x v="11"/>
    <x v="4"/>
    <x v="1"/>
    <x v="144"/>
    <x v="62"/>
    <x v="30"/>
    <x v="0"/>
    <x v="0"/>
    <x v="2"/>
    <x v="3"/>
  </r>
  <r>
    <x v="525"/>
    <x v="2"/>
    <x v="29"/>
    <x v="4"/>
    <x v="144"/>
    <x v="100"/>
    <x v="5"/>
    <x v="0"/>
    <x v="0"/>
    <x v="0"/>
    <x v="2"/>
  </r>
  <r>
    <x v="526"/>
    <x v="12"/>
    <x v="13"/>
    <x v="2"/>
    <x v="145"/>
    <x v="31"/>
    <x v="17"/>
    <x v="0"/>
    <x v="1"/>
    <x v="2"/>
    <x v="2"/>
  </r>
  <r>
    <x v="527"/>
    <x v="9"/>
    <x v="13"/>
    <x v="2"/>
    <x v="145"/>
    <x v="31"/>
    <x v="17"/>
    <x v="0"/>
    <x v="1"/>
    <x v="2"/>
    <x v="2"/>
  </r>
  <r>
    <x v="528"/>
    <x v="1"/>
    <x v="87"/>
    <x v="1"/>
    <x v="145"/>
    <x v="87"/>
    <x v="5"/>
    <x v="0"/>
    <x v="1"/>
    <x v="1"/>
    <x v="2"/>
  </r>
  <r>
    <x v="529"/>
    <x v="10"/>
    <x v="111"/>
    <x v="1"/>
    <x v="146"/>
    <x v="78"/>
    <x v="20"/>
    <x v="0"/>
    <x v="2"/>
    <x v="1"/>
    <x v="2"/>
  </r>
  <r>
    <x v="530"/>
    <x v="13"/>
    <x v="1"/>
    <x v="4"/>
    <x v="147"/>
    <x v="93"/>
    <x v="11"/>
    <x v="0"/>
    <x v="3"/>
    <x v="0"/>
    <x v="2"/>
  </r>
  <r>
    <x v="531"/>
    <x v="1"/>
    <x v="58"/>
    <x v="2"/>
    <x v="148"/>
    <x v="32"/>
    <x v="12"/>
    <x v="0"/>
    <x v="4"/>
    <x v="0"/>
    <x v="2"/>
  </r>
  <r>
    <x v="532"/>
    <x v="10"/>
    <x v="44"/>
    <x v="4"/>
    <x v="149"/>
    <x v="44"/>
    <x v="8"/>
    <x v="0"/>
    <x v="5"/>
    <x v="2"/>
    <x v="2"/>
  </r>
  <r>
    <x v="533"/>
    <x v="7"/>
    <x v="118"/>
    <x v="0"/>
    <x v="149"/>
    <x v="90"/>
    <x v="17"/>
    <x v="0"/>
    <x v="5"/>
    <x v="1"/>
    <x v="2"/>
  </r>
  <r>
    <x v="534"/>
    <x v="6"/>
    <x v="52"/>
    <x v="4"/>
    <x v="149"/>
    <x v="21"/>
    <x v="18"/>
    <x v="0"/>
    <x v="5"/>
    <x v="1"/>
    <x v="2"/>
  </r>
  <r>
    <x v="535"/>
    <x v="8"/>
    <x v="77"/>
    <x v="4"/>
    <x v="149"/>
    <x v="84"/>
    <x v="14"/>
    <x v="0"/>
    <x v="5"/>
    <x v="0"/>
    <x v="0"/>
  </r>
  <r>
    <x v="536"/>
    <x v="5"/>
    <x v="15"/>
    <x v="2"/>
    <x v="150"/>
    <x v="67"/>
    <x v="11"/>
    <x v="0"/>
    <x v="6"/>
    <x v="0"/>
    <x v="2"/>
  </r>
  <r>
    <x v="537"/>
    <x v="14"/>
    <x v="75"/>
    <x v="3"/>
    <x v="151"/>
    <x v="3"/>
    <x v="17"/>
    <x v="0"/>
    <x v="0"/>
    <x v="0"/>
    <x v="2"/>
  </r>
  <r>
    <x v="538"/>
    <x v="4"/>
    <x v="52"/>
    <x v="0"/>
    <x v="151"/>
    <x v="95"/>
    <x v="5"/>
    <x v="0"/>
    <x v="0"/>
    <x v="1"/>
    <x v="2"/>
  </r>
  <r>
    <x v="539"/>
    <x v="0"/>
    <x v="56"/>
    <x v="2"/>
    <x v="151"/>
    <x v="62"/>
    <x v="19"/>
    <x v="0"/>
    <x v="0"/>
    <x v="1"/>
    <x v="0"/>
  </r>
  <r>
    <x v="540"/>
    <x v="8"/>
    <x v="51"/>
    <x v="4"/>
    <x v="152"/>
    <x v="68"/>
    <x v="7"/>
    <x v="0"/>
    <x v="1"/>
    <x v="0"/>
    <x v="1"/>
  </r>
  <r>
    <x v="541"/>
    <x v="8"/>
    <x v="110"/>
    <x v="0"/>
    <x v="153"/>
    <x v="59"/>
    <x v="19"/>
    <x v="0"/>
    <x v="2"/>
    <x v="1"/>
    <x v="0"/>
  </r>
  <r>
    <x v="542"/>
    <x v="8"/>
    <x v="73"/>
    <x v="0"/>
    <x v="153"/>
    <x v="64"/>
    <x v="10"/>
    <x v="0"/>
    <x v="2"/>
    <x v="2"/>
    <x v="2"/>
  </r>
  <r>
    <x v="543"/>
    <x v="11"/>
    <x v="119"/>
    <x v="2"/>
    <x v="154"/>
    <x v="104"/>
    <x v="9"/>
    <x v="0"/>
    <x v="3"/>
    <x v="1"/>
    <x v="2"/>
  </r>
  <r>
    <x v="544"/>
    <x v="6"/>
    <x v="127"/>
    <x v="1"/>
    <x v="154"/>
    <x v="2"/>
    <x v="7"/>
    <x v="0"/>
    <x v="3"/>
    <x v="1"/>
    <x v="1"/>
  </r>
  <r>
    <x v="545"/>
    <x v="1"/>
    <x v="95"/>
    <x v="4"/>
    <x v="155"/>
    <x v="93"/>
    <x v="23"/>
    <x v="0"/>
    <x v="4"/>
    <x v="0"/>
    <x v="1"/>
  </r>
  <r>
    <x v="546"/>
    <x v="12"/>
    <x v="67"/>
    <x v="3"/>
    <x v="155"/>
    <x v="15"/>
    <x v="10"/>
    <x v="0"/>
    <x v="4"/>
    <x v="0"/>
    <x v="2"/>
  </r>
  <r>
    <x v="547"/>
    <x v="4"/>
    <x v="6"/>
    <x v="4"/>
    <x v="155"/>
    <x v="31"/>
    <x v="13"/>
    <x v="0"/>
    <x v="4"/>
    <x v="0"/>
    <x v="0"/>
  </r>
  <r>
    <x v="548"/>
    <x v="2"/>
    <x v="130"/>
    <x v="2"/>
    <x v="155"/>
    <x v="36"/>
    <x v="8"/>
    <x v="0"/>
    <x v="4"/>
    <x v="0"/>
    <x v="2"/>
  </r>
  <r>
    <x v="549"/>
    <x v="2"/>
    <x v="8"/>
    <x v="0"/>
    <x v="155"/>
    <x v="16"/>
    <x v="11"/>
    <x v="0"/>
    <x v="4"/>
    <x v="2"/>
    <x v="2"/>
  </r>
  <r>
    <x v="550"/>
    <x v="12"/>
    <x v="76"/>
    <x v="2"/>
    <x v="156"/>
    <x v="70"/>
    <x v="4"/>
    <x v="0"/>
    <x v="5"/>
    <x v="1"/>
    <x v="0"/>
  </r>
  <r>
    <x v="551"/>
    <x v="4"/>
    <x v="35"/>
    <x v="4"/>
    <x v="157"/>
    <x v="25"/>
    <x v="18"/>
    <x v="0"/>
    <x v="6"/>
    <x v="1"/>
    <x v="2"/>
  </r>
  <r>
    <x v="552"/>
    <x v="0"/>
    <x v="32"/>
    <x v="3"/>
    <x v="157"/>
    <x v="54"/>
    <x v="20"/>
    <x v="0"/>
    <x v="6"/>
    <x v="0"/>
    <x v="2"/>
  </r>
  <r>
    <x v="553"/>
    <x v="14"/>
    <x v="99"/>
    <x v="4"/>
    <x v="158"/>
    <x v="77"/>
    <x v="4"/>
    <x v="0"/>
    <x v="0"/>
    <x v="0"/>
    <x v="0"/>
  </r>
  <r>
    <x v="554"/>
    <x v="6"/>
    <x v="106"/>
    <x v="3"/>
    <x v="158"/>
    <x v="100"/>
    <x v="4"/>
    <x v="0"/>
    <x v="0"/>
    <x v="0"/>
    <x v="0"/>
  </r>
  <r>
    <x v="555"/>
    <x v="5"/>
    <x v="4"/>
    <x v="4"/>
    <x v="159"/>
    <x v="59"/>
    <x v="1"/>
    <x v="0"/>
    <x v="1"/>
    <x v="2"/>
    <x v="1"/>
  </r>
  <r>
    <x v="556"/>
    <x v="8"/>
    <x v="146"/>
    <x v="2"/>
    <x v="160"/>
    <x v="95"/>
    <x v="8"/>
    <x v="0"/>
    <x v="2"/>
    <x v="0"/>
    <x v="2"/>
  </r>
  <r>
    <x v="557"/>
    <x v="14"/>
    <x v="151"/>
    <x v="3"/>
    <x v="160"/>
    <x v="64"/>
    <x v="41"/>
    <x v="0"/>
    <x v="2"/>
    <x v="1"/>
    <x v="5"/>
  </r>
  <r>
    <x v="558"/>
    <x v="2"/>
    <x v="49"/>
    <x v="1"/>
    <x v="161"/>
    <x v="90"/>
    <x v="7"/>
    <x v="0"/>
    <x v="3"/>
    <x v="1"/>
    <x v="1"/>
  </r>
  <r>
    <x v="559"/>
    <x v="2"/>
    <x v="21"/>
    <x v="1"/>
    <x v="161"/>
    <x v="75"/>
    <x v="34"/>
    <x v="0"/>
    <x v="3"/>
    <x v="0"/>
    <x v="1"/>
  </r>
  <r>
    <x v="560"/>
    <x v="5"/>
    <x v="24"/>
    <x v="4"/>
    <x v="161"/>
    <x v="37"/>
    <x v="2"/>
    <x v="0"/>
    <x v="3"/>
    <x v="0"/>
    <x v="0"/>
  </r>
  <r>
    <x v="561"/>
    <x v="13"/>
    <x v="8"/>
    <x v="2"/>
    <x v="161"/>
    <x v="105"/>
    <x v="35"/>
    <x v="0"/>
    <x v="3"/>
    <x v="2"/>
    <x v="1"/>
  </r>
  <r>
    <x v="562"/>
    <x v="13"/>
    <x v="9"/>
    <x v="0"/>
    <x v="161"/>
    <x v="103"/>
    <x v="18"/>
    <x v="0"/>
    <x v="3"/>
    <x v="0"/>
    <x v="2"/>
  </r>
  <r>
    <x v="563"/>
    <x v="11"/>
    <x v="33"/>
    <x v="0"/>
    <x v="161"/>
    <x v="83"/>
    <x v="4"/>
    <x v="0"/>
    <x v="3"/>
    <x v="0"/>
    <x v="0"/>
  </r>
  <r>
    <x v="564"/>
    <x v="5"/>
    <x v="143"/>
    <x v="2"/>
    <x v="162"/>
    <x v="63"/>
    <x v="17"/>
    <x v="0"/>
    <x v="5"/>
    <x v="2"/>
    <x v="2"/>
  </r>
  <r>
    <x v="565"/>
    <x v="5"/>
    <x v="33"/>
    <x v="1"/>
    <x v="162"/>
    <x v="64"/>
    <x v="34"/>
    <x v="0"/>
    <x v="5"/>
    <x v="0"/>
    <x v="1"/>
  </r>
  <r>
    <x v="566"/>
    <x v="2"/>
    <x v="74"/>
    <x v="0"/>
    <x v="162"/>
    <x v="9"/>
    <x v="1"/>
    <x v="0"/>
    <x v="5"/>
    <x v="0"/>
    <x v="1"/>
  </r>
  <r>
    <x v="567"/>
    <x v="7"/>
    <x v="38"/>
    <x v="4"/>
    <x v="162"/>
    <x v="40"/>
    <x v="13"/>
    <x v="0"/>
    <x v="5"/>
    <x v="0"/>
    <x v="0"/>
  </r>
  <r>
    <x v="568"/>
    <x v="2"/>
    <x v="114"/>
    <x v="0"/>
    <x v="163"/>
    <x v="85"/>
    <x v="19"/>
    <x v="0"/>
    <x v="6"/>
    <x v="1"/>
    <x v="0"/>
  </r>
  <r>
    <x v="569"/>
    <x v="9"/>
    <x v="41"/>
    <x v="3"/>
    <x v="163"/>
    <x v="8"/>
    <x v="35"/>
    <x v="0"/>
    <x v="6"/>
    <x v="0"/>
    <x v="1"/>
  </r>
  <r>
    <x v="570"/>
    <x v="7"/>
    <x v="142"/>
    <x v="2"/>
    <x v="164"/>
    <x v="33"/>
    <x v="19"/>
    <x v="0"/>
    <x v="0"/>
    <x v="2"/>
    <x v="0"/>
  </r>
  <r>
    <x v="571"/>
    <x v="5"/>
    <x v="114"/>
    <x v="4"/>
    <x v="164"/>
    <x v="12"/>
    <x v="14"/>
    <x v="0"/>
    <x v="0"/>
    <x v="1"/>
    <x v="0"/>
  </r>
  <r>
    <x v="572"/>
    <x v="8"/>
    <x v="122"/>
    <x v="2"/>
    <x v="165"/>
    <x v="65"/>
    <x v="20"/>
    <x v="0"/>
    <x v="1"/>
    <x v="1"/>
    <x v="2"/>
  </r>
  <r>
    <x v="573"/>
    <x v="2"/>
    <x v="116"/>
    <x v="1"/>
    <x v="165"/>
    <x v="104"/>
    <x v="21"/>
    <x v="0"/>
    <x v="1"/>
    <x v="1"/>
    <x v="3"/>
  </r>
  <r>
    <x v="574"/>
    <x v="5"/>
    <x v="121"/>
    <x v="0"/>
    <x v="165"/>
    <x v="92"/>
    <x v="12"/>
    <x v="0"/>
    <x v="1"/>
    <x v="2"/>
    <x v="2"/>
  </r>
  <r>
    <x v="575"/>
    <x v="11"/>
    <x v="7"/>
    <x v="4"/>
    <x v="165"/>
    <x v="60"/>
    <x v="10"/>
    <x v="0"/>
    <x v="1"/>
    <x v="2"/>
    <x v="2"/>
  </r>
  <r>
    <x v="576"/>
    <x v="4"/>
    <x v="128"/>
    <x v="2"/>
    <x v="165"/>
    <x v="59"/>
    <x v="14"/>
    <x v="0"/>
    <x v="1"/>
    <x v="3"/>
    <x v="0"/>
  </r>
  <r>
    <x v="577"/>
    <x v="1"/>
    <x v="35"/>
    <x v="3"/>
    <x v="166"/>
    <x v="28"/>
    <x v="13"/>
    <x v="0"/>
    <x v="2"/>
    <x v="1"/>
    <x v="0"/>
  </r>
  <r>
    <x v="578"/>
    <x v="7"/>
    <x v="47"/>
    <x v="1"/>
    <x v="166"/>
    <x v="63"/>
    <x v="37"/>
    <x v="0"/>
    <x v="2"/>
    <x v="0"/>
    <x v="3"/>
  </r>
  <r>
    <x v="579"/>
    <x v="9"/>
    <x v="10"/>
    <x v="3"/>
    <x v="166"/>
    <x v="5"/>
    <x v="12"/>
    <x v="0"/>
    <x v="2"/>
    <x v="1"/>
    <x v="2"/>
  </r>
  <r>
    <x v="580"/>
    <x v="6"/>
    <x v="58"/>
    <x v="1"/>
    <x v="166"/>
    <x v="59"/>
    <x v="8"/>
    <x v="0"/>
    <x v="2"/>
    <x v="0"/>
    <x v="2"/>
  </r>
  <r>
    <x v="581"/>
    <x v="8"/>
    <x v="24"/>
    <x v="0"/>
    <x v="167"/>
    <x v="12"/>
    <x v="22"/>
    <x v="0"/>
    <x v="3"/>
    <x v="0"/>
    <x v="1"/>
  </r>
  <r>
    <x v="582"/>
    <x v="13"/>
    <x v="16"/>
    <x v="0"/>
    <x v="167"/>
    <x v="85"/>
    <x v="1"/>
    <x v="0"/>
    <x v="3"/>
    <x v="3"/>
    <x v="1"/>
  </r>
  <r>
    <x v="583"/>
    <x v="6"/>
    <x v="9"/>
    <x v="3"/>
    <x v="168"/>
    <x v="51"/>
    <x v="23"/>
    <x v="0"/>
    <x v="4"/>
    <x v="0"/>
    <x v="1"/>
  </r>
  <r>
    <x v="584"/>
    <x v="7"/>
    <x v="73"/>
    <x v="3"/>
    <x v="169"/>
    <x v="2"/>
    <x v="23"/>
    <x v="0"/>
    <x v="5"/>
    <x v="2"/>
    <x v="1"/>
  </r>
  <r>
    <x v="585"/>
    <x v="3"/>
    <x v="6"/>
    <x v="3"/>
    <x v="169"/>
    <x v="71"/>
    <x v="14"/>
    <x v="0"/>
    <x v="5"/>
    <x v="0"/>
    <x v="0"/>
  </r>
  <r>
    <x v="586"/>
    <x v="8"/>
    <x v="31"/>
    <x v="0"/>
    <x v="170"/>
    <x v="86"/>
    <x v="10"/>
    <x v="1"/>
    <x v="6"/>
    <x v="0"/>
    <x v="2"/>
  </r>
  <r>
    <x v="587"/>
    <x v="12"/>
    <x v="117"/>
    <x v="3"/>
    <x v="170"/>
    <x v="24"/>
    <x v="18"/>
    <x v="1"/>
    <x v="6"/>
    <x v="0"/>
    <x v="2"/>
  </r>
  <r>
    <x v="588"/>
    <x v="3"/>
    <x v="39"/>
    <x v="3"/>
    <x v="170"/>
    <x v="48"/>
    <x v="32"/>
    <x v="1"/>
    <x v="6"/>
    <x v="2"/>
    <x v="3"/>
  </r>
  <r>
    <x v="589"/>
    <x v="13"/>
    <x v="112"/>
    <x v="0"/>
    <x v="170"/>
    <x v="93"/>
    <x v="18"/>
    <x v="1"/>
    <x v="6"/>
    <x v="1"/>
    <x v="2"/>
  </r>
  <r>
    <x v="590"/>
    <x v="13"/>
    <x v="88"/>
    <x v="2"/>
    <x v="170"/>
    <x v="71"/>
    <x v="22"/>
    <x v="1"/>
    <x v="6"/>
    <x v="1"/>
    <x v="1"/>
  </r>
  <r>
    <x v="591"/>
    <x v="10"/>
    <x v="3"/>
    <x v="1"/>
    <x v="170"/>
    <x v="21"/>
    <x v="12"/>
    <x v="1"/>
    <x v="6"/>
    <x v="1"/>
    <x v="2"/>
  </r>
  <r>
    <x v="592"/>
    <x v="7"/>
    <x v="50"/>
    <x v="1"/>
    <x v="171"/>
    <x v="72"/>
    <x v="5"/>
    <x v="1"/>
    <x v="0"/>
    <x v="0"/>
    <x v="2"/>
  </r>
  <r>
    <x v="593"/>
    <x v="10"/>
    <x v="12"/>
    <x v="3"/>
    <x v="171"/>
    <x v="91"/>
    <x v="5"/>
    <x v="1"/>
    <x v="0"/>
    <x v="1"/>
    <x v="2"/>
  </r>
  <r>
    <x v="594"/>
    <x v="6"/>
    <x v="66"/>
    <x v="4"/>
    <x v="172"/>
    <x v="21"/>
    <x v="21"/>
    <x v="1"/>
    <x v="2"/>
    <x v="0"/>
    <x v="3"/>
  </r>
  <r>
    <x v="595"/>
    <x v="1"/>
    <x v="82"/>
    <x v="0"/>
    <x v="173"/>
    <x v="31"/>
    <x v="8"/>
    <x v="1"/>
    <x v="3"/>
    <x v="2"/>
    <x v="2"/>
  </r>
  <r>
    <x v="596"/>
    <x v="6"/>
    <x v="2"/>
    <x v="3"/>
    <x v="173"/>
    <x v="102"/>
    <x v="22"/>
    <x v="1"/>
    <x v="3"/>
    <x v="0"/>
    <x v="1"/>
  </r>
  <r>
    <x v="597"/>
    <x v="4"/>
    <x v="3"/>
    <x v="3"/>
    <x v="173"/>
    <x v="93"/>
    <x v="24"/>
    <x v="1"/>
    <x v="3"/>
    <x v="1"/>
    <x v="3"/>
  </r>
  <r>
    <x v="598"/>
    <x v="0"/>
    <x v="9"/>
    <x v="0"/>
    <x v="174"/>
    <x v="63"/>
    <x v="3"/>
    <x v="1"/>
    <x v="4"/>
    <x v="0"/>
    <x v="1"/>
  </r>
  <r>
    <x v="599"/>
    <x v="10"/>
    <x v="143"/>
    <x v="2"/>
    <x v="174"/>
    <x v="28"/>
    <x v="14"/>
    <x v="1"/>
    <x v="4"/>
    <x v="2"/>
    <x v="0"/>
  </r>
  <r>
    <x v="600"/>
    <x v="4"/>
    <x v="71"/>
    <x v="1"/>
    <x v="175"/>
    <x v="54"/>
    <x v="14"/>
    <x v="1"/>
    <x v="5"/>
    <x v="2"/>
    <x v="0"/>
  </r>
  <r>
    <x v="601"/>
    <x v="3"/>
    <x v="99"/>
    <x v="3"/>
    <x v="175"/>
    <x v="88"/>
    <x v="14"/>
    <x v="1"/>
    <x v="5"/>
    <x v="0"/>
    <x v="0"/>
  </r>
  <r>
    <x v="602"/>
    <x v="8"/>
    <x v="117"/>
    <x v="2"/>
    <x v="176"/>
    <x v="27"/>
    <x v="4"/>
    <x v="1"/>
    <x v="6"/>
    <x v="0"/>
    <x v="0"/>
  </r>
  <r>
    <x v="603"/>
    <x v="5"/>
    <x v="4"/>
    <x v="2"/>
    <x v="176"/>
    <x v="77"/>
    <x v="19"/>
    <x v="1"/>
    <x v="6"/>
    <x v="2"/>
    <x v="0"/>
  </r>
  <r>
    <x v="604"/>
    <x v="8"/>
    <x v="113"/>
    <x v="0"/>
    <x v="176"/>
    <x v="103"/>
    <x v="14"/>
    <x v="1"/>
    <x v="6"/>
    <x v="0"/>
    <x v="0"/>
  </r>
  <r>
    <x v="605"/>
    <x v="1"/>
    <x v="54"/>
    <x v="0"/>
    <x v="176"/>
    <x v="45"/>
    <x v="13"/>
    <x v="1"/>
    <x v="6"/>
    <x v="2"/>
    <x v="0"/>
  </r>
  <r>
    <x v="606"/>
    <x v="8"/>
    <x v="143"/>
    <x v="3"/>
    <x v="176"/>
    <x v="28"/>
    <x v="4"/>
    <x v="1"/>
    <x v="6"/>
    <x v="2"/>
    <x v="0"/>
  </r>
  <r>
    <x v="607"/>
    <x v="2"/>
    <x v="106"/>
    <x v="4"/>
    <x v="177"/>
    <x v="46"/>
    <x v="8"/>
    <x v="1"/>
    <x v="0"/>
    <x v="0"/>
    <x v="2"/>
  </r>
  <r>
    <x v="608"/>
    <x v="9"/>
    <x v="11"/>
    <x v="4"/>
    <x v="178"/>
    <x v="58"/>
    <x v="7"/>
    <x v="1"/>
    <x v="1"/>
    <x v="0"/>
    <x v="1"/>
  </r>
  <r>
    <x v="609"/>
    <x v="11"/>
    <x v="143"/>
    <x v="4"/>
    <x v="178"/>
    <x v="104"/>
    <x v="16"/>
    <x v="1"/>
    <x v="1"/>
    <x v="2"/>
    <x v="1"/>
  </r>
  <r>
    <x v="610"/>
    <x v="4"/>
    <x v="85"/>
    <x v="2"/>
    <x v="178"/>
    <x v="84"/>
    <x v="0"/>
    <x v="1"/>
    <x v="1"/>
    <x v="1"/>
    <x v="0"/>
  </r>
  <r>
    <x v="611"/>
    <x v="14"/>
    <x v="37"/>
    <x v="1"/>
    <x v="179"/>
    <x v="103"/>
    <x v="14"/>
    <x v="1"/>
    <x v="2"/>
    <x v="1"/>
    <x v="0"/>
  </r>
  <r>
    <x v="612"/>
    <x v="2"/>
    <x v="21"/>
    <x v="1"/>
    <x v="180"/>
    <x v="90"/>
    <x v="4"/>
    <x v="1"/>
    <x v="3"/>
    <x v="0"/>
    <x v="0"/>
  </r>
  <r>
    <x v="613"/>
    <x v="7"/>
    <x v="64"/>
    <x v="4"/>
    <x v="180"/>
    <x v="59"/>
    <x v="4"/>
    <x v="1"/>
    <x v="3"/>
    <x v="2"/>
    <x v="0"/>
  </r>
  <r>
    <x v="614"/>
    <x v="10"/>
    <x v="59"/>
    <x v="3"/>
    <x v="180"/>
    <x v="74"/>
    <x v="10"/>
    <x v="1"/>
    <x v="3"/>
    <x v="0"/>
    <x v="2"/>
  </r>
  <r>
    <x v="615"/>
    <x v="9"/>
    <x v="53"/>
    <x v="1"/>
    <x v="181"/>
    <x v="36"/>
    <x v="10"/>
    <x v="1"/>
    <x v="4"/>
    <x v="0"/>
    <x v="2"/>
  </r>
  <r>
    <x v="616"/>
    <x v="14"/>
    <x v="147"/>
    <x v="2"/>
    <x v="181"/>
    <x v="79"/>
    <x v="20"/>
    <x v="1"/>
    <x v="4"/>
    <x v="2"/>
    <x v="2"/>
  </r>
  <r>
    <x v="617"/>
    <x v="1"/>
    <x v="7"/>
    <x v="0"/>
    <x v="182"/>
    <x v="59"/>
    <x v="4"/>
    <x v="1"/>
    <x v="5"/>
    <x v="2"/>
    <x v="0"/>
  </r>
  <r>
    <x v="618"/>
    <x v="7"/>
    <x v="57"/>
    <x v="2"/>
    <x v="182"/>
    <x v="18"/>
    <x v="8"/>
    <x v="1"/>
    <x v="5"/>
    <x v="1"/>
    <x v="2"/>
  </r>
  <r>
    <x v="619"/>
    <x v="2"/>
    <x v="75"/>
    <x v="3"/>
    <x v="183"/>
    <x v="41"/>
    <x v="18"/>
    <x v="1"/>
    <x v="6"/>
    <x v="0"/>
    <x v="2"/>
  </r>
  <r>
    <x v="620"/>
    <x v="1"/>
    <x v="24"/>
    <x v="2"/>
    <x v="184"/>
    <x v="66"/>
    <x v="0"/>
    <x v="1"/>
    <x v="0"/>
    <x v="0"/>
    <x v="0"/>
  </r>
  <r>
    <x v="621"/>
    <x v="0"/>
    <x v="39"/>
    <x v="2"/>
    <x v="184"/>
    <x v="55"/>
    <x v="19"/>
    <x v="1"/>
    <x v="0"/>
    <x v="2"/>
    <x v="0"/>
  </r>
  <r>
    <x v="622"/>
    <x v="13"/>
    <x v="65"/>
    <x v="2"/>
    <x v="185"/>
    <x v="59"/>
    <x v="27"/>
    <x v="1"/>
    <x v="1"/>
    <x v="1"/>
    <x v="1"/>
  </r>
  <r>
    <x v="623"/>
    <x v="9"/>
    <x v="114"/>
    <x v="3"/>
    <x v="185"/>
    <x v="24"/>
    <x v="34"/>
    <x v="1"/>
    <x v="1"/>
    <x v="1"/>
    <x v="1"/>
  </r>
  <r>
    <x v="624"/>
    <x v="12"/>
    <x v="28"/>
    <x v="3"/>
    <x v="186"/>
    <x v="92"/>
    <x v="2"/>
    <x v="1"/>
    <x v="2"/>
    <x v="0"/>
    <x v="0"/>
  </r>
  <r>
    <x v="625"/>
    <x v="0"/>
    <x v="77"/>
    <x v="4"/>
    <x v="187"/>
    <x v="59"/>
    <x v="10"/>
    <x v="1"/>
    <x v="3"/>
    <x v="0"/>
    <x v="2"/>
  </r>
  <r>
    <x v="626"/>
    <x v="1"/>
    <x v="111"/>
    <x v="4"/>
    <x v="187"/>
    <x v="84"/>
    <x v="3"/>
    <x v="1"/>
    <x v="3"/>
    <x v="1"/>
    <x v="1"/>
  </r>
  <r>
    <x v="627"/>
    <x v="14"/>
    <x v="66"/>
    <x v="0"/>
    <x v="187"/>
    <x v="32"/>
    <x v="22"/>
    <x v="1"/>
    <x v="3"/>
    <x v="0"/>
    <x v="1"/>
  </r>
  <r>
    <x v="628"/>
    <x v="9"/>
    <x v="152"/>
    <x v="2"/>
    <x v="188"/>
    <x v="79"/>
    <x v="18"/>
    <x v="1"/>
    <x v="4"/>
    <x v="1"/>
    <x v="2"/>
  </r>
  <r>
    <x v="629"/>
    <x v="1"/>
    <x v="108"/>
    <x v="3"/>
    <x v="188"/>
    <x v="79"/>
    <x v="12"/>
    <x v="1"/>
    <x v="4"/>
    <x v="2"/>
    <x v="2"/>
  </r>
  <r>
    <x v="630"/>
    <x v="1"/>
    <x v="110"/>
    <x v="1"/>
    <x v="188"/>
    <x v="88"/>
    <x v="34"/>
    <x v="1"/>
    <x v="4"/>
    <x v="1"/>
    <x v="1"/>
  </r>
  <r>
    <x v="631"/>
    <x v="9"/>
    <x v="103"/>
    <x v="3"/>
    <x v="189"/>
    <x v="54"/>
    <x v="24"/>
    <x v="1"/>
    <x v="5"/>
    <x v="2"/>
    <x v="3"/>
  </r>
  <r>
    <x v="632"/>
    <x v="3"/>
    <x v="73"/>
    <x v="2"/>
    <x v="189"/>
    <x v="5"/>
    <x v="24"/>
    <x v="1"/>
    <x v="5"/>
    <x v="2"/>
    <x v="3"/>
  </r>
  <r>
    <x v="633"/>
    <x v="3"/>
    <x v="111"/>
    <x v="2"/>
    <x v="190"/>
    <x v="71"/>
    <x v="1"/>
    <x v="1"/>
    <x v="6"/>
    <x v="1"/>
    <x v="1"/>
  </r>
  <r>
    <x v="634"/>
    <x v="4"/>
    <x v="19"/>
    <x v="2"/>
    <x v="190"/>
    <x v="100"/>
    <x v="18"/>
    <x v="1"/>
    <x v="6"/>
    <x v="0"/>
    <x v="2"/>
  </r>
  <r>
    <x v="635"/>
    <x v="9"/>
    <x v="153"/>
    <x v="0"/>
    <x v="190"/>
    <x v="95"/>
    <x v="19"/>
    <x v="1"/>
    <x v="6"/>
    <x v="1"/>
    <x v="0"/>
  </r>
  <r>
    <x v="636"/>
    <x v="3"/>
    <x v="69"/>
    <x v="1"/>
    <x v="191"/>
    <x v="29"/>
    <x v="14"/>
    <x v="1"/>
    <x v="2"/>
    <x v="0"/>
    <x v="0"/>
  </r>
  <r>
    <x v="637"/>
    <x v="11"/>
    <x v="154"/>
    <x v="4"/>
    <x v="192"/>
    <x v="18"/>
    <x v="20"/>
    <x v="1"/>
    <x v="3"/>
    <x v="4"/>
    <x v="2"/>
  </r>
  <r>
    <x v="638"/>
    <x v="1"/>
    <x v="87"/>
    <x v="4"/>
    <x v="192"/>
    <x v="14"/>
    <x v="17"/>
    <x v="1"/>
    <x v="3"/>
    <x v="1"/>
    <x v="2"/>
  </r>
  <r>
    <x v="639"/>
    <x v="9"/>
    <x v="7"/>
    <x v="4"/>
    <x v="193"/>
    <x v="42"/>
    <x v="7"/>
    <x v="1"/>
    <x v="4"/>
    <x v="2"/>
    <x v="1"/>
  </r>
  <r>
    <x v="640"/>
    <x v="12"/>
    <x v="29"/>
    <x v="0"/>
    <x v="193"/>
    <x v="38"/>
    <x v="16"/>
    <x v="1"/>
    <x v="4"/>
    <x v="0"/>
    <x v="1"/>
  </r>
  <r>
    <x v="641"/>
    <x v="0"/>
    <x v="83"/>
    <x v="0"/>
    <x v="194"/>
    <x v="63"/>
    <x v="5"/>
    <x v="1"/>
    <x v="5"/>
    <x v="0"/>
    <x v="2"/>
  </r>
  <r>
    <x v="642"/>
    <x v="2"/>
    <x v="32"/>
    <x v="3"/>
    <x v="194"/>
    <x v="7"/>
    <x v="18"/>
    <x v="1"/>
    <x v="5"/>
    <x v="0"/>
    <x v="2"/>
  </r>
  <r>
    <x v="643"/>
    <x v="0"/>
    <x v="99"/>
    <x v="3"/>
    <x v="195"/>
    <x v="38"/>
    <x v="7"/>
    <x v="1"/>
    <x v="6"/>
    <x v="0"/>
    <x v="1"/>
  </r>
  <r>
    <x v="644"/>
    <x v="13"/>
    <x v="67"/>
    <x v="3"/>
    <x v="196"/>
    <x v="49"/>
    <x v="5"/>
    <x v="1"/>
    <x v="1"/>
    <x v="0"/>
    <x v="2"/>
  </r>
  <r>
    <x v="645"/>
    <x v="8"/>
    <x v="150"/>
    <x v="3"/>
    <x v="196"/>
    <x v="38"/>
    <x v="34"/>
    <x v="1"/>
    <x v="1"/>
    <x v="1"/>
    <x v="1"/>
  </r>
  <r>
    <x v="646"/>
    <x v="1"/>
    <x v="20"/>
    <x v="4"/>
    <x v="196"/>
    <x v="100"/>
    <x v="14"/>
    <x v="1"/>
    <x v="1"/>
    <x v="2"/>
    <x v="0"/>
  </r>
  <r>
    <x v="647"/>
    <x v="13"/>
    <x v="147"/>
    <x v="2"/>
    <x v="196"/>
    <x v="19"/>
    <x v="42"/>
    <x v="1"/>
    <x v="1"/>
    <x v="2"/>
    <x v="3"/>
  </r>
  <r>
    <x v="648"/>
    <x v="14"/>
    <x v="155"/>
    <x v="0"/>
    <x v="196"/>
    <x v="73"/>
    <x v="2"/>
    <x v="1"/>
    <x v="1"/>
    <x v="1"/>
    <x v="0"/>
  </r>
  <r>
    <x v="649"/>
    <x v="12"/>
    <x v="136"/>
    <x v="1"/>
    <x v="196"/>
    <x v="103"/>
    <x v="5"/>
    <x v="1"/>
    <x v="1"/>
    <x v="1"/>
    <x v="2"/>
  </r>
  <r>
    <x v="650"/>
    <x v="5"/>
    <x v="51"/>
    <x v="0"/>
    <x v="197"/>
    <x v="16"/>
    <x v="8"/>
    <x v="1"/>
    <x v="3"/>
    <x v="0"/>
    <x v="2"/>
  </r>
  <r>
    <x v="651"/>
    <x v="13"/>
    <x v="6"/>
    <x v="4"/>
    <x v="198"/>
    <x v="83"/>
    <x v="2"/>
    <x v="1"/>
    <x v="4"/>
    <x v="0"/>
    <x v="0"/>
  </r>
  <r>
    <x v="652"/>
    <x v="10"/>
    <x v="53"/>
    <x v="1"/>
    <x v="198"/>
    <x v="88"/>
    <x v="12"/>
    <x v="1"/>
    <x v="4"/>
    <x v="0"/>
    <x v="2"/>
  </r>
  <r>
    <x v="653"/>
    <x v="12"/>
    <x v="75"/>
    <x v="4"/>
    <x v="198"/>
    <x v="51"/>
    <x v="17"/>
    <x v="1"/>
    <x v="4"/>
    <x v="0"/>
    <x v="2"/>
  </r>
  <r>
    <x v="654"/>
    <x v="6"/>
    <x v="156"/>
    <x v="1"/>
    <x v="199"/>
    <x v="7"/>
    <x v="1"/>
    <x v="1"/>
    <x v="5"/>
    <x v="0"/>
    <x v="1"/>
  </r>
  <r>
    <x v="655"/>
    <x v="7"/>
    <x v="111"/>
    <x v="3"/>
    <x v="199"/>
    <x v="14"/>
    <x v="7"/>
    <x v="1"/>
    <x v="5"/>
    <x v="1"/>
    <x v="1"/>
  </r>
  <r>
    <x v="656"/>
    <x v="2"/>
    <x v="108"/>
    <x v="1"/>
    <x v="200"/>
    <x v="106"/>
    <x v="19"/>
    <x v="1"/>
    <x v="6"/>
    <x v="2"/>
    <x v="0"/>
  </r>
  <r>
    <x v="657"/>
    <x v="7"/>
    <x v="35"/>
    <x v="3"/>
    <x v="201"/>
    <x v="14"/>
    <x v="0"/>
    <x v="1"/>
    <x v="0"/>
    <x v="1"/>
    <x v="0"/>
  </r>
  <r>
    <x v="658"/>
    <x v="5"/>
    <x v="113"/>
    <x v="2"/>
    <x v="201"/>
    <x v="63"/>
    <x v="6"/>
    <x v="1"/>
    <x v="0"/>
    <x v="0"/>
    <x v="2"/>
  </r>
  <r>
    <x v="659"/>
    <x v="12"/>
    <x v="157"/>
    <x v="2"/>
    <x v="201"/>
    <x v="3"/>
    <x v="8"/>
    <x v="1"/>
    <x v="0"/>
    <x v="3"/>
    <x v="2"/>
  </r>
  <r>
    <x v="660"/>
    <x v="4"/>
    <x v="86"/>
    <x v="4"/>
    <x v="202"/>
    <x v="45"/>
    <x v="16"/>
    <x v="1"/>
    <x v="1"/>
    <x v="0"/>
    <x v="1"/>
  </r>
  <r>
    <x v="661"/>
    <x v="4"/>
    <x v="55"/>
    <x v="1"/>
    <x v="203"/>
    <x v="48"/>
    <x v="11"/>
    <x v="1"/>
    <x v="2"/>
    <x v="1"/>
    <x v="2"/>
  </r>
  <r>
    <x v="662"/>
    <x v="1"/>
    <x v="49"/>
    <x v="1"/>
    <x v="203"/>
    <x v="5"/>
    <x v="25"/>
    <x v="1"/>
    <x v="2"/>
    <x v="1"/>
    <x v="1"/>
  </r>
  <r>
    <x v="663"/>
    <x v="11"/>
    <x v="134"/>
    <x v="0"/>
    <x v="204"/>
    <x v="81"/>
    <x v="19"/>
    <x v="1"/>
    <x v="4"/>
    <x v="0"/>
    <x v="0"/>
  </r>
  <r>
    <x v="664"/>
    <x v="6"/>
    <x v="29"/>
    <x v="4"/>
    <x v="204"/>
    <x v="96"/>
    <x v="2"/>
    <x v="1"/>
    <x v="4"/>
    <x v="0"/>
    <x v="0"/>
  </r>
  <r>
    <x v="665"/>
    <x v="0"/>
    <x v="47"/>
    <x v="4"/>
    <x v="204"/>
    <x v="79"/>
    <x v="6"/>
    <x v="1"/>
    <x v="4"/>
    <x v="0"/>
    <x v="2"/>
  </r>
  <r>
    <x v="666"/>
    <x v="7"/>
    <x v="33"/>
    <x v="4"/>
    <x v="205"/>
    <x v="30"/>
    <x v="12"/>
    <x v="1"/>
    <x v="6"/>
    <x v="0"/>
    <x v="2"/>
  </r>
  <r>
    <x v="667"/>
    <x v="10"/>
    <x v="104"/>
    <x v="3"/>
    <x v="206"/>
    <x v="42"/>
    <x v="2"/>
    <x v="1"/>
    <x v="0"/>
    <x v="1"/>
    <x v="0"/>
  </r>
  <r>
    <x v="668"/>
    <x v="12"/>
    <x v="6"/>
    <x v="1"/>
    <x v="206"/>
    <x v="70"/>
    <x v="0"/>
    <x v="1"/>
    <x v="0"/>
    <x v="0"/>
    <x v="0"/>
  </r>
  <r>
    <x v="669"/>
    <x v="12"/>
    <x v="23"/>
    <x v="0"/>
    <x v="207"/>
    <x v="1"/>
    <x v="0"/>
    <x v="1"/>
    <x v="3"/>
    <x v="1"/>
    <x v="0"/>
  </r>
  <r>
    <x v="670"/>
    <x v="0"/>
    <x v="3"/>
    <x v="1"/>
    <x v="208"/>
    <x v="3"/>
    <x v="29"/>
    <x v="1"/>
    <x v="4"/>
    <x v="1"/>
    <x v="3"/>
  </r>
  <r>
    <x v="671"/>
    <x v="6"/>
    <x v="34"/>
    <x v="3"/>
    <x v="209"/>
    <x v="84"/>
    <x v="14"/>
    <x v="1"/>
    <x v="5"/>
    <x v="0"/>
    <x v="0"/>
  </r>
  <r>
    <x v="672"/>
    <x v="4"/>
    <x v="22"/>
    <x v="0"/>
    <x v="209"/>
    <x v="65"/>
    <x v="0"/>
    <x v="1"/>
    <x v="5"/>
    <x v="0"/>
    <x v="0"/>
  </r>
  <r>
    <x v="673"/>
    <x v="6"/>
    <x v="131"/>
    <x v="3"/>
    <x v="210"/>
    <x v="31"/>
    <x v="14"/>
    <x v="1"/>
    <x v="6"/>
    <x v="0"/>
    <x v="0"/>
  </r>
  <r>
    <x v="674"/>
    <x v="5"/>
    <x v="84"/>
    <x v="2"/>
    <x v="210"/>
    <x v="76"/>
    <x v="34"/>
    <x v="1"/>
    <x v="6"/>
    <x v="0"/>
    <x v="1"/>
  </r>
  <r>
    <x v="675"/>
    <x v="4"/>
    <x v="3"/>
    <x v="2"/>
    <x v="210"/>
    <x v="1"/>
    <x v="15"/>
    <x v="1"/>
    <x v="6"/>
    <x v="1"/>
    <x v="3"/>
  </r>
  <r>
    <x v="676"/>
    <x v="12"/>
    <x v="78"/>
    <x v="0"/>
    <x v="210"/>
    <x v="80"/>
    <x v="18"/>
    <x v="1"/>
    <x v="6"/>
    <x v="3"/>
    <x v="2"/>
  </r>
  <r>
    <x v="677"/>
    <x v="14"/>
    <x v="47"/>
    <x v="2"/>
    <x v="211"/>
    <x v="87"/>
    <x v="2"/>
    <x v="1"/>
    <x v="0"/>
    <x v="0"/>
    <x v="0"/>
  </r>
  <r>
    <x v="678"/>
    <x v="8"/>
    <x v="90"/>
    <x v="4"/>
    <x v="211"/>
    <x v="22"/>
    <x v="10"/>
    <x v="1"/>
    <x v="0"/>
    <x v="0"/>
    <x v="2"/>
  </r>
  <r>
    <x v="679"/>
    <x v="3"/>
    <x v="89"/>
    <x v="1"/>
    <x v="212"/>
    <x v="23"/>
    <x v="17"/>
    <x v="1"/>
    <x v="1"/>
    <x v="1"/>
    <x v="2"/>
  </r>
  <r>
    <x v="680"/>
    <x v="13"/>
    <x v="0"/>
    <x v="3"/>
    <x v="212"/>
    <x v="85"/>
    <x v="11"/>
    <x v="1"/>
    <x v="1"/>
    <x v="0"/>
    <x v="2"/>
  </r>
  <r>
    <x v="681"/>
    <x v="3"/>
    <x v="75"/>
    <x v="3"/>
    <x v="213"/>
    <x v="31"/>
    <x v="32"/>
    <x v="1"/>
    <x v="3"/>
    <x v="0"/>
    <x v="3"/>
  </r>
  <r>
    <x v="682"/>
    <x v="4"/>
    <x v="138"/>
    <x v="3"/>
    <x v="213"/>
    <x v="31"/>
    <x v="17"/>
    <x v="1"/>
    <x v="3"/>
    <x v="3"/>
    <x v="2"/>
  </r>
  <r>
    <x v="683"/>
    <x v="8"/>
    <x v="157"/>
    <x v="1"/>
    <x v="214"/>
    <x v="45"/>
    <x v="5"/>
    <x v="1"/>
    <x v="4"/>
    <x v="3"/>
    <x v="2"/>
  </r>
  <r>
    <x v="684"/>
    <x v="5"/>
    <x v="148"/>
    <x v="2"/>
    <x v="214"/>
    <x v="42"/>
    <x v="17"/>
    <x v="1"/>
    <x v="4"/>
    <x v="1"/>
    <x v="2"/>
  </r>
  <r>
    <x v="685"/>
    <x v="12"/>
    <x v="21"/>
    <x v="3"/>
    <x v="215"/>
    <x v="85"/>
    <x v="11"/>
    <x v="1"/>
    <x v="5"/>
    <x v="0"/>
    <x v="2"/>
  </r>
  <r>
    <x v="686"/>
    <x v="3"/>
    <x v="130"/>
    <x v="1"/>
    <x v="215"/>
    <x v="24"/>
    <x v="12"/>
    <x v="1"/>
    <x v="5"/>
    <x v="0"/>
    <x v="2"/>
  </r>
  <r>
    <x v="687"/>
    <x v="10"/>
    <x v="143"/>
    <x v="1"/>
    <x v="216"/>
    <x v="2"/>
    <x v="14"/>
    <x v="1"/>
    <x v="6"/>
    <x v="2"/>
    <x v="0"/>
  </r>
  <r>
    <x v="688"/>
    <x v="13"/>
    <x v="133"/>
    <x v="4"/>
    <x v="216"/>
    <x v="95"/>
    <x v="7"/>
    <x v="1"/>
    <x v="6"/>
    <x v="1"/>
    <x v="1"/>
  </r>
  <r>
    <x v="689"/>
    <x v="5"/>
    <x v="38"/>
    <x v="3"/>
    <x v="216"/>
    <x v="2"/>
    <x v="4"/>
    <x v="1"/>
    <x v="6"/>
    <x v="0"/>
    <x v="0"/>
  </r>
  <r>
    <x v="690"/>
    <x v="12"/>
    <x v="37"/>
    <x v="2"/>
    <x v="216"/>
    <x v="19"/>
    <x v="0"/>
    <x v="1"/>
    <x v="6"/>
    <x v="1"/>
    <x v="0"/>
  </r>
  <r>
    <x v="691"/>
    <x v="11"/>
    <x v="24"/>
    <x v="4"/>
    <x v="217"/>
    <x v="72"/>
    <x v="2"/>
    <x v="1"/>
    <x v="0"/>
    <x v="0"/>
    <x v="0"/>
  </r>
  <r>
    <x v="692"/>
    <x v="4"/>
    <x v="4"/>
    <x v="3"/>
    <x v="217"/>
    <x v="7"/>
    <x v="16"/>
    <x v="1"/>
    <x v="0"/>
    <x v="2"/>
    <x v="1"/>
  </r>
  <r>
    <x v="693"/>
    <x v="13"/>
    <x v="21"/>
    <x v="3"/>
    <x v="217"/>
    <x v="62"/>
    <x v="3"/>
    <x v="1"/>
    <x v="0"/>
    <x v="0"/>
    <x v="1"/>
  </r>
  <r>
    <x v="694"/>
    <x v="5"/>
    <x v="146"/>
    <x v="4"/>
    <x v="217"/>
    <x v="44"/>
    <x v="17"/>
    <x v="1"/>
    <x v="0"/>
    <x v="0"/>
    <x v="2"/>
  </r>
  <r>
    <x v="695"/>
    <x v="2"/>
    <x v="18"/>
    <x v="0"/>
    <x v="217"/>
    <x v="27"/>
    <x v="8"/>
    <x v="1"/>
    <x v="0"/>
    <x v="2"/>
    <x v="2"/>
  </r>
  <r>
    <x v="696"/>
    <x v="10"/>
    <x v="66"/>
    <x v="4"/>
    <x v="218"/>
    <x v="12"/>
    <x v="24"/>
    <x v="1"/>
    <x v="2"/>
    <x v="0"/>
    <x v="3"/>
  </r>
  <r>
    <x v="697"/>
    <x v="4"/>
    <x v="95"/>
    <x v="1"/>
    <x v="219"/>
    <x v="80"/>
    <x v="17"/>
    <x v="1"/>
    <x v="3"/>
    <x v="0"/>
    <x v="2"/>
  </r>
  <r>
    <x v="698"/>
    <x v="1"/>
    <x v="145"/>
    <x v="0"/>
    <x v="219"/>
    <x v="22"/>
    <x v="12"/>
    <x v="1"/>
    <x v="3"/>
    <x v="2"/>
    <x v="2"/>
  </r>
  <r>
    <x v="699"/>
    <x v="1"/>
    <x v="41"/>
    <x v="1"/>
    <x v="220"/>
    <x v="82"/>
    <x v="0"/>
    <x v="1"/>
    <x v="4"/>
    <x v="0"/>
    <x v="0"/>
  </r>
  <r>
    <x v="700"/>
    <x v="7"/>
    <x v="55"/>
    <x v="0"/>
    <x v="221"/>
    <x v="32"/>
    <x v="9"/>
    <x v="1"/>
    <x v="5"/>
    <x v="1"/>
    <x v="2"/>
  </r>
  <r>
    <x v="701"/>
    <x v="0"/>
    <x v="70"/>
    <x v="4"/>
    <x v="221"/>
    <x v="88"/>
    <x v="2"/>
    <x v="1"/>
    <x v="5"/>
    <x v="1"/>
    <x v="0"/>
  </r>
  <r>
    <x v="702"/>
    <x v="6"/>
    <x v="74"/>
    <x v="3"/>
    <x v="221"/>
    <x v="73"/>
    <x v="7"/>
    <x v="1"/>
    <x v="5"/>
    <x v="0"/>
    <x v="1"/>
  </r>
  <r>
    <x v="703"/>
    <x v="13"/>
    <x v="5"/>
    <x v="1"/>
    <x v="222"/>
    <x v="18"/>
    <x v="9"/>
    <x v="1"/>
    <x v="0"/>
    <x v="0"/>
    <x v="2"/>
  </r>
  <r>
    <x v="704"/>
    <x v="9"/>
    <x v="75"/>
    <x v="1"/>
    <x v="222"/>
    <x v="23"/>
    <x v="14"/>
    <x v="1"/>
    <x v="0"/>
    <x v="0"/>
    <x v="0"/>
  </r>
  <r>
    <x v="705"/>
    <x v="9"/>
    <x v="6"/>
    <x v="0"/>
    <x v="223"/>
    <x v="85"/>
    <x v="14"/>
    <x v="1"/>
    <x v="1"/>
    <x v="0"/>
    <x v="0"/>
  </r>
  <r>
    <x v="706"/>
    <x v="0"/>
    <x v="84"/>
    <x v="2"/>
    <x v="223"/>
    <x v="32"/>
    <x v="0"/>
    <x v="1"/>
    <x v="1"/>
    <x v="0"/>
    <x v="0"/>
  </r>
  <r>
    <x v="707"/>
    <x v="12"/>
    <x v="97"/>
    <x v="3"/>
    <x v="223"/>
    <x v="9"/>
    <x v="5"/>
    <x v="1"/>
    <x v="1"/>
    <x v="0"/>
    <x v="2"/>
  </r>
  <r>
    <x v="708"/>
    <x v="12"/>
    <x v="74"/>
    <x v="3"/>
    <x v="223"/>
    <x v="11"/>
    <x v="1"/>
    <x v="1"/>
    <x v="1"/>
    <x v="0"/>
    <x v="1"/>
  </r>
  <r>
    <x v="709"/>
    <x v="8"/>
    <x v="37"/>
    <x v="0"/>
    <x v="224"/>
    <x v="75"/>
    <x v="5"/>
    <x v="1"/>
    <x v="2"/>
    <x v="1"/>
    <x v="2"/>
  </r>
  <r>
    <x v="710"/>
    <x v="5"/>
    <x v="143"/>
    <x v="3"/>
    <x v="225"/>
    <x v="66"/>
    <x v="12"/>
    <x v="1"/>
    <x v="3"/>
    <x v="2"/>
    <x v="2"/>
  </r>
  <r>
    <x v="711"/>
    <x v="1"/>
    <x v="41"/>
    <x v="0"/>
    <x v="225"/>
    <x v="13"/>
    <x v="2"/>
    <x v="1"/>
    <x v="3"/>
    <x v="0"/>
    <x v="0"/>
  </r>
  <r>
    <x v="712"/>
    <x v="3"/>
    <x v="20"/>
    <x v="4"/>
    <x v="225"/>
    <x v="11"/>
    <x v="23"/>
    <x v="1"/>
    <x v="3"/>
    <x v="2"/>
    <x v="1"/>
  </r>
  <r>
    <x v="713"/>
    <x v="4"/>
    <x v="111"/>
    <x v="4"/>
    <x v="226"/>
    <x v="55"/>
    <x v="24"/>
    <x v="1"/>
    <x v="4"/>
    <x v="1"/>
    <x v="3"/>
  </r>
  <r>
    <x v="714"/>
    <x v="3"/>
    <x v="93"/>
    <x v="2"/>
    <x v="227"/>
    <x v="58"/>
    <x v="6"/>
    <x v="1"/>
    <x v="5"/>
    <x v="2"/>
    <x v="2"/>
  </r>
  <r>
    <x v="715"/>
    <x v="12"/>
    <x v="156"/>
    <x v="1"/>
    <x v="227"/>
    <x v="82"/>
    <x v="19"/>
    <x v="1"/>
    <x v="5"/>
    <x v="0"/>
    <x v="0"/>
  </r>
  <r>
    <x v="716"/>
    <x v="2"/>
    <x v="90"/>
    <x v="4"/>
    <x v="227"/>
    <x v="2"/>
    <x v="9"/>
    <x v="1"/>
    <x v="5"/>
    <x v="0"/>
    <x v="2"/>
  </r>
  <r>
    <x v="717"/>
    <x v="0"/>
    <x v="32"/>
    <x v="0"/>
    <x v="227"/>
    <x v="81"/>
    <x v="2"/>
    <x v="1"/>
    <x v="5"/>
    <x v="0"/>
    <x v="0"/>
  </r>
  <r>
    <x v="718"/>
    <x v="13"/>
    <x v="125"/>
    <x v="4"/>
    <x v="228"/>
    <x v="106"/>
    <x v="12"/>
    <x v="1"/>
    <x v="6"/>
    <x v="2"/>
    <x v="2"/>
  </r>
  <r>
    <x v="719"/>
    <x v="4"/>
    <x v="33"/>
    <x v="3"/>
    <x v="228"/>
    <x v="75"/>
    <x v="3"/>
    <x v="1"/>
    <x v="6"/>
    <x v="0"/>
    <x v="1"/>
  </r>
  <r>
    <x v="720"/>
    <x v="10"/>
    <x v="70"/>
    <x v="1"/>
    <x v="228"/>
    <x v="38"/>
    <x v="9"/>
    <x v="1"/>
    <x v="6"/>
    <x v="1"/>
    <x v="2"/>
  </r>
  <r>
    <x v="721"/>
    <x v="0"/>
    <x v="30"/>
    <x v="2"/>
    <x v="228"/>
    <x v="8"/>
    <x v="10"/>
    <x v="1"/>
    <x v="6"/>
    <x v="0"/>
    <x v="2"/>
  </r>
  <r>
    <x v="722"/>
    <x v="11"/>
    <x v="55"/>
    <x v="0"/>
    <x v="229"/>
    <x v="9"/>
    <x v="22"/>
    <x v="1"/>
    <x v="0"/>
    <x v="1"/>
    <x v="1"/>
  </r>
  <r>
    <x v="723"/>
    <x v="13"/>
    <x v="139"/>
    <x v="4"/>
    <x v="229"/>
    <x v="39"/>
    <x v="34"/>
    <x v="1"/>
    <x v="0"/>
    <x v="1"/>
    <x v="1"/>
  </r>
  <r>
    <x v="724"/>
    <x v="6"/>
    <x v="99"/>
    <x v="1"/>
    <x v="229"/>
    <x v="100"/>
    <x v="2"/>
    <x v="1"/>
    <x v="0"/>
    <x v="0"/>
    <x v="0"/>
  </r>
  <r>
    <x v="725"/>
    <x v="0"/>
    <x v="20"/>
    <x v="1"/>
    <x v="230"/>
    <x v="44"/>
    <x v="12"/>
    <x v="1"/>
    <x v="2"/>
    <x v="2"/>
    <x v="2"/>
  </r>
  <r>
    <x v="726"/>
    <x v="7"/>
    <x v="131"/>
    <x v="1"/>
    <x v="230"/>
    <x v="37"/>
    <x v="11"/>
    <x v="1"/>
    <x v="2"/>
    <x v="0"/>
    <x v="2"/>
  </r>
  <r>
    <x v="727"/>
    <x v="8"/>
    <x v="29"/>
    <x v="4"/>
    <x v="230"/>
    <x v="31"/>
    <x v="5"/>
    <x v="1"/>
    <x v="2"/>
    <x v="0"/>
    <x v="2"/>
  </r>
  <r>
    <x v="728"/>
    <x v="6"/>
    <x v="126"/>
    <x v="1"/>
    <x v="230"/>
    <x v="4"/>
    <x v="10"/>
    <x v="1"/>
    <x v="2"/>
    <x v="4"/>
    <x v="2"/>
  </r>
  <r>
    <x v="729"/>
    <x v="2"/>
    <x v="77"/>
    <x v="4"/>
    <x v="231"/>
    <x v="10"/>
    <x v="0"/>
    <x v="1"/>
    <x v="3"/>
    <x v="0"/>
    <x v="0"/>
  </r>
  <r>
    <x v="730"/>
    <x v="0"/>
    <x v="50"/>
    <x v="4"/>
    <x v="231"/>
    <x v="67"/>
    <x v="18"/>
    <x v="1"/>
    <x v="3"/>
    <x v="0"/>
    <x v="2"/>
  </r>
  <r>
    <x v="731"/>
    <x v="7"/>
    <x v="54"/>
    <x v="2"/>
    <x v="232"/>
    <x v="55"/>
    <x v="9"/>
    <x v="1"/>
    <x v="4"/>
    <x v="2"/>
    <x v="2"/>
  </r>
  <r>
    <x v="732"/>
    <x v="5"/>
    <x v="67"/>
    <x v="2"/>
    <x v="232"/>
    <x v="50"/>
    <x v="18"/>
    <x v="1"/>
    <x v="4"/>
    <x v="0"/>
    <x v="2"/>
  </r>
  <r>
    <x v="733"/>
    <x v="12"/>
    <x v="44"/>
    <x v="0"/>
    <x v="233"/>
    <x v="13"/>
    <x v="4"/>
    <x v="1"/>
    <x v="5"/>
    <x v="2"/>
    <x v="0"/>
  </r>
  <r>
    <x v="734"/>
    <x v="5"/>
    <x v="116"/>
    <x v="1"/>
    <x v="234"/>
    <x v="68"/>
    <x v="31"/>
    <x v="1"/>
    <x v="6"/>
    <x v="1"/>
    <x v="5"/>
  </r>
  <r>
    <x v="735"/>
    <x v="2"/>
    <x v="62"/>
    <x v="0"/>
    <x v="235"/>
    <x v="35"/>
    <x v="9"/>
    <x v="1"/>
    <x v="0"/>
    <x v="2"/>
    <x v="2"/>
  </r>
  <r>
    <x v="736"/>
    <x v="13"/>
    <x v="42"/>
    <x v="4"/>
    <x v="236"/>
    <x v="29"/>
    <x v="4"/>
    <x v="1"/>
    <x v="2"/>
    <x v="0"/>
    <x v="0"/>
  </r>
  <r>
    <x v="737"/>
    <x v="0"/>
    <x v="51"/>
    <x v="0"/>
    <x v="237"/>
    <x v="25"/>
    <x v="18"/>
    <x v="1"/>
    <x v="3"/>
    <x v="0"/>
    <x v="2"/>
  </r>
  <r>
    <x v="738"/>
    <x v="9"/>
    <x v="30"/>
    <x v="1"/>
    <x v="238"/>
    <x v="96"/>
    <x v="19"/>
    <x v="1"/>
    <x v="4"/>
    <x v="0"/>
    <x v="0"/>
  </r>
  <r>
    <x v="739"/>
    <x v="6"/>
    <x v="130"/>
    <x v="0"/>
    <x v="238"/>
    <x v="67"/>
    <x v="9"/>
    <x v="1"/>
    <x v="4"/>
    <x v="0"/>
    <x v="2"/>
  </r>
  <r>
    <x v="740"/>
    <x v="2"/>
    <x v="77"/>
    <x v="1"/>
    <x v="238"/>
    <x v="27"/>
    <x v="10"/>
    <x v="1"/>
    <x v="4"/>
    <x v="0"/>
    <x v="2"/>
  </r>
  <r>
    <x v="741"/>
    <x v="12"/>
    <x v="151"/>
    <x v="0"/>
    <x v="238"/>
    <x v="73"/>
    <x v="3"/>
    <x v="1"/>
    <x v="4"/>
    <x v="1"/>
    <x v="1"/>
  </r>
  <r>
    <x v="742"/>
    <x v="1"/>
    <x v="92"/>
    <x v="2"/>
    <x v="239"/>
    <x v="76"/>
    <x v="2"/>
    <x v="1"/>
    <x v="5"/>
    <x v="1"/>
    <x v="0"/>
  </r>
  <r>
    <x v="743"/>
    <x v="6"/>
    <x v="134"/>
    <x v="0"/>
    <x v="239"/>
    <x v="100"/>
    <x v="18"/>
    <x v="1"/>
    <x v="5"/>
    <x v="0"/>
    <x v="2"/>
  </r>
  <r>
    <x v="744"/>
    <x v="2"/>
    <x v="130"/>
    <x v="2"/>
    <x v="240"/>
    <x v="2"/>
    <x v="10"/>
    <x v="1"/>
    <x v="6"/>
    <x v="0"/>
    <x v="2"/>
  </r>
  <r>
    <x v="745"/>
    <x v="5"/>
    <x v="42"/>
    <x v="0"/>
    <x v="240"/>
    <x v="46"/>
    <x v="19"/>
    <x v="1"/>
    <x v="6"/>
    <x v="0"/>
    <x v="0"/>
  </r>
  <r>
    <x v="746"/>
    <x v="5"/>
    <x v="64"/>
    <x v="2"/>
    <x v="240"/>
    <x v="19"/>
    <x v="12"/>
    <x v="1"/>
    <x v="6"/>
    <x v="2"/>
    <x v="2"/>
  </r>
  <r>
    <x v="747"/>
    <x v="4"/>
    <x v="74"/>
    <x v="0"/>
    <x v="240"/>
    <x v="24"/>
    <x v="6"/>
    <x v="1"/>
    <x v="6"/>
    <x v="0"/>
    <x v="2"/>
  </r>
  <r>
    <x v="748"/>
    <x v="4"/>
    <x v="22"/>
    <x v="0"/>
    <x v="241"/>
    <x v="26"/>
    <x v="0"/>
    <x v="1"/>
    <x v="0"/>
    <x v="0"/>
    <x v="0"/>
  </r>
  <r>
    <x v="749"/>
    <x v="12"/>
    <x v="48"/>
    <x v="3"/>
    <x v="241"/>
    <x v="50"/>
    <x v="21"/>
    <x v="1"/>
    <x v="0"/>
    <x v="0"/>
    <x v="3"/>
  </r>
  <r>
    <x v="750"/>
    <x v="11"/>
    <x v="127"/>
    <x v="1"/>
    <x v="241"/>
    <x v="23"/>
    <x v="18"/>
    <x v="1"/>
    <x v="0"/>
    <x v="1"/>
    <x v="2"/>
  </r>
  <r>
    <x v="751"/>
    <x v="14"/>
    <x v="66"/>
    <x v="4"/>
    <x v="241"/>
    <x v="68"/>
    <x v="10"/>
    <x v="1"/>
    <x v="0"/>
    <x v="0"/>
    <x v="2"/>
  </r>
  <r>
    <x v="752"/>
    <x v="5"/>
    <x v="99"/>
    <x v="4"/>
    <x v="241"/>
    <x v="5"/>
    <x v="18"/>
    <x v="1"/>
    <x v="0"/>
    <x v="0"/>
    <x v="2"/>
  </r>
  <r>
    <x v="753"/>
    <x v="4"/>
    <x v="19"/>
    <x v="2"/>
    <x v="242"/>
    <x v="90"/>
    <x v="10"/>
    <x v="1"/>
    <x v="1"/>
    <x v="0"/>
    <x v="2"/>
  </r>
  <r>
    <x v="754"/>
    <x v="8"/>
    <x v="74"/>
    <x v="0"/>
    <x v="243"/>
    <x v="28"/>
    <x v="14"/>
    <x v="1"/>
    <x v="2"/>
    <x v="0"/>
    <x v="0"/>
  </r>
  <r>
    <x v="755"/>
    <x v="10"/>
    <x v="112"/>
    <x v="1"/>
    <x v="244"/>
    <x v="64"/>
    <x v="11"/>
    <x v="1"/>
    <x v="3"/>
    <x v="1"/>
    <x v="2"/>
  </r>
  <r>
    <x v="756"/>
    <x v="10"/>
    <x v="51"/>
    <x v="3"/>
    <x v="244"/>
    <x v="1"/>
    <x v="10"/>
    <x v="1"/>
    <x v="3"/>
    <x v="0"/>
    <x v="2"/>
  </r>
  <r>
    <x v="757"/>
    <x v="8"/>
    <x v="72"/>
    <x v="3"/>
    <x v="244"/>
    <x v="66"/>
    <x v="2"/>
    <x v="1"/>
    <x v="3"/>
    <x v="1"/>
    <x v="0"/>
  </r>
  <r>
    <x v="758"/>
    <x v="13"/>
    <x v="130"/>
    <x v="1"/>
    <x v="244"/>
    <x v="104"/>
    <x v="23"/>
    <x v="1"/>
    <x v="3"/>
    <x v="0"/>
    <x v="1"/>
  </r>
  <r>
    <x v="759"/>
    <x v="13"/>
    <x v="139"/>
    <x v="3"/>
    <x v="244"/>
    <x v="91"/>
    <x v="13"/>
    <x v="1"/>
    <x v="3"/>
    <x v="1"/>
    <x v="0"/>
  </r>
  <r>
    <x v="760"/>
    <x v="10"/>
    <x v="116"/>
    <x v="1"/>
    <x v="244"/>
    <x v="85"/>
    <x v="20"/>
    <x v="1"/>
    <x v="3"/>
    <x v="1"/>
    <x v="2"/>
  </r>
  <r>
    <x v="761"/>
    <x v="2"/>
    <x v="10"/>
    <x v="3"/>
    <x v="245"/>
    <x v="19"/>
    <x v="10"/>
    <x v="1"/>
    <x v="4"/>
    <x v="1"/>
    <x v="2"/>
  </r>
  <r>
    <x v="762"/>
    <x v="10"/>
    <x v="50"/>
    <x v="0"/>
    <x v="246"/>
    <x v="44"/>
    <x v="22"/>
    <x v="1"/>
    <x v="5"/>
    <x v="0"/>
    <x v="1"/>
  </r>
  <r>
    <x v="763"/>
    <x v="11"/>
    <x v="90"/>
    <x v="3"/>
    <x v="246"/>
    <x v="54"/>
    <x v="26"/>
    <x v="1"/>
    <x v="5"/>
    <x v="0"/>
    <x v="3"/>
  </r>
  <r>
    <x v="764"/>
    <x v="9"/>
    <x v="76"/>
    <x v="1"/>
    <x v="246"/>
    <x v="54"/>
    <x v="19"/>
    <x v="1"/>
    <x v="5"/>
    <x v="1"/>
    <x v="0"/>
  </r>
  <r>
    <x v="765"/>
    <x v="14"/>
    <x v="55"/>
    <x v="2"/>
    <x v="246"/>
    <x v="43"/>
    <x v="20"/>
    <x v="1"/>
    <x v="5"/>
    <x v="1"/>
    <x v="2"/>
  </r>
  <r>
    <x v="766"/>
    <x v="11"/>
    <x v="118"/>
    <x v="1"/>
    <x v="246"/>
    <x v="93"/>
    <x v="5"/>
    <x v="1"/>
    <x v="5"/>
    <x v="1"/>
    <x v="2"/>
  </r>
  <r>
    <x v="767"/>
    <x v="1"/>
    <x v="95"/>
    <x v="1"/>
    <x v="246"/>
    <x v="87"/>
    <x v="15"/>
    <x v="1"/>
    <x v="5"/>
    <x v="0"/>
    <x v="3"/>
  </r>
  <r>
    <x v="768"/>
    <x v="9"/>
    <x v="107"/>
    <x v="3"/>
    <x v="247"/>
    <x v="16"/>
    <x v="30"/>
    <x v="1"/>
    <x v="6"/>
    <x v="0"/>
    <x v="3"/>
  </r>
  <r>
    <x v="769"/>
    <x v="1"/>
    <x v="134"/>
    <x v="4"/>
    <x v="247"/>
    <x v="12"/>
    <x v="7"/>
    <x v="1"/>
    <x v="6"/>
    <x v="0"/>
    <x v="1"/>
  </r>
  <r>
    <x v="770"/>
    <x v="4"/>
    <x v="74"/>
    <x v="0"/>
    <x v="247"/>
    <x v="14"/>
    <x v="34"/>
    <x v="1"/>
    <x v="6"/>
    <x v="0"/>
    <x v="1"/>
  </r>
  <r>
    <x v="771"/>
    <x v="3"/>
    <x v="19"/>
    <x v="0"/>
    <x v="247"/>
    <x v="11"/>
    <x v="20"/>
    <x v="1"/>
    <x v="6"/>
    <x v="0"/>
    <x v="2"/>
  </r>
  <r>
    <x v="772"/>
    <x v="11"/>
    <x v="1"/>
    <x v="0"/>
    <x v="247"/>
    <x v="11"/>
    <x v="22"/>
    <x v="1"/>
    <x v="6"/>
    <x v="0"/>
    <x v="1"/>
  </r>
  <r>
    <x v="773"/>
    <x v="14"/>
    <x v="84"/>
    <x v="2"/>
    <x v="247"/>
    <x v="83"/>
    <x v="17"/>
    <x v="1"/>
    <x v="6"/>
    <x v="0"/>
    <x v="2"/>
  </r>
  <r>
    <x v="774"/>
    <x v="4"/>
    <x v="26"/>
    <x v="3"/>
    <x v="247"/>
    <x v="24"/>
    <x v="4"/>
    <x v="1"/>
    <x v="6"/>
    <x v="3"/>
    <x v="0"/>
  </r>
  <r>
    <x v="775"/>
    <x v="8"/>
    <x v="104"/>
    <x v="4"/>
    <x v="247"/>
    <x v="83"/>
    <x v="9"/>
    <x v="1"/>
    <x v="6"/>
    <x v="1"/>
    <x v="2"/>
  </r>
  <r>
    <x v="776"/>
    <x v="10"/>
    <x v="97"/>
    <x v="0"/>
    <x v="248"/>
    <x v="45"/>
    <x v="35"/>
    <x v="1"/>
    <x v="0"/>
    <x v="0"/>
    <x v="1"/>
  </r>
  <r>
    <x v="777"/>
    <x v="13"/>
    <x v="158"/>
    <x v="4"/>
    <x v="248"/>
    <x v="83"/>
    <x v="4"/>
    <x v="1"/>
    <x v="0"/>
    <x v="3"/>
    <x v="0"/>
  </r>
  <r>
    <x v="778"/>
    <x v="7"/>
    <x v="67"/>
    <x v="3"/>
    <x v="248"/>
    <x v="1"/>
    <x v="17"/>
    <x v="1"/>
    <x v="0"/>
    <x v="0"/>
    <x v="2"/>
  </r>
  <r>
    <x v="779"/>
    <x v="11"/>
    <x v="25"/>
    <x v="1"/>
    <x v="248"/>
    <x v="51"/>
    <x v="18"/>
    <x v="1"/>
    <x v="0"/>
    <x v="0"/>
    <x v="2"/>
  </r>
  <r>
    <x v="780"/>
    <x v="6"/>
    <x v="40"/>
    <x v="2"/>
    <x v="248"/>
    <x v="58"/>
    <x v="16"/>
    <x v="1"/>
    <x v="0"/>
    <x v="1"/>
    <x v="1"/>
  </r>
  <r>
    <x v="781"/>
    <x v="5"/>
    <x v="108"/>
    <x v="4"/>
    <x v="248"/>
    <x v="11"/>
    <x v="2"/>
    <x v="1"/>
    <x v="0"/>
    <x v="2"/>
    <x v="0"/>
  </r>
  <r>
    <x v="782"/>
    <x v="4"/>
    <x v="24"/>
    <x v="2"/>
    <x v="248"/>
    <x v="0"/>
    <x v="20"/>
    <x v="1"/>
    <x v="0"/>
    <x v="0"/>
    <x v="2"/>
  </r>
  <r>
    <x v="783"/>
    <x v="14"/>
    <x v="37"/>
    <x v="0"/>
    <x v="248"/>
    <x v="8"/>
    <x v="2"/>
    <x v="1"/>
    <x v="0"/>
    <x v="1"/>
    <x v="0"/>
  </r>
  <r>
    <x v="784"/>
    <x v="14"/>
    <x v="66"/>
    <x v="0"/>
    <x v="248"/>
    <x v="85"/>
    <x v="19"/>
    <x v="1"/>
    <x v="0"/>
    <x v="0"/>
    <x v="0"/>
  </r>
  <r>
    <x v="785"/>
    <x v="5"/>
    <x v="112"/>
    <x v="0"/>
    <x v="248"/>
    <x v="85"/>
    <x v="4"/>
    <x v="1"/>
    <x v="0"/>
    <x v="1"/>
    <x v="0"/>
  </r>
  <r>
    <x v="786"/>
    <x v="9"/>
    <x v="59"/>
    <x v="4"/>
    <x v="249"/>
    <x v="1"/>
    <x v="26"/>
    <x v="1"/>
    <x v="1"/>
    <x v="0"/>
    <x v="3"/>
  </r>
  <r>
    <x v="787"/>
    <x v="3"/>
    <x v="107"/>
    <x v="2"/>
    <x v="249"/>
    <x v="82"/>
    <x v="10"/>
    <x v="1"/>
    <x v="1"/>
    <x v="0"/>
    <x v="2"/>
  </r>
  <r>
    <x v="788"/>
    <x v="13"/>
    <x v="62"/>
    <x v="2"/>
    <x v="249"/>
    <x v="90"/>
    <x v="35"/>
    <x v="1"/>
    <x v="1"/>
    <x v="2"/>
    <x v="1"/>
  </r>
  <r>
    <x v="789"/>
    <x v="8"/>
    <x v="67"/>
    <x v="3"/>
    <x v="250"/>
    <x v="59"/>
    <x v="19"/>
    <x v="1"/>
    <x v="2"/>
    <x v="0"/>
    <x v="0"/>
  </r>
  <r>
    <x v="790"/>
    <x v="9"/>
    <x v="34"/>
    <x v="0"/>
    <x v="250"/>
    <x v="91"/>
    <x v="11"/>
    <x v="1"/>
    <x v="2"/>
    <x v="0"/>
    <x v="2"/>
  </r>
  <r>
    <x v="791"/>
    <x v="5"/>
    <x v="25"/>
    <x v="1"/>
    <x v="250"/>
    <x v="58"/>
    <x v="5"/>
    <x v="1"/>
    <x v="2"/>
    <x v="0"/>
    <x v="2"/>
  </r>
  <r>
    <x v="792"/>
    <x v="4"/>
    <x v="96"/>
    <x v="0"/>
    <x v="251"/>
    <x v="19"/>
    <x v="21"/>
    <x v="1"/>
    <x v="3"/>
    <x v="0"/>
    <x v="3"/>
  </r>
  <r>
    <x v="793"/>
    <x v="12"/>
    <x v="82"/>
    <x v="3"/>
    <x v="251"/>
    <x v="43"/>
    <x v="14"/>
    <x v="1"/>
    <x v="3"/>
    <x v="2"/>
    <x v="0"/>
  </r>
  <r>
    <x v="794"/>
    <x v="3"/>
    <x v="6"/>
    <x v="4"/>
    <x v="251"/>
    <x v="42"/>
    <x v="14"/>
    <x v="1"/>
    <x v="3"/>
    <x v="0"/>
    <x v="0"/>
  </r>
  <r>
    <x v="795"/>
    <x v="7"/>
    <x v="87"/>
    <x v="3"/>
    <x v="252"/>
    <x v="34"/>
    <x v="34"/>
    <x v="1"/>
    <x v="4"/>
    <x v="1"/>
    <x v="1"/>
  </r>
  <r>
    <x v="796"/>
    <x v="6"/>
    <x v="117"/>
    <x v="1"/>
    <x v="252"/>
    <x v="62"/>
    <x v="0"/>
    <x v="1"/>
    <x v="4"/>
    <x v="0"/>
    <x v="0"/>
  </r>
  <r>
    <x v="797"/>
    <x v="9"/>
    <x v="46"/>
    <x v="2"/>
    <x v="252"/>
    <x v="36"/>
    <x v="20"/>
    <x v="1"/>
    <x v="4"/>
    <x v="0"/>
    <x v="2"/>
  </r>
  <r>
    <x v="798"/>
    <x v="4"/>
    <x v="159"/>
    <x v="0"/>
    <x v="252"/>
    <x v="16"/>
    <x v="10"/>
    <x v="1"/>
    <x v="4"/>
    <x v="4"/>
    <x v="2"/>
  </r>
  <r>
    <x v="799"/>
    <x v="13"/>
    <x v="67"/>
    <x v="4"/>
    <x v="253"/>
    <x v="61"/>
    <x v="8"/>
    <x v="1"/>
    <x v="5"/>
    <x v="0"/>
    <x v="2"/>
  </r>
  <r>
    <x v="800"/>
    <x v="10"/>
    <x v="53"/>
    <x v="0"/>
    <x v="253"/>
    <x v="51"/>
    <x v="34"/>
    <x v="1"/>
    <x v="5"/>
    <x v="0"/>
    <x v="1"/>
  </r>
  <r>
    <x v="801"/>
    <x v="5"/>
    <x v="31"/>
    <x v="3"/>
    <x v="253"/>
    <x v="59"/>
    <x v="10"/>
    <x v="1"/>
    <x v="5"/>
    <x v="0"/>
    <x v="2"/>
  </r>
  <r>
    <x v="802"/>
    <x v="10"/>
    <x v="104"/>
    <x v="0"/>
    <x v="253"/>
    <x v="56"/>
    <x v="7"/>
    <x v="1"/>
    <x v="5"/>
    <x v="1"/>
    <x v="1"/>
  </r>
  <r>
    <x v="803"/>
    <x v="1"/>
    <x v="83"/>
    <x v="2"/>
    <x v="253"/>
    <x v="69"/>
    <x v="13"/>
    <x v="1"/>
    <x v="5"/>
    <x v="0"/>
    <x v="0"/>
  </r>
  <r>
    <x v="804"/>
    <x v="2"/>
    <x v="17"/>
    <x v="4"/>
    <x v="254"/>
    <x v="92"/>
    <x v="5"/>
    <x v="1"/>
    <x v="6"/>
    <x v="2"/>
    <x v="2"/>
  </r>
  <r>
    <x v="805"/>
    <x v="2"/>
    <x v="31"/>
    <x v="4"/>
    <x v="254"/>
    <x v="59"/>
    <x v="12"/>
    <x v="1"/>
    <x v="6"/>
    <x v="0"/>
    <x v="2"/>
  </r>
  <r>
    <x v="806"/>
    <x v="5"/>
    <x v="131"/>
    <x v="4"/>
    <x v="254"/>
    <x v="40"/>
    <x v="2"/>
    <x v="1"/>
    <x v="6"/>
    <x v="0"/>
    <x v="0"/>
  </r>
  <r>
    <x v="807"/>
    <x v="4"/>
    <x v="124"/>
    <x v="4"/>
    <x v="255"/>
    <x v="63"/>
    <x v="17"/>
    <x v="1"/>
    <x v="0"/>
    <x v="1"/>
    <x v="2"/>
  </r>
  <r>
    <x v="808"/>
    <x v="8"/>
    <x v="157"/>
    <x v="2"/>
    <x v="255"/>
    <x v="11"/>
    <x v="4"/>
    <x v="1"/>
    <x v="0"/>
    <x v="3"/>
    <x v="0"/>
  </r>
  <r>
    <x v="809"/>
    <x v="2"/>
    <x v="69"/>
    <x v="2"/>
    <x v="255"/>
    <x v="50"/>
    <x v="18"/>
    <x v="1"/>
    <x v="0"/>
    <x v="0"/>
    <x v="2"/>
  </r>
  <r>
    <x v="810"/>
    <x v="7"/>
    <x v="30"/>
    <x v="4"/>
    <x v="256"/>
    <x v="31"/>
    <x v="7"/>
    <x v="1"/>
    <x v="1"/>
    <x v="0"/>
    <x v="1"/>
  </r>
  <r>
    <x v="811"/>
    <x v="12"/>
    <x v="108"/>
    <x v="4"/>
    <x v="256"/>
    <x v="49"/>
    <x v="16"/>
    <x v="1"/>
    <x v="1"/>
    <x v="2"/>
    <x v="1"/>
  </r>
  <r>
    <x v="812"/>
    <x v="9"/>
    <x v="103"/>
    <x v="1"/>
    <x v="257"/>
    <x v="28"/>
    <x v="11"/>
    <x v="1"/>
    <x v="2"/>
    <x v="2"/>
    <x v="2"/>
  </r>
  <r>
    <x v="813"/>
    <x v="4"/>
    <x v="1"/>
    <x v="3"/>
    <x v="257"/>
    <x v="22"/>
    <x v="10"/>
    <x v="1"/>
    <x v="2"/>
    <x v="0"/>
    <x v="2"/>
  </r>
  <r>
    <x v="814"/>
    <x v="3"/>
    <x v="130"/>
    <x v="4"/>
    <x v="257"/>
    <x v="12"/>
    <x v="25"/>
    <x v="1"/>
    <x v="2"/>
    <x v="0"/>
    <x v="1"/>
  </r>
  <r>
    <x v="815"/>
    <x v="13"/>
    <x v="47"/>
    <x v="0"/>
    <x v="257"/>
    <x v="60"/>
    <x v="0"/>
    <x v="1"/>
    <x v="2"/>
    <x v="0"/>
    <x v="0"/>
  </r>
  <r>
    <x v="816"/>
    <x v="11"/>
    <x v="44"/>
    <x v="4"/>
    <x v="257"/>
    <x v="106"/>
    <x v="4"/>
    <x v="1"/>
    <x v="2"/>
    <x v="2"/>
    <x v="0"/>
  </r>
  <r>
    <x v="817"/>
    <x v="11"/>
    <x v="31"/>
    <x v="1"/>
    <x v="257"/>
    <x v="43"/>
    <x v="2"/>
    <x v="1"/>
    <x v="2"/>
    <x v="0"/>
    <x v="0"/>
  </r>
  <r>
    <x v="818"/>
    <x v="6"/>
    <x v="71"/>
    <x v="1"/>
    <x v="257"/>
    <x v="78"/>
    <x v="2"/>
    <x v="1"/>
    <x v="2"/>
    <x v="2"/>
    <x v="0"/>
  </r>
  <r>
    <x v="819"/>
    <x v="3"/>
    <x v="5"/>
    <x v="3"/>
    <x v="258"/>
    <x v="48"/>
    <x v="16"/>
    <x v="1"/>
    <x v="3"/>
    <x v="0"/>
    <x v="1"/>
  </r>
  <r>
    <x v="820"/>
    <x v="3"/>
    <x v="124"/>
    <x v="2"/>
    <x v="258"/>
    <x v="10"/>
    <x v="2"/>
    <x v="1"/>
    <x v="3"/>
    <x v="1"/>
    <x v="0"/>
  </r>
  <r>
    <x v="821"/>
    <x v="14"/>
    <x v="53"/>
    <x v="4"/>
    <x v="258"/>
    <x v="73"/>
    <x v="14"/>
    <x v="1"/>
    <x v="3"/>
    <x v="0"/>
    <x v="0"/>
  </r>
  <r>
    <x v="822"/>
    <x v="0"/>
    <x v="134"/>
    <x v="1"/>
    <x v="259"/>
    <x v="21"/>
    <x v="19"/>
    <x v="1"/>
    <x v="4"/>
    <x v="0"/>
    <x v="0"/>
  </r>
  <r>
    <x v="823"/>
    <x v="2"/>
    <x v="116"/>
    <x v="3"/>
    <x v="259"/>
    <x v="25"/>
    <x v="4"/>
    <x v="1"/>
    <x v="4"/>
    <x v="1"/>
    <x v="0"/>
  </r>
  <r>
    <x v="824"/>
    <x v="14"/>
    <x v="134"/>
    <x v="0"/>
    <x v="259"/>
    <x v="14"/>
    <x v="12"/>
    <x v="1"/>
    <x v="4"/>
    <x v="0"/>
    <x v="2"/>
  </r>
  <r>
    <x v="825"/>
    <x v="2"/>
    <x v="12"/>
    <x v="1"/>
    <x v="260"/>
    <x v="43"/>
    <x v="2"/>
    <x v="1"/>
    <x v="5"/>
    <x v="1"/>
    <x v="0"/>
  </r>
  <r>
    <x v="826"/>
    <x v="6"/>
    <x v="55"/>
    <x v="4"/>
    <x v="261"/>
    <x v="87"/>
    <x v="4"/>
    <x v="1"/>
    <x v="6"/>
    <x v="1"/>
    <x v="0"/>
  </r>
  <r>
    <x v="827"/>
    <x v="0"/>
    <x v="130"/>
    <x v="0"/>
    <x v="261"/>
    <x v="85"/>
    <x v="2"/>
    <x v="1"/>
    <x v="6"/>
    <x v="0"/>
    <x v="0"/>
  </r>
  <r>
    <x v="828"/>
    <x v="1"/>
    <x v="35"/>
    <x v="2"/>
    <x v="261"/>
    <x v="21"/>
    <x v="12"/>
    <x v="1"/>
    <x v="6"/>
    <x v="1"/>
    <x v="2"/>
  </r>
  <r>
    <x v="829"/>
    <x v="13"/>
    <x v="19"/>
    <x v="2"/>
    <x v="261"/>
    <x v="7"/>
    <x v="11"/>
    <x v="1"/>
    <x v="6"/>
    <x v="0"/>
    <x v="2"/>
  </r>
  <r>
    <x v="830"/>
    <x v="5"/>
    <x v="118"/>
    <x v="2"/>
    <x v="261"/>
    <x v="95"/>
    <x v="19"/>
    <x v="1"/>
    <x v="6"/>
    <x v="1"/>
    <x v="0"/>
  </r>
  <r>
    <x v="831"/>
    <x v="0"/>
    <x v="123"/>
    <x v="0"/>
    <x v="261"/>
    <x v="13"/>
    <x v="1"/>
    <x v="1"/>
    <x v="6"/>
    <x v="3"/>
    <x v="1"/>
  </r>
  <r>
    <x v="832"/>
    <x v="4"/>
    <x v="37"/>
    <x v="4"/>
    <x v="262"/>
    <x v="49"/>
    <x v="4"/>
    <x v="1"/>
    <x v="0"/>
    <x v="1"/>
    <x v="0"/>
  </r>
  <r>
    <x v="833"/>
    <x v="1"/>
    <x v="108"/>
    <x v="1"/>
    <x v="262"/>
    <x v="94"/>
    <x v="0"/>
    <x v="1"/>
    <x v="0"/>
    <x v="2"/>
    <x v="0"/>
  </r>
  <r>
    <x v="834"/>
    <x v="4"/>
    <x v="95"/>
    <x v="4"/>
    <x v="262"/>
    <x v="25"/>
    <x v="7"/>
    <x v="1"/>
    <x v="0"/>
    <x v="0"/>
    <x v="1"/>
  </r>
  <r>
    <x v="835"/>
    <x v="4"/>
    <x v="71"/>
    <x v="2"/>
    <x v="262"/>
    <x v="24"/>
    <x v="12"/>
    <x v="1"/>
    <x v="0"/>
    <x v="2"/>
    <x v="2"/>
  </r>
  <r>
    <x v="836"/>
    <x v="5"/>
    <x v="120"/>
    <x v="1"/>
    <x v="262"/>
    <x v="38"/>
    <x v="10"/>
    <x v="1"/>
    <x v="0"/>
    <x v="0"/>
    <x v="2"/>
  </r>
  <r>
    <x v="837"/>
    <x v="3"/>
    <x v="122"/>
    <x v="4"/>
    <x v="263"/>
    <x v="45"/>
    <x v="10"/>
    <x v="1"/>
    <x v="1"/>
    <x v="1"/>
    <x v="2"/>
  </r>
  <r>
    <x v="838"/>
    <x v="5"/>
    <x v="120"/>
    <x v="1"/>
    <x v="263"/>
    <x v="92"/>
    <x v="38"/>
    <x v="1"/>
    <x v="1"/>
    <x v="0"/>
    <x v="3"/>
  </r>
  <r>
    <x v="839"/>
    <x v="11"/>
    <x v="6"/>
    <x v="4"/>
    <x v="263"/>
    <x v="38"/>
    <x v="35"/>
    <x v="1"/>
    <x v="1"/>
    <x v="0"/>
    <x v="1"/>
  </r>
  <r>
    <x v="840"/>
    <x v="14"/>
    <x v="81"/>
    <x v="1"/>
    <x v="263"/>
    <x v="28"/>
    <x v="18"/>
    <x v="1"/>
    <x v="1"/>
    <x v="2"/>
    <x v="2"/>
  </r>
  <r>
    <x v="841"/>
    <x v="3"/>
    <x v="78"/>
    <x v="4"/>
    <x v="263"/>
    <x v="100"/>
    <x v="20"/>
    <x v="1"/>
    <x v="1"/>
    <x v="3"/>
    <x v="2"/>
  </r>
  <r>
    <x v="842"/>
    <x v="2"/>
    <x v="69"/>
    <x v="3"/>
    <x v="263"/>
    <x v="79"/>
    <x v="18"/>
    <x v="1"/>
    <x v="1"/>
    <x v="0"/>
    <x v="2"/>
  </r>
  <r>
    <x v="843"/>
    <x v="5"/>
    <x v="65"/>
    <x v="0"/>
    <x v="264"/>
    <x v="82"/>
    <x v="5"/>
    <x v="1"/>
    <x v="2"/>
    <x v="1"/>
    <x v="2"/>
  </r>
  <r>
    <x v="844"/>
    <x v="7"/>
    <x v="74"/>
    <x v="4"/>
    <x v="264"/>
    <x v="46"/>
    <x v="9"/>
    <x v="1"/>
    <x v="2"/>
    <x v="0"/>
    <x v="2"/>
  </r>
  <r>
    <x v="845"/>
    <x v="6"/>
    <x v="23"/>
    <x v="4"/>
    <x v="265"/>
    <x v="18"/>
    <x v="2"/>
    <x v="1"/>
    <x v="3"/>
    <x v="1"/>
    <x v="0"/>
  </r>
  <r>
    <x v="846"/>
    <x v="3"/>
    <x v="160"/>
    <x v="2"/>
    <x v="265"/>
    <x v="42"/>
    <x v="3"/>
    <x v="1"/>
    <x v="3"/>
    <x v="1"/>
    <x v="1"/>
  </r>
  <r>
    <x v="847"/>
    <x v="6"/>
    <x v="76"/>
    <x v="4"/>
    <x v="265"/>
    <x v="20"/>
    <x v="25"/>
    <x v="1"/>
    <x v="3"/>
    <x v="1"/>
    <x v="1"/>
  </r>
  <r>
    <x v="848"/>
    <x v="1"/>
    <x v="146"/>
    <x v="2"/>
    <x v="265"/>
    <x v="31"/>
    <x v="7"/>
    <x v="1"/>
    <x v="3"/>
    <x v="0"/>
    <x v="1"/>
  </r>
  <r>
    <x v="849"/>
    <x v="0"/>
    <x v="122"/>
    <x v="1"/>
    <x v="265"/>
    <x v="83"/>
    <x v="4"/>
    <x v="1"/>
    <x v="3"/>
    <x v="1"/>
    <x v="0"/>
  </r>
  <r>
    <x v="850"/>
    <x v="8"/>
    <x v="94"/>
    <x v="3"/>
    <x v="266"/>
    <x v="87"/>
    <x v="12"/>
    <x v="1"/>
    <x v="4"/>
    <x v="1"/>
    <x v="2"/>
  </r>
  <r>
    <x v="851"/>
    <x v="0"/>
    <x v="54"/>
    <x v="2"/>
    <x v="266"/>
    <x v="39"/>
    <x v="14"/>
    <x v="1"/>
    <x v="4"/>
    <x v="2"/>
    <x v="0"/>
  </r>
  <r>
    <x v="852"/>
    <x v="11"/>
    <x v="62"/>
    <x v="1"/>
    <x v="266"/>
    <x v="59"/>
    <x v="6"/>
    <x v="1"/>
    <x v="4"/>
    <x v="2"/>
    <x v="2"/>
  </r>
  <r>
    <x v="853"/>
    <x v="7"/>
    <x v="55"/>
    <x v="4"/>
    <x v="266"/>
    <x v="28"/>
    <x v="20"/>
    <x v="1"/>
    <x v="4"/>
    <x v="1"/>
    <x v="2"/>
  </r>
  <r>
    <x v="854"/>
    <x v="3"/>
    <x v="30"/>
    <x v="4"/>
    <x v="266"/>
    <x v="31"/>
    <x v="8"/>
    <x v="1"/>
    <x v="4"/>
    <x v="0"/>
    <x v="2"/>
  </r>
  <r>
    <x v="855"/>
    <x v="11"/>
    <x v="116"/>
    <x v="3"/>
    <x v="267"/>
    <x v="24"/>
    <x v="2"/>
    <x v="1"/>
    <x v="5"/>
    <x v="1"/>
    <x v="0"/>
  </r>
  <r>
    <x v="856"/>
    <x v="8"/>
    <x v="28"/>
    <x v="2"/>
    <x v="267"/>
    <x v="101"/>
    <x v="8"/>
    <x v="1"/>
    <x v="5"/>
    <x v="0"/>
    <x v="2"/>
  </r>
  <r>
    <x v="857"/>
    <x v="4"/>
    <x v="73"/>
    <x v="0"/>
    <x v="268"/>
    <x v="1"/>
    <x v="10"/>
    <x v="1"/>
    <x v="6"/>
    <x v="2"/>
    <x v="2"/>
  </r>
  <r>
    <x v="858"/>
    <x v="4"/>
    <x v="113"/>
    <x v="2"/>
    <x v="268"/>
    <x v="88"/>
    <x v="4"/>
    <x v="1"/>
    <x v="6"/>
    <x v="0"/>
    <x v="0"/>
  </r>
  <r>
    <x v="859"/>
    <x v="12"/>
    <x v="101"/>
    <x v="2"/>
    <x v="268"/>
    <x v="4"/>
    <x v="9"/>
    <x v="1"/>
    <x v="6"/>
    <x v="2"/>
    <x v="2"/>
  </r>
  <r>
    <x v="860"/>
    <x v="14"/>
    <x v="17"/>
    <x v="3"/>
    <x v="269"/>
    <x v="31"/>
    <x v="2"/>
    <x v="1"/>
    <x v="0"/>
    <x v="2"/>
    <x v="0"/>
  </r>
  <r>
    <x v="861"/>
    <x v="1"/>
    <x v="22"/>
    <x v="1"/>
    <x v="269"/>
    <x v="83"/>
    <x v="6"/>
    <x v="1"/>
    <x v="0"/>
    <x v="0"/>
    <x v="2"/>
  </r>
  <r>
    <x v="862"/>
    <x v="14"/>
    <x v="77"/>
    <x v="4"/>
    <x v="269"/>
    <x v="24"/>
    <x v="14"/>
    <x v="1"/>
    <x v="0"/>
    <x v="0"/>
    <x v="0"/>
  </r>
  <r>
    <x v="863"/>
    <x v="14"/>
    <x v="39"/>
    <x v="0"/>
    <x v="270"/>
    <x v="83"/>
    <x v="9"/>
    <x v="1"/>
    <x v="1"/>
    <x v="2"/>
    <x v="2"/>
  </r>
  <r>
    <x v="864"/>
    <x v="8"/>
    <x v="74"/>
    <x v="3"/>
    <x v="270"/>
    <x v="5"/>
    <x v="14"/>
    <x v="1"/>
    <x v="1"/>
    <x v="0"/>
    <x v="0"/>
  </r>
  <r>
    <x v="865"/>
    <x v="4"/>
    <x v="79"/>
    <x v="4"/>
    <x v="271"/>
    <x v="81"/>
    <x v="10"/>
    <x v="1"/>
    <x v="2"/>
    <x v="3"/>
    <x v="2"/>
  </r>
  <r>
    <x v="866"/>
    <x v="12"/>
    <x v="113"/>
    <x v="0"/>
    <x v="271"/>
    <x v="102"/>
    <x v="12"/>
    <x v="1"/>
    <x v="2"/>
    <x v="0"/>
    <x v="2"/>
  </r>
  <r>
    <x v="867"/>
    <x v="3"/>
    <x v="21"/>
    <x v="1"/>
    <x v="271"/>
    <x v="67"/>
    <x v="6"/>
    <x v="1"/>
    <x v="2"/>
    <x v="0"/>
    <x v="2"/>
  </r>
  <r>
    <x v="868"/>
    <x v="13"/>
    <x v="69"/>
    <x v="1"/>
    <x v="271"/>
    <x v="28"/>
    <x v="6"/>
    <x v="1"/>
    <x v="2"/>
    <x v="0"/>
    <x v="2"/>
  </r>
  <r>
    <x v="869"/>
    <x v="13"/>
    <x v="2"/>
    <x v="1"/>
    <x v="272"/>
    <x v="13"/>
    <x v="9"/>
    <x v="1"/>
    <x v="3"/>
    <x v="0"/>
    <x v="2"/>
  </r>
  <r>
    <x v="870"/>
    <x v="12"/>
    <x v="58"/>
    <x v="1"/>
    <x v="272"/>
    <x v="29"/>
    <x v="18"/>
    <x v="1"/>
    <x v="3"/>
    <x v="0"/>
    <x v="2"/>
  </r>
  <r>
    <x v="871"/>
    <x v="12"/>
    <x v="99"/>
    <x v="0"/>
    <x v="273"/>
    <x v="38"/>
    <x v="12"/>
    <x v="1"/>
    <x v="4"/>
    <x v="0"/>
    <x v="2"/>
  </r>
  <r>
    <x v="872"/>
    <x v="9"/>
    <x v="66"/>
    <x v="2"/>
    <x v="273"/>
    <x v="67"/>
    <x v="11"/>
    <x v="1"/>
    <x v="4"/>
    <x v="0"/>
    <x v="2"/>
  </r>
  <r>
    <x v="873"/>
    <x v="7"/>
    <x v="161"/>
    <x v="0"/>
    <x v="273"/>
    <x v="59"/>
    <x v="5"/>
    <x v="1"/>
    <x v="4"/>
    <x v="1"/>
    <x v="2"/>
  </r>
  <r>
    <x v="874"/>
    <x v="4"/>
    <x v="98"/>
    <x v="0"/>
    <x v="273"/>
    <x v="30"/>
    <x v="2"/>
    <x v="1"/>
    <x v="4"/>
    <x v="3"/>
    <x v="0"/>
  </r>
  <r>
    <x v="875"/>
    <x v="1"/>
    <x v="30"/>
    <x v="0"/>
    <x v="274"/>
    <x v="21"/>
    <x v="6"/>
    <x v="1"/>
    <x v="5"/>
    <x v="0"/>
    <x v="2"/>
  </r>
  <r>
    <x v="876"/>
    <x v="3"/>
    <x v="156"/>
    <x v="2"/>
    <x v="274"/>
    <x v="4"/>
    <x v="30"/>
    <x v="1"/>
    <x v="5"/>
    <x v="0"/>
    <x v="3"/>
  </r>
  <r>
    <x v="877"/>
    <x v="8"/>
    <x v="113"/>
    <x v="2"/>
    <x v="274"/>
    <x v="10"/>
    <x v="4"/>
    <x v="1"/>
    <x v="5"/>
    <x v="0"/>
    <x v="0"/>
  </r>
  <r>
    <x v="878"/>
    <x v="7"/>
    <x v="70"/>
    <x v="3"/>
    <x v="275"/>
    <x v="81"/>
    <x v="12"/>
    <x v="1"/>
    <x v="6"/>
    <x v="1"/>
    <x v="2"/>
  </r>
  <r>
    <x v="879"/>
    <x v="7"/>
    <x v="90"/>
    <x v="2"/>
    <x v="275"/>
    <x v="101"/>
    <x v="30"/>
    <x v="1"/>
    <x v="6"/>
    <x v="0"/>
    <x v="3"/>
  </r>
  <r>
    <x v="880"/>
    <x v="7"/>
    <x v="53"/>
    <x v="2"/>
    <x v="275"/>
    <x v="45"/>
    <x v="4"/>
    <x v="1"/>
    <x v="6"/>
    <x v="0"/>
    <x v="0"/>
  </r>
  <r>
    <x v="881"/>
    <x v="7"/>
    <x v="157"/>
    <x v="4"/>
    <x v="275"/>
    <x v="94"/>
    <x v="27"/>
    <x v="1"/>
    <x v="6"/>
    <x v="3"/>
    <x v="1"/>
  </r>
  <r>
    <x v="882"/>
    <x v="3"/>
    <x v="41"/>
    <x v="3"/>
    <x v="275"/>
    <x v="69"/>
    <x v="27"/>
    <x v="1"/>
    <x v="6"/>
    <x v="0"/>
    <x v="1"/>
  </r>
  <r>
    <x v="883"/>
    <x v="6"/>
    <x v="50"/>
    <x v="1"/>
    <x v="276"/>
    <x v="66"/>
    <x v="7"/>
    <x v="1"/>
    <x v="0"/>
    <x v="0"/>
    <x v="1"/>
  </r>
  <r>
    <x v="884"/>
    <x v="10"/>
    <x v="103"/>
    <x v="0"/>
    <x v="276"/>
    <x v="21"/>
    <x v="20"/>
    <x v="1"/>
    <x v="0"/>
    <x v="2"/>
    <x v="2"/>
  </r>
  <r>
    <x v="885"/>
    <x v="6"/>
    <x v="52"/>
    <x v="1"/>
    <x v="276"/>
    <x v="12"/>
    <x v="15"/>
    <x v="1"/>
    <x v="0"/>
    <x v="1"/>
    <x v="3"/>
  </r>
  <r>
    <x v="886"/>
    <x v="1"/>
    <x v="7"/>
    <x v="4"/>
    <x v="277"/>
    <x v="7"/>
    <x v="6"/>
    <x v="1"/>
    <x v="1"/>
    <x v="2"/>
    <x v="2"/>
  </r>
  <r>
    <x v="887"/>
    <x v="13"/>
    <x v="112"/>
    <x v="0"/>
    <x v="277"/>
    <x v="45"/>
    <x v="11"/>
    <x v="1"/>
    <x v="1"/>
    <x v="1"/>
    <x v="2"/>
  </r>
  <r>
    <x v="888"/>
    <x v="9"/>
    <x v="84"/>
    <x v="0"/>
    <x v="277"/>
    <x v="95"/>
    <x v="22"/>
    <x v="1"/>
    <x v="1"/>
    <x v="0"/>
    <x v="1"/>
  </r>
  <r>
    <x v="889"/>
    <x v="0"/>
    <x v="96"/>
    <x v="4"/>
    <x v="278"/>
    <x v="44"/>
    <x v="5"/>
    <x v="1"/>
    <x v="2"/>
    <x v="0"/>
    <x v="2"/>
  </r>
  <r>
    <x v="890"/>
    <x v="2"/>
    <x v="133"/>
    <x v="3"/>
    <x v="279"/>
    <x v="2"/>
    <x v="4"/>
    <x v="1"/>
    <x v="3"/>
    <x v="1"/>
    <x v="0"/>
  </r>
  <r>
    <x v="891"/>
    <x v="14"/>
    <x v="63"/>
    <x v="1"/>
    <x v="279"/>
    <x v="38"/>
    <x v="8"/>
    <x v="1"/>
    <x v="3"/>
    <x v="0"/>
    <x v="2"/>
  </r>
  <r>
    <x v="892"/>
    <x v="3"/>
    <x v="6"/>
    <x v="3"/>
    <x v="280"/>
    <x v="2"/>
    <x v="5"/>
    <x v="1"/>
    <x v="4"/>
    <x v="0"/>
    <x v="2"/>
  </r>
  <r>
    <x v="893"/>
    <x v="13"/>
    <x v="108"/>
    <x v="4"/>
    <x v="281"/>
    <x v="42"/>
    <x v="11"/>
    <x v="1"/>
    <x v="5"/>
    <x v="2"/>
    <x v="2"/>
  </r>
  <r>
    <x v="894"/>
    <x v="12"/>
    <x v="59"/>
    <x v="0"/>
    <x v="282"/>
    <x v="89"/>
    <x v="11"/>
    <x v="1"/>
    <x v="6"/>
    <x v="0"/>
    <x v="2"/>
  </r>
  <r>
    <x v="895"/>
    <x v="13"/>
    <x v="141"/>
    <x v="2"/>
    <x v="282"/>
    <x v="70"/>
    <x v="19"/>
    <x v="1"/>
    <x v="6"/>
    <x v="0"/>
    <x v="0"/>
  </r>
  <r>
    <x v="896"/>
    <x v="5"/>
    <x v="143"/>
    <x v="1"/>
    <x v="283"/>
    <x v="96"/>
    <x v="13"/>
    <x v="1"/>
    <x v="1"/>
    <x v="2"/>
    <x v="0"/>
  </r>
  <r>
    <x v="897"/>
    <x v="3"/>
    <x v="28"/>
    <x v="3"/>
    <x v="284"/>
    <x v="54"/>
    <x v="23"/>
    <x v="1"/>
    <x v="2"/>
    <x v="0"/>
    <x v="1"/>
  </r>
  <r>
    <x v="898"/>
    <x v="2"/>
    <x v="129"/>
    <x v="4"/>
    <x v="284"/>
    <x v="27"/>
    <x v="20"/>
    <x v="1"/>
    <x v="2"/>
    <x v="0"/>
    <x v="2"/>
  </r>
  <r>
    <x v="899"/>
    <x v="11"/>
    <x v="33"/>
    <x v="0"/>
    <x v="285"/>
    <x v="42"/>
    <x v="34"/>
    <x v="1"/>
    <x v="3"/>
    <x v="0"/>
    <x v="1"/>
  </r>
  <r>
    <x v="900"/>
    <x v="11"/>
    <x v="78"/>
    <x v="4"/>
    <x v="285"/>
    <x v="59"/>
    <x v="9"/>
    <x v="1"/>
    <x v="3"/>
    <x v="3"/>
    <x v="2"/>
  </r>
  <r>
    <x v="901"/>
    <x v="2"/>
    <x v="108"/>
    <x v="1"/>
    <x v="285"/>
    <x v="55"/>
    <x v="27"/>
    <x v="1"/>
    <x v="3"/>
    <x v="2"/>
    <x v="1"/>
  </r>
  <r>
    <x v="902"/>
    <x v="11"/>
    <x v="89"/>
    <x v="2"/>
    <x v="285"/>
    <x v="59"/>
    <x v="19"/>
    <x v="1"/>
    <x v="3"/>
    <x v="1"/>
    <x v="0"/>
  </r>
  <r>
    <x v="903"/>
    <x v="1"/>
    <x v="130"/>
    <x v="3"/>
    <x v="286"/>
    <x v="58"/>
    <x v="34"/>
    <x v="1"/>
    <x v="4"/>
    <x v="0"/>
    <x v="1"/>
  </r>
  <r>
    <x v="904"/>
    <x v="12"/>
    <x v="55"/>
    <x v="0"/>
    <x v="286"/>
    <x v="46"/>
    <x v="8"/>
    <x v="1"/>
    <x v="4"/>
    <x v="1"/>
    <x v="2"/>
  </r>
  <r>
    <x v="905"/>
    <x v="3"/>
    <x v="50"/>
    <x v="1"/>
    <x v="287"/>
    <x v="32"/>
    <x v="6"/>
    <x v="1"/>
    <x v="5"/>
    <x v="0"/>
    <x v="2"/>
  </r>
  <r>
    <x v="906"/>
    <x v="6"/>
    <x v="34"/>
    <x v="3"/>
    <x v="287"/>
    <x v="66"/>
    <x v="0"/>
    <x v="1"/>
    <x v="5"/>
    <x v="0"/>
    <x v="0"/>
  </r>
  <r>
    <x v="907"/>
    <x v="0"/>
    <x v="48"/>
    <x v="1"/>
    <x v="287"/>
    <x v="21"/>
    <x v="10"/>
    <x v="1"/>
    <x v="5"/>
    <x v="0"/>
    <x v="2"/>
  </r>
  <r>
    <x v="908"/>
    <x v="11"/>
    <x v="5"/>
    <x v="3"/>
    <x v="288"/>
    <x v="2"/>
    <x v="2"/>
    <x v="1"/>
    <x v="6"/>
    <x v="0"/>
    <x v="0"/>
  </r>
  <r>
    <x v="909"/>
    <x v="8"/>
    <x v="34"/>
    <x v="0"/>
    <x v="288"/>
    <x v="50"/>
    <x v="14"/>
    <x v="1"/>
    <x v="6"/>
    <x v="0"/>
    <x v="0"/>
  </r>
  <r>
    <x v="910"/>
    <x v="6"/>
    <x v="148"/>
    <x v="0"/>
    <x v="289"/>
    <x v="96"/>
    <x v="14"/>
    <x v="1"/>
    <x v="0"/>
    <x v="1"/>
    <x v="0"/>
  </r>
  <r>
    <x v="911"/>
    <x v="7"/>
    <x v="63"/>
    <x v="4"/>
    <x v="290"/>
    <x v="97"/>
    <x v="5"/>
    <x v="1"/>
    <x v="1"/>
    <x v="0"/>
    <x v="2"/>
  </r>
  <r>
    <x v="912"/>
    <x v="13"/>
    <x v="25"/>
    <x v="0"/>
    <x v="290"/>
    <x v="60"/>
    <x v="17"/>
    <x v="1"/>
    <x v="1"/>
    <x v="0"/>
    <x v="2"/>
  </r>
  <r>
    <x v="913"/>
    <x v="9"/>
    <x v="129"/>
    <x v="2"/>
    <x v="290"/>
    <x v="10"/>
    <x v="11"/>
    <x v="1"/>
    <x v="1"/>
    <x v="0"/>
    <x v="2"/>
  </r>
  <r>
    <x v="914"/>
    <x v="8"/>
    <x v="121"/>
    <x v="0"/>
    <x v="291"/>
    <x v="57"/>
    <x v="18"/>
    <x v="1"/>
    <x v="2"/>
    <x v="2"/>
    <x v="2"/>
  </r>
  <r>
    <x v="915"/>
    <x v="6"/>
    <x v="40"/>
    <x v="1"/>
    <x v="291"/>
    <x v="85"/>
    <x v="30"/>
    <x v="1"/>
    <x v="2"/>
    <x v="1"/>
    <x v="3"/>
  </r>
  <r>
    <x v="916"/>
    <x v="13"/>
    <x v="87"/>
    <x v="4"/>
    <x v="291"/>
    <x v="7"/>
    <x v="10"/>
    <x v="1"/>
    <x v="2"/>
    <x v="1"/>
    <x v="2"/>
  </r>
  <r>
    <x v="917"/>
    <x v="7"/>
    <x v="97"/>
    <x v="1"/>
    <x v="292"/>
    <x v="52"/>
    <x v="10"/>
    <x v="1"/>
    <x v="3"/>
    <x v="0"/>
    <x v="2"/>
  </r>
  <r>
    <x v="918"/>
    <x v="4"/>
    <x v="117"/>
    <x v="0"/>
    <x v="292"/>
    <x v="96"/>
    <x v="17"/>
    <x v="1"/>
    <x v="3"/>
    <x v="0"/>
    <x v="2"/>
  </r>
  <r>
    <x v="919"/>
    <x v="0"/>
    <x v="90"/>
    <x v="4"/>
    <x v="292"/>
    <x v="94"/>
    <x v="19"/>
    <x v="1"/>
    <x v="3"/>
    <x v="0"/>
    <x v="0"/>
  </r>
  <r>
    <x v="920"/>
    <x v="2"/>
    <x v="93"/>
    <x v="4"/>
    <x v="293"/>
    <x v="64"/>
    <x v="17"/>
    <x v="1"/>
    <x v="4"/>
    <x v="2"/>
    <x v="2"/>
  </r>
  <r>
    <x v="921"/>
    <x v="12"/>
    <x v="47"/>
    <x v="1"/>
    <x v="293"/>
    <x v="85"/>
    <x v="13"/>
    <x v="1"/>
    <x v="4"/>
    <x v="0"/>
    <x v="0"/>
  </r>
  <r>
    <x v="922"/>
    <x v="5"/>
    <x v="17"/>
    <x v="1"/>
    <x v="294"/>
    <x v="56"/>
    <x v="3"/>
    <x v="1"/>
    <x v="5"/>
    <x v="2"/>
    <x v="1"/>
  </r>
  <r>
    <x v="923"/>
    <x v="12"/>
    <x v="17"/>
    <x v="0"/>
    <x v="294"/>
    <x v="98"/>
    <x v="34"/>
    <x v="1"/>
    <x v="5"/>
    <x v="2"/>
    <x v="1"/>
  </r>
  <r>
    <x v="924"/>
    <x v="6"/>
    <x v="51"/>
    <x v="4"/>
    <x v="294"/>
    <x v="39"/>
    <x v="10"/>
    <x v="1"/>
    <x v="5"/>
    <x v="0"/>
    <x v="2"/>
  </r>
  <r>
    <x v="925"/>
    <x v="12"/>
    <x v="107"/>
    <x v="0"/>
    <x v="295"/>
    <x v="101"/>
    <x v="12"/>
    <x v="1"/>
    <x v="6"/>
    <x v="0"/>
    <x v="2"/>
  </r>
  <r>
    <x v="926"/>
    <x v="3"/>
    <x v="74"/>
    <x v="1"/>
    <x v="295"/>
    <x v="46"/>
    <x v="25"/>
    <x v="1"/>
    <x v="6"/>
    <x v="0"/>
    <x v="1"/>
  </r>
  <r>
    <x v="927"/>
    <x v="8"/>
    <x v="7"/>
    <x v="2"/>
    <x v="295"/>
    <x v="66"/>
    <x v="7"/>
    <x v="1"/>
    <x v="6"/>
    <x v="2"/>
    <x v="1"/>
  </r>
  <r>
    <x v="928"/>
    <x v="12"/>
    <x v="99"/>
    <x v="4"/>
    <x v="295"/>
    <x v="50"/>
    <x v="7"/>
    <x v="1"/>
    <x v="6"/>
    <x v="0"/>
    <x v="1"/>
  </r>
  <r>
    <x v="929"/>
    <x v="2"/>
    <x v="54"/>
    <x v="2"/>
    <x v="296"/>
    <x v="67"/>
    <x v="32"/>
    <x v="1"/>
    <x v="0"/>
    <x v="2"/>
    <x v="3"/>
  </r>
  <r>
    <x v="930"/>
    <x v="13"/>
    <x v="53"/>
    <x v="4"/>
    <x v="297"/>
    <x v="94"/>
    <x v="20"/>
    <x v="1"/>
    <x v="1"/>
    <x v="0"/>
    <x v="2"/>
  </r>
  <r>
    <x v="931"/>
    <x v="4"/>
    <x v="137"/>
    <x v="1"/>
    <x v="298"/>
    <x v="61"/>
    <x v="17"/>
    <x v="1"/>
    <x v="2"/>
    <x v="3"/>
    <x v="2"/>
  </r>
  <r>
    <x v="932"/>
    <x v="3"/>
    <x v="119"/>
    <x v="4"/>
    <x v="298"/>
    <x v="73"/>
    <x v="35"/>
    <x v="1"/>
    <x v="2"/>
    <x v="1"/>
    <x v="1"/>
  </r>
  <r>
    <x v="933"/>
    <x v="5"/>
    <x v="15"/>
    <x v="4"/>
    <x v="299"/>
    <x v="93"/>
    <x v="10"/>
    <x v="1"/>
    <x v="4"/>
    <x v="0"/>
    <x v="2"/>
  </r>
  <r>
    <x v="934"/>
    <x v="3"/>
    <x v="67"/>
    <x v="2"/>
    <x v="299"/>
    <x v="21"/>
    <x v="9"/>
    <x v="1"/>
    <x v="4"/>
    <x v="0"/>
    <x v="2"/>
  </r>
  <r>
    <x v="935"/>
    <x v="3"/>
    <x v="9"/>
    <x v="1"/>
    <x v="300"/>
    <x v="72"/>
    <x v="14"/>
    <x v="1"/>
    <x v="5"/>
    <x v="0"/>
    <x v="0"/>
  </r>
  <r>
    <x v="936"/>
    <x v="5"/>
    <x v="119"/>
    <x v="3"/>
    <x v="300"/>
    <x v="6"/>
    <x v="9"/>
    <x v="1"/>
    <x v="5"/>
    <x v="1"/>
    <x v="2"/>
  </r>
  <r>
    <x v="937"/>
    <x v="8"/>
    <x v="108"/>
    <x v="4"/>
    <x v="300"/>
    <x v="49"/>
    <x v="12"/>
    <x v="1"/>
    <x v="5"/>
    <x v="2"/>
    <x v="2"/>
  </r>
  <r>
    <x v="938"/>
    <x v="1"/>
    <x v="132"/>
    <x v="0"/>
    <x v="300"/>
    <x v="80"/>
    <x v="4"/>
    <x v="1"/>
    <x v="5"/>
    <x v="3"/>
    <x v="0"/>
  </r>
  <r>
    <x v="939"/>
    <x v="4"/>
    <x v="38"/>
    <x v="3"/>
    <x v="301"/>
    <x v="102"/>
    <x v="2"/>
    <x v="1"/>
    <x v="0"/>
    <x v="0"/>
    <x v="0"/>
  </r>
  <r>
    <x v="940"/>
    <x v="11"/>
    <x v="74"/>
    <x v="2"/>
    <x v="301"/>
    <x v="40"/>
    <x v="13"/>
    <x v="1"/>
    <x v="0"/>
    <x v="0"/>
    <x v="0"/>
  </r>
  <r>
    <x v="941"/>
    <x v="9"/>
    <x v="45"/>
    <x v="1"/>
    <x v="302"/>
    <x v="41"/>
    <x v="38"/>
    <x v="1"/>
    <x v="1"/>
    <x v="0"/>
    <x v="3"/>
  </r>
  <r>
    <x v="942"/>
    <x v="2"/>
    <x v="24"/>
    <x v="0"/>
    <x v="303"/>
    <x v="6"/>
    <x v="17"/>
    <x v="1"/>
    <x v="2"/>
    <x v="0"/>
    <x v="2"/>
  </r>
  <r>
    <x v="943"/>
    <x v="9"/>
    <x v="72"/>
    <x v="1"/>
    <x v="303"/>
    <x v="29"/>
    <x v="10"/>
    <x v="1"/>
    <x v="2"/>
    <x v="1"/>
    <x v="2"/>
  </r>
  <r>
    <x v="944"/>
    <x v="6"/>
    <x v="144"/>
    <x v="2"/>
    <x v="303"/>
    <x v="78"/>
    <x v="17"/>
    <x v="1"/>
    <x v="2"/>
    <x v="2"/>
    <x v="2"/>
  </r>
  <r>
    <x v="945"/>
    <x v="7"/>
    <x v="162"/>
    <x v="4"/>
    <x v="304"/>
    <x v="53"/>
    <x v="3"/>
    <x v="1"/>
    <x v="3"/>
    <x v="4"/>
    <x v="1"/>
  </r>
  <r>
    <x v="946"/>
    <x v="2"/>
    <x v="115"/>
    <x v="2"/>
    <x v="305"/>
    <x v="44"/>
    <x v="19"/>
    <x v="1"/>
    <x v="4"/>
    <x v="1"/>
    <x v="0"/>
  </r>
  <r>
    <x v="947"/>
    <x v="1"/>
    <x v="116"/>
    <x v="3"/>
    <x v="306"/>
    <x v="105"/>
    <x v="4"/>
    <x v="1"/>
    <x v="5"/>
    <x v="1"/>
    <x v="0"/>
  </r>
  <r>
    <x v="948"/>
    <x v="3"/>
    <x v="42"/>
    <x v="4"/>
    <x v="306"/>
    <x v="99"/>
    <x v="24"/>
    <x v="1"/>
    <x v="5"/>
    <x v="0"/>
    <x v="3"/>
  </r>
  <r>
    <x v="949"/>
    <x v="1"/>
    <x v="122"/>
    <x v="3"/>
    <x v="306"/>
    <x v="82"/>
    <x v="27"/>
    <x v="1"/>
    <x v="5"/>
    <x v="1"/>
    <x v="1"/>
  </r>
  <r>
    <x v="950"/>
    <x v="6"/>
    <x v="156"/>
    <x v="0"/>
    <x v="306"/>
    <x v="74"/>
    <x v="4"/>
    <x v="1"/>
    <x v="5"/>
    <x v="0"/>
    <x v="0"/>
  </r>
  <r>
    <x v="951"/>
    <x v="3"/>
    <x v="9"/>
    <x v="1"/>
    <x v="307"/>
    <x v="18"/>
    <x v="20"/>
    <x v="1"/>
    <x v="6"/>
    <x v="0"/>
    <x v="2"/>
  </r>
  <r>
    <x v="952"/>
    <x v="10"/>
    <x v="63"/>
    <x v="0"/>
    <x v="307"/>
    <x v="49"/>
    <x v="18"/>
    <x v="1"/>
    <x v="6"/>
    <x v="0"/>
    <x v="2"/>
  </r>
  <r>
    <x v="953"/>
    <x v="1"/>
    <x v="40"/>
    <x v="1"/>
    <x v="308"/>
    <x v="28"/>
    <x v="16"/>
    <x v="1"/>
    <x v="0"/>
    <x v="1"/>
    <x v="1"/>
  </r>
  <r>
    <x v="954"/>
    <x v="7"/>
    <x v="122"/>
    <x v="0"/>
    <x v="308"/>
    <x v="11"/>
    <x v="12"/>
    <x v="1"/>
    <x v="0"/>
    <x v="1"/>
    <x v="2"/>
  </r>
  <r>
    <x v="955"/>
    <x v="3"/>
    <x v="145"/>
    <x v="4"/>
    <x v="308"/>
    <x v="39"/>
    <x v="20"/>
    <x v="1"/>
    <x v="0"/>
    <x v="2"/>
    <x v="2"/>
  </r>
  <r>
    <x v="956"/>
    <x v="10"/>
    <x v="50"/>
    <x v="0"/>
    <x v="309"/>
    <x v="18"/>
    <x v="20"/>
    <x v="1"/>
    <x v="1"/>
    <x v="0"/>
    <x v="2"/>
  </r>
  <r>
    <x v="957"/>
    <x v="6"/>
    <x v="18"/>
    <x v="3"/>
    <x v="310"/>
    <x v="79"/>
    <x v="22"/>
    <x v="1"/>
    <x v="2"/>
    <x v="2"/>
    <x v="1"/>
  </r>
  <r>
    <x v="958"/>
    <x v="7"/>
    <x v="67"/>
    <x v="3"/>
    <x v="311"/>
    <x v="70"/>
    <x v="21"/>
    <x v="1"/>
    <x v="4"/>
    <x v="0"/>
    <x v="3"/>
  </r>
  <r>
    <x v="959"/>
    <x v="6"/>
    <x v="128"/>
    <x v="1"/>
    <x v="312"/>
    <x v="76"/>
    <x v="8"/>
    <x v="1"/>
    <x v="5"/>
    <x v="3"/>
    <x v="2"/>
  </r>
  <r>
    <x v="960"/>
    <x v="12"/>
    <x v="54"/>
    <x v="4"/>
    <x v="312"/>
    <x v="48"/>
    <x v="12"/>
    <x v="1"/>
    <x v="5"/>
    <x v="2"/>
    <x v="2"/>
  </r>
  <r>
    <x v="961"/>
    <x v="6"/>
    <x v="6"/>
    <x v="1"/>
    <x v="313"/>
    <x v="18"/>
    <x v="7"/>
    <x v="1"/>
    <x v="6"/>
    <x v="0"/>
    <x v="1"/>
  </r>
  <r>
    <x v="962"/>
    <x v="9"/>
    <x v="47"/>
    <x v="2"/>
    <x v="313"/>
    <x v="95"/>
    <x v="20"/>
    <x v="1"/>
    <x v="6"/>
    <x v="0"/>
    <x v="2"/>
  </r>
  <r>
    <x v="963"/>
    <x v="12"/>
    <x v="74"/>
    <x v="4"/>
    <x v="314"/>
    <x v="84"/>
    <x v="4"/>
    <x v="1"/>
    <x v="3"/>
    <x v="0"/>
    <x v="0"/>
  </r>
  <r>
    <x v="964"/>
    <x v="2"/>
    <x v="30"/>
    <x v="1"/>
    <x v="314"/>
    <x v="38"/>
    <x v="16"/>
    <x v="1"/>
    <x v="3"/>
    <x v="0"/>
    <x v="1"/>
  </r>
  <r>
    <x v="965"/>
    <x v="10"/>
    <x v="109"/>
    <x v="3"/>
    <x v="315"/>
    <x v="1"/>
    <x v="18"/>
    <x v="1"/>
    <x v="4"/>
    <x v="2"/>
    <x v="2"/>
  </r>
  <r>
    <x v="966"/>
    <x v="14"/>
    <x v="76"/>
    <x v="4"/>
    <x v="316"/>
    <x v="98"/>
    <x v="27"/>
    <x v="1"/>
    <x v="5"/>
    <x v="1"/>
    <x v="1"/>
  </r>
  <r>
    <x v="967"/>
    <x v="5"/>
    <x v="74"/>
    <x v="3"/>
    <x v="316"/>
    <x v="99"/>
    <x v="0"/>
    <x v="1"/>
    <x v="5"/>
    <x v="0"/>
    <x v="0"/>
  </r>
  <r>
    <x v="968"/>
    <x v="13"/>
    <x v="89"/>
    <x v="1"/>
    <x v="316"/>
    <x v="83"/>
    <x v="26"/>
    <x v="1"/>
    <x v="5"/>
    <x v="1"/>
    <x v="3"/>
  </r>
  <r>
    <x v="969"/>
    <x v="14"/>
    <x v="119"/>
    <x v="0"/>
    <x v="317"/>
    <x v="73"/>
    <x v="2"/>
    <x v="1"/>
    <x v="6"/>
    <x v="1"/>
    <x v="0"/>
  </r>
  <r>
    <x v="970"/>
    <x v="2"/>
    <x v="64"/>
    <x v="0"/>
    <x v="317"/>
    <x v="59"/>
    <x v="3"/>
    <x v="1"/>
    <x v="6"/>
    <x v="2"/>
    <x v="1"/>
  </r>
  <r>
    <x v="971"/>
    <x v="8"/>
    <x v="56"/>
    <x v="0"/>
    <x v="317"/>
    <x v="2"/>
    <x v="23"/>
    <x v="1"/>
    <x v="6"/>
    <x v="1"/>
    <x v="1"/>
  </r>
  <r>
    <x v="972"/>
    <x v="6"/>
    <x v="52"/>
    <x v="3"/>
    <x v="317"/>
    <x v="103"/>
    <x v="2"/>
    <x v="1"/>
    <x v="6"/>
    <x v="1"/>
    <x v="0"/>
  </r>
  <r>
    <x v="973"/>
    <x v="11"/>
    <x v="116"/>
    <x v="3"/>
    <x v="317"/>
    <x v="101"/>
    <x v="4"/>
    <x v="1"/>
    <x v="6"/>
    <x v="1"/>
    <x v="0"/>
  </r>
  <r>
    <x v="974"/>
    <x v="2"/>
    <x v="116"/>
    <x v="2"/>
    <x v="318"/>
    <x v="24"/>
    <x v="2"/>
    <x v="1"/>
    <x v="0"/>
    <x v="1"/>
    <x v="0"/>
  </r>
  <r>
    <x v="975"/>
    <x v="7"/>
    <x v="81"/>
    <x v="3"/>
    <x v="318"/>
    <x v="6"/>
    <x v="9"/>
    <x v="1"/>
    <x v="0"/>
    <x v="2"/>
    <x v="2"/>
  </r>
  <r>
    <x v="976"/>
    <x v="2"/>
    <x v="5"/>
    <x v="4"/>
    <x v="319"/>
    <x v="67"/>
    <x v="0"/>
    <x v="1"/>
    <x v="2"/>
    <x v="0"/>
    <x v="0"/>
  </r>
  <r>
    <x v="977"/>
    <x v="9"/>
    <x v="134"/>
    <x v="2"/>
    <x v="320"/>
    <x v="104"/>
    <x v="20"/>
    <x v="1"/>
    <x v="3"/>
    <x v="0"/>
    <x v="2"/>
  </r>
  <r>
    <x v="978"/>
    <x v="4"/>
    <x v="107"/>
    <x v="3"/>
    <x v="320"/>
    <x v="100"/>
    <x v="14"/>
    <x v="1"/>
    <x v="3"/>
    <x v="0"/>
    <x v="0"/>
  </r>
  <r>
    <x v="979"/>
    <x v="5"/>
    <x v="77"/>
    <x v="1"/>
    <x v="321"/>
    <x v="95"/>
    <x v="15"/>
    <x v="1"/>
    <x v="4"/>
    <x v="0"/>
    <x v="3"/>
  </r>
  <r>
    <x v="980"/>
    <x v="14"/>
    <x v="34"/>
    <x v="3"/>
    <x v="322"/>
    <x v="66"/>
    <x v="3"/>
    <x v="1"/>
    <x v="0"/>
    <x v="0"/>
    <x v="1"/>
  </r>
  <r>
    <x v="981"/>
    <x v="3"/>
    <x v="129"/>
    <x v="4"/>
    <x v="322"/>
    <x v="28"/>
    <x v="17"/>
    <x v="1"/>
    <x v="0"/>
    <x v="0"/>
    <x v="2"/>
  </r>
  <r>
    <x v="982"/>
    <x v="10"/>
    <x v="163"/>
    <x v="0"/>
    <x v="323"/>
    <x v="39"/>
    <x v="16"/>
    <x v="1"/>
    <x v="1"/>
    <x v="4"/>
    <x v="1"/>
  </r>
  <r>
    <x v="983"/>
    <x v="7"/>
    <x v="115"/>
    <x v="0"/>
    <x v="323"/>
    <x v="7"/>
    <x v="42"/>
    <x v="1"/>
    <x v="1"/>
    <x v="1"/>
    <x v="3"/>
  </r>
  <r>
    <x v="984"/>
    <x v="1"/>
    <x v="20"/>
    <x v="2"/>
    <x v="323"/>
    <x v="78"/>
    <x v="6"/>
    <x v="1"/>
    <x v="1"/>
    <x v="2"/>
    <x v="2"/>
  </r>
  <r>
    <x v="985"/>
    <x v="0"/>
    <x v="31"/>
    <x v="1"/>
    <x v="324"/>
    <x v="92"/>
    <x v="6"/>
    <x v="1"/>
    <x v="2"/>
    <x v="0"/>
    <x v="2"/>
  </r>
  <r>
    <x v="986"/>
    <x v="0"/>
    <x v="32"/>
    <x v="3"/>
    <x v="325"/>
    <x v="9"/>
    <x v="19"/>
    <x v="1"/>
    <x v="3"/>
    <x v="0"/>
    <x v="0"/>
  </r>
  <r>
    <x v="987"/>
    <x v="9"/>
    <x v="113"/>
    <x v="0"/>
    <x v="325"/>
    <x v="84"/>
    <x v="4"/>
    <x v="1"/>
    <x v="3"/>
    <x v="0"/>
    <x v="0"/>
  </r>
  <r>
    <x v="988"/>
    <x v="10"/>
    <x v="55"/>
    <x v="0"/>
    <x v="326"/>
    <x v="39"/>
    <x v="14"/>
    <x v="1"/>
    <x v="4"/>
    <x v="1"/>
    <x v="0"/>
  </r>
  <r>
    <x v="989"/>
    <x v="8"/>
    <x v="96"/>
    <x v="4"/>
    <x v="326"/>
    <x v="49"/>
    <x v="14"/>
    <x v="1"/>
    <x v="4"/>
    <x v="0"/>
    <x v="0"/>
  </r>
  <r>
    <x v="990"/>
    <x v="2"/>
    <x v="155"/>
    <x v="4"/>
    <x v="327"/>
    <x v="62"/>
    <x v="19"/>
    <x v="1"/>
    <x v="5"/>
    <x v="1"/>
    <x v="0"/>
  </r>
  <r>
    <x v="991"/>
    <x v="4"/>
    <x v="101"/>
    <x v="1"/>
    <x v="327"/>
    <x v="22"/>
    <x v="19"/>
    <x v="1"/>
    <x v="5"/>
    <x v="2"/>
    <x v="0"/>
  </r>
  <r>
    <x v="992"/>
    <x v="3"/>
    <x v="77"/>
    <x v="2"/>
    <x v="327"/>
    <x v="24"/>
    <x v="8"/>
    <x v="1"/>
    <x v="5"/>
    <x v="0"/>
    <x v="2"/>
  </r>
  <r>
    <x v="993"/>
    <x v="10"/>
    <x v="48"/>
    <x v="3"/>
    <x v="327"/>
    <x v="25"/>
    <x v="1"/>
    <x v="1"/>
    <x v="5"/>
    <x v="0"/>
    <x v="1"/>
  </r>
  <r>
    <x v="994"/>
    <x v="3"/>
    <x v="97"/>
    <x v="0"/>
    <x v="328"/>
    <x v="20"/>
    <x v="2"/>
    <x v="1"/>
    <x v="6"/>
    <x v="0"/>
    <x v="0"/>
  </r>
  <r>
    <x v="995"/>
    <x v="8"/>
    <x v="22"/>
    <x v="0"/>
    <x v="328"/>
    <x v="15"/>
    <x v="10"/>
    <x v="1"/>
    <x v="6"/>
    <x v="0"/>
    <x v="2"/>
  </r>
  <r>
    <x v="996"/>
    <x v="5"/>
    <x v="76"/>
    <x v="3"/>
    <x v="328"/>
    <x v="46"/>
    <x v="11"/>
    <x v="1"/>
    <x v="6"/>
    <x v="1"/>
    <x v="2"/>
  </r>
  <r>
    <x v="997"/>
    <x v="7"/>
    <x v="148"/>
    <x v="0"/>
    <x v="329"/>
    <x v="99"/>
    <x v="24"/>
    <x v="1"/>
    <x v="0"/>
    <x v="1"/>
    <x v="3"/>
  </r>
  <r>
    <x v="998"/>
    <x v="6"/>
    <x v="114"/>
    <x v="0"/>
    <x v="329"/>
    <x v="39"/>
    <x v="20"/>
    <x v="1"/>
    <x v="0"/>
    <x v="1"/>
    <x v="2"/>
  </r>
  <r>
    <x v="999"/>
    <x v="9"/>
    <x v="59"/>
    <x v="2"/>
    <x v="329"/>
    <x v="45"/>
    <x v="10"/>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63ED72-3B35-4915-B20B-DF361C482A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14">
    <pivotField dataField="1"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8"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3"/>
    </i>
    <i>
      <x v="4"/>
    </i>
    <i>
      <x v="6"/>
    </i>
    <i>
      <x v="8"/>
    </i>
    <i>
      <x v="9"/>
    </i>
    <i>
      <x v="10"/>
    </i>
    <i>
      <x v="11"/>
    </i>
    <i>
      <x v="12"/>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9"/>
  </dataFields>
  <formats count="9">
    <format dxfId="74">
      <pivotArea collapsedLevelsAreSubtotals="1" fieldPosition="0">
        <references count="2">
          <reference field="4294967294" count="1" selected="0">
            <x v="1"/>
          </reference>
          <reference field="1" count="1">
            <x v="0"/>
          </reference>
        </references>
      </pivotArea>
    </format>
    <format dxfId="73">
      <pivotArea outline="0" collapsedLevelsAreSubtotals="1" fieldPosition="0">
        <references count="1">
          <reference field="4294967294" count="1" selected="0">
            <x v="1"/>
          </reference>
        </references>
      </pivotArea>
    </format>
    <format dxfId="72">
      <pivotArea dataOnly="0" labelOnly="1" outline="0" fieldPosition="0">
        <references count="1">
          <reference field="4294967294" count="1">
            <x v="0"/>
          </reference>
        </references>
      </pivotArea>
    </format>
    <format dxfId="71">
      <pivotArea dataOnly="0" labelOnly="1" outline="0" fieldPosition="0">
        <references count="1">
          <reference field="4294967294" count="1">
            <x v="1"/>
          </reference>
        </references>
      </pivotArea>
    </format>
    <format dxfId="70">
      <pivotArea field="1" type="button" dataOnly="0" labelOnly="1" outline="0" axis="axisRow" fieldPosition="0"/>
    </format>
    <format dxfId="69">
      <pivotArea dataOnly="0" labelOnly="1" outline="0" fieldPosition="0">
        <references count="1">
          <reference field="4294967294" count="2">
            <x v="0"/>
            <x v="1"/>
          </reference>
        </references>
      </pivotArea>
    </format>
    <format dxfId="68">
      <pivotArea field="1" type="button" dataOnly="0" labelOnly="1" outline="0" axis="axisRow" fieldPosition="0"/>
    </format>
    <format dxfId="67">
      <pivotArea dataOnly="0" labelOnly="1" outline="0" fieldPosition="0">
        <references count="1">
          <reference field="4294967294" count="2">
            <x v="0"/>
            <x v="1"/>
          </reference>
        </references>
      </pivotArea>
    </format>
    <format dxfId="66">
      <pivotArea field="1" type="button" dataOnly="0" labelOnly="1" outline="0" axis="axisRow"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1D8FD8-1E29-4ECE-BC5B-671D1D88AB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numFmtId="168"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1"/>
    </i>
    <i>
      <x v="10"/>
    </i>
    <i>
      <x v="3"/>
    </i>
    <i>
      <x v="12"/>
    </i>
    <i>
      <x v="8"/>
    </i>
    <i>
      <x v="1"/>
    </i>
    <i>
      <x v="5"/>
    </i>
    <i>
      <x v="6"/>
    </i>
    <i>
      <x v="4"/>
    </i>
    <i>
      <x v="7"/>
    </i>
    <i t="grand">
      <x/>
    </i>
  </rowItems>
  <colItems count="1">
    <i/>
  </colItems>
  <dataFields count="1">
    <dataField name="Sum of Purchase Amount" fld="5" baseField="0" baseItem="0" numFmtId="166"/>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F9CB65-74D5-4089-B82C-0BB6A8DB67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74" firstHeaderRow="1" firstDataRow="1" firstDataCol="1"/>
  <pivotFields count="14">
    <pivotField dataField="1" showAll="0"/>
    <pivotField showAll="0">
      <items count="16">
        <item x="13"/>
        <item x="8"/>
        <item x="0"/>
        <item x="1"/>
        <item x="2"/>
        <item x="10"/>
        <item x="5"/>
        <item x="14"/>
        <item x="9"/>
        <item x="6"/>
        <item x="4"/>
        <item x="12"/>
        <item x="7"/>
        <item x="3"/>
        <item x="11"/>
        <item t="default"/>
      </items>
    </pivotField>
    <pivotField axis="axisRow"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8"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1"/>
    <field x="2"/>
  </rowFields>
  <rowItems count="170">
    <i>
      <x/>
    </i>
    <i r="1">
      <x/>
    </i>
    <i r="1">
      <x v="1"/>
    </i>
    <i r="1">
      <x v="2"/>
    </i>
    <i r="1">
      <x v="3"/>
    </i>
    <i r="1">
      <x v="4"/>
    </i>
    <i r="1">
      <x v="5"/>
    </i>
    <i>
      <x v="1"/>
    </i>
    <i r="1">
      <x v="6"/>
    </i>
    <i r="1">
      <x v="7"/>
    </i>
    <i r="1">
      <x v="8"/>
    </i>
    <i r="1">
      <x v="9"/>
    </i>
    <i r="1">
      <x v="10"/>
    </i>
    <i r="1">
      <x v="11"/>
    </i>
    <i r="1">
      <x v="12"/>
    </i>
    <i r="1">
      <x v="13"/>
    </i>
    <i r="1">
      <x v="14"/>
    </i>
    <i r="1">
      <x v="15"/>
    </i>
    <i r="1">
      <x v="16"/>
    </i>
    <i r="1">
      <x v="17"/>
    </i>
    <i r="1">
      <x v="18"/>
    </i>
    <i r="1">
      <x v="19"/>
    </i>
    <i r="1">
      <x v="20"/>
    </i>
    <i r="1">
      <x v="21"/>
    </i>
    <i r="1">
      <x v="22"/>
    </i>
    <i r="1">
      <x v="23"/>
    </i>
    <i>
      <x v="2"/>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x v="4"/>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t="grand">
      <x/>
    </i>
  </rowItems>
  <colItems count="1">
    <i/>
  </colItems>
  <dataFields count="1">
    <dataField name="Count of Call number" fld="0" subtotal="count" baseField="0" baseItem="0"/>
  </dataFields>
  <formats count="4">
    <format dxfId="61">
      <pivotArea field="1" type="button" dataOnly="0" labelOnly="1" outline="0"/>
    </format>
    <format dxfId="60">
      <pivotArea field="1" type="button" dataOnly="0" labelOnly="1" outline="0"/>
    </format>
    <format dxfId="59">
      <pivotArea field="1" type="button" dataOnly="0" labelOnly="1" outline="0"/>
    </format>
    <format dxfId="5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F105CB-DAD3-4F52-AC0E-3E07D314D1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10" firstHeaderRow="1" firstDataRow="1" firstDataCol="1"/>
  <pivotFields count="14">
    <pivotField dataField="1"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8"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Count of Call number" fld="0" subtotal="count" baseField="0" baseItem="0"/>
  </dataFields>
  <formats count="4">
    <format dxfId="65">
      <pivotArea field="1" type="button" dataOnly="0" labelOnly="1" outline="0"/>
    </format>
    <format dxfId="64">
      <pivotArea field="1" type="button" dataOnly="0" labelOnly="1" outline="0"/>
    </format>
    <format dxfId="63">
      <pivotArea field="1" type="button" dataOnly="0" labelOnly="1" outline="0"/>
    </format>
    <format dxfId="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DA571E-C053-4112-89B3-9E77FA7EBDE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B17" firstHeaderRow="1" firstDataRow="1" firstDataCol="1"/>
  <pivotFields count="14">
    <pivotField dataField="1"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axis="axisRow" numFmtId="168" showAll="0">
      <items count="3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t="default" sd="0"/>
      </items>
    </pivotField>
    <pivotField showAll="0"/>
    <pivotField showAll="0"/>
    <pivotField showAll="0"/>
    <pivotField showAll="0"/>
    <pivotField showAll="0"/>
    <pivotField showAll="0"/>
    <pivotField showAll="0">
      <items count="6">
        <item x="0"/>
        <item x="1"/>
        <item x="2"/>
        <item x="3"/>
        <item x="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4">
    <field x="13"/>
    <field x="4"/>
    <field x="12"/>
    <field x="3"/>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formats count="4">
    <format dxfId="42">
      <pivotArea field="1" type="button" dataOnly="0" labelOnly="1" outline="0"/>
    </format>
    <format dxfId="41">
      <pivotArea field="1" type="button" dataOnly="0" labelOnly="1" outline="0"/>
    </format>
    <format dxfId="40">
      <pivotArea field="1" type="button" dataOnly="0" labelOnly="1" outline="0"/>
    </format>
    <format dxfId="39">
      <pivotArea dataOnly="0" labelOnly="1" outline="0" axis="axisValues" fieldPosition="0"/>
    </format>
  </format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5126BC-CF14-468D-B441-9124DC78640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45:I52" firstHeaderRow="1" firstDataRow="2" firstDataCol="1"/>
  <pivotFields count="14">
    <pivotField dataField="1"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8" showAll="0">
      <items count="3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t="default" sd="0"/>
      </items>
    </pivotField>
    <pivotField showAll="0"/>
    <pivotField showAll="0"/>
    <pivotField showAll="0"/>
    <pivotField axis="axisCol" showAll="0">
      <items count="8">
        <item x="0"/>
        <item x="1"/>
        <item x="2"/>
        <item x="3"/>
        <item x="4"/>
        <item x="5"/>
        <item x="6"/>
        <item t="default"/>
      </items>
    </pivotField>
    <pivotField showAll="0"/>
    <pivotField showAll="0"/>
    <pivotField showAll="0">
      <items count="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formats count="9">
    <format dxfId="51">
      <pivotArea field="1" type="button" dataOnly="0" labelOnly="1" outline="0"/>
    </format>
    <format dxfId="50">
      <pivotArea field="1" type="button" dataOnly="0" labelOnly="1" outline="0"/>
    </format>
    <format dxfId="49">
      <pivotArea field="1" type="button" dataOnly="0" labelOnly="1" outline="0"/>
    </format>
    <format dxfId="48">
      <pivotArea dataOnly="0" labelOnly="1" outline="0" axis="axisValues" fieldPosition="0"/>
    </format>
    <format dxfId="47">
      <pivotArea outline="0" collapsedLevelsAreSubtotals="1" fieldPosition="0"/>
    </format>
    <format dxfId="46">
      <pivotArea outline="0" collapsedLevelsAreSubtotals="1" fieldPosition="0">
        <references count="1">
          <reference field="8" count="6" selected="0">
            <x v="1"/>
            <x v="2"/>
            <x v="3"/>
            <x v="4"/>
            <x v="5"/>
            <x v="6"/>
          </reference>
        </references>
      </pivotArea>
    </format>
    <format dxfId="45">
      <pivotArea grandCol="1" outline="0" collapsedLevelsAreSubtotals="1" fieldPosition="0"/>
    </format>
    <format dxfId="44">
      <pivotArea outline="0" collapsedLevelsAreSubtotals="1" fieldPosition="0">
        <references count="1">
          <reference field="8" count="1" selected="0">
            <x v="0"/>
          </reference>
        </references>
      </pivotArea>
    </format>
    <format dxfId="43">
      <pivotArea outline="0" fieldPosition="0">
        <references count="1">
          <reference field="4294967294" count="1">
            <x v="0"/>
          </reference>
        </references>
      </pivotArea>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79C15D-35AA-4D7E-B74E-678B4288503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5:B40" firstHeaderRow="1" firstDataRow="1" firstDataCol="1"/>
  <pivotFields count="14">
    <pivotField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8" showAll="0">
      <items count="3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t="default" sd="0"/>
      </items>
    </pivotField>
    <pivotField dataField="1" showAll="0"/>
    <pivotField showAll="0"/>
    <pivotField axis="axisRow" showAll="0">
      <items count="3">
        <item x="0"/>
        <item x="1"/>
        <item t="default"/>
      </items>
    </pivotField>
    <pivotField showAll="0"/>
    <pivotField showAll="0"/>
    <pivotField showAll="0"/>
    <pivotField showAll="0">
      <items count="6">
        <item x="0"/>
        <item x="1"/>
        <item x="2"/>
        <item x="3"/>
        <item x="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7"/>
    <field x="13"/>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3" baseItem="0" numFmtId="166"/>
  </dataFields>
  <formats count="6">
    <format dxfId="57">
      <pivotArea field="1" type="button" dataOnly="0" labelOnly="1" outline="0"/>
    </format>
    <format dxfId="56">
      <pivotArea field="1" type="button" dataOnly="0" labelOnly="1" outline="0"/>
    </format>
    <format dxfId="55">
      <pivotArea field="1" type="button" dataOnly="0" labelOnly="1" outline="0"/>
    </format>
    <format dxfId="54">
      <pivotArea dataOnly="0" labelOnly="1" outline="0" axis="axisValues" fieldPosition="0"/>
    </format>
    <format dxfId="53">
      <pivotArea outline="0" collapsedLevelsAreSubtotals="1" fieldPosition="0"/>
    </format>
    <format dxfId="52">
      <pivotArea collapsedLevelsAreSubtotals="1" fieldPosition="0">
        <references count="1">
          <reference field="13" count="1">
            <x v="1"/>
          </reference>
        </references>
      </pivotArea>
    </format>
  </formats>
  <chartFormats count="2">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44806A-E9ED-4125-84D1-BB9FEC36946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8"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2">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97650D-5330-47D2-B3BE-EE7CEA3533A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3:C41" firstHeaderRow="0" firstDataRow="1" firstDataCol="1"/>
  <pivotFields count="14">
    <pivotField axis="axisRow" showAll="0" measureFilter="1" sortType="descending">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autoSortScope>
        <pivotArea dataOnly="0" outline="0" fieldPosition="0">
          <references count="1">
            <reference field="4294967294" count="1" selected="0">
              <x v="0"/>
            </reference>
          </references>
        </pivotArea>
      </autoSortScope>
    </pivotField>
    <pivotField axis="axisRow" showAll="0"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h="1" x="2"/>
        <item h="1" x="1"/>
        <item x="4"/>
        <item h="1" x="3"/>
        <item h="1" x="0"/>
        <item t="default"/>
      </items>
    </pivotField>
    <pivotField numFmtId="168"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dataField="1" showAll="0"/>
    <pivotField showAll="0"/>
    <pivotField showAll="0"/>
    <pivotField showAll="0"/>
    <pivotField showAll="0"/>
    <pivotField showAll="0" defaultSubtotal="0">
      <items count="5">
        <item x="0"/>
        <item x="1"/>
        <item x="2"/>
        <item x="3"/>
        <item x="4"/>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3">
    <field x="3"/>
    <field x="1"/>
    <field x="0"/>
  </rowFields>
  <rowItems count="28">
    <i>
      <x v="2"/>
    </i>
    <i r="1">
      <x v="4"/>
    </i>
    <i r="2">
      <x v="976"/>
    </i>
    <i r="2">
      <x v="729"/>
    </i>
    <i r="1">
      <x v="3"/>
    </i>
    <i r="2">
      <x v="254"/>
    </i>
    <i r="2">
      <x v="169"/>
    </i>
    <i r="2">
      <x v="77"/>
    </i>
    <i r="1">
      <x v="12"/>
    </i>
    <i r="2">
      <x v="567"/>
    </i>
    <i r="1">
      <x v="10"/>
    </i>
    <i r="2">
      <x v="547"/>
    </i>
    <i r="1">
      <x v="11"/>
    </i>
    <i r="2">
      <x v="481"/>
    </i>
    <i r="2">
      <x v="347"/>
    </i>
    <i r="1">
      <x/>
    </i>
    <i r="2">
      <x v="321"/>
    </i>
    <i r="1">
      <x v="2"/>
    </i>
    <i r="2">
      <x v="457"/>
    </i>
    <i r="1">
      <x v="14"/>
    </i>
    <i r="2">
      <x v="62"/>
    </i>
    <i r="1">
      <x v="9"/>
    </i>
    <i r="2">
      <x v="410"/>
    </i>
    <i r="1">
      <x v="8"/>
    </i>
    <i r="2">
      <x v="498"/>
    </i>
    <i r="1">
      <x v="1"/>
    </i>
    <i r="2">
      <x v="218"/>
    </i>
    <i t="grand">
      <x/>
    </i>
  </rowItems>
  <colFields count="1">
    <field x="-2"/>
  </colFields>
  <colItems count="2">
    <i>
      <x/>
    </i>
    <i i="1">
      <x v="1"/>
    </i>
  </colItems>
  <dataFields count="2">
    <dataField name="Max of Purchase Amount" fld="5" subtotal="max" baseField="0" baseItem="0"/>
    <dataField name="Sum of Satisfaction Rating" fld="6" baseField="0" baseItem="0"/>
  </dataField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OrEqual" evalOrder="-1" id="11" iMeasureFld="1">
      <autoFilter ref="A1">
        <filterColumn colId="0">
          <customFilters>
            <customFilter operator="greaterThanOrEqual" val="4.900000000000000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B20B41-1C3A-4540-8C67-4F17DFBFDF69}" name="PivotTable17"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0:H69" firstHeaderRow="1" firstDataRow="2" firstDataCol="1" rowPageCount="1" colPageCount="1"/>
  <pivotFields count="14">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sortType="ascending">
      <items count="16">
        <item x="13"/>
        <item x="8"/>
        <item x="0"/>
        <item x="1"/>
        <item x="2"/>
        <item x="10"/>
        <item x="5"/>
        <item x="14"/>
        <item x="9"/>
        <item x="6"/>
        <item x="4"/>
        <item x="12"/>
        <item x="7"/>
        <item x="3"/>
        <item x="11"/>
        <item t="default"/>
      </items>
      <autoSortScope>
        <pivotArea dataOnly="0" outline="0" fieldPosition="0">
          <references count="2">
            <reference field="4294967294" count="1" selected="0">
              <x v="0"/>
            </reference>
            <reference field="8" count="1" selected="0">
              <x v="1"/>
            </reference>
          </references>
        </pivotArea>
      </autoSortScope>
    </pivotField>
    <pivotField dataField="1"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8"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items count="108">
        <item x="88"/>
        <item x="65"/>
        <item x="3"/>
        <item x="50"/>
        <item x="13"/>
        <item x="78"/>
        <item x="30"/>
        <item x="79"/>
        <item x="15"/>
        <item x="87"/>
        <item x="17"/>
        <item x="4"/>
        <item x="37"/>
        <item x="105"/>
        <item x="52"/>
        <item x="56"/>
        <item x="73"/>
        <item x="64"/>
        <item x="100"/>
        <item x="77"/>
        <item x="45"/>
        <item x="102"/>
        <item x="28"/>
        <item x="57"/>
        <item x="85"/>
        <item x="82"/>
        <item x="9"/>
        <item x="43"/>
        <item x="25"/>
        <item x="68"/>
        <item x="48"/>
        <item x="36"/>
        <item x="81"/>
        <item x="5"/>
        <item x="53"/>
        <item x="23"/>
        <item x="39"/>
        <item x="2"/>
        <item x="12"/>
        <item x="8"/>
        <item x="63"/>
        <item x="18"/>
        <item x="61"/>
        <item x="75"/>
        <item x="103"/>
        <item x="38"/>
        <item x="24"/>
        <item x="91"/>
        <item x="95"/>
        <item x="59"/>
        <item x="33"/>
        <item x="90"/>
        <item x="66"/>
        <item x="44"/>
        <item x="19"/>
        <item x="76"/>
        <item x="11"/>
        <item x="51"/>
        <item x="62"/>
        <item x="71"/>
        <item x="72"/>
        <item x="7"/>
        <item x="10"/>
        <item x="27"/>
        <item x="22"/>
        <item x="54"/>
        <item x="74"/>
        <item x="99"/>
        <item x="93"/>
        <item x="83"/>
        <item x="31"/>
        <item x="26"/>
        <item x="55"/>
        <item x="29"/>
        <item x="41"/>
        <item x="0"/>
        <item x="86"/>
        <item x="58"/>
        <item x="32"/>
        <item x="1"/>
        <item x="40"/>
        <item x="21"/>
        <item x="89"/>
        <item x="98"/>
        <item x="6"/>
        <item x="69"/>
        <item x="106"/>
        <item x="34"/>
        <item x="47"/>
        <item x="42"/>
        <item x="84"/>
        <item x="20"/>
        <item x="35"/>
        <item x="16"/>
        <item x="60"/>
        <item x="97"/>
        <item x="92"/>
        <item x="67"/>
        <item x="101"/>
        <item x="104"/>
        <item x="14"/>
        <item x="70"/>
        <item x="49"/>
        <item x="80"/>
        <item x="46"/>
        <item x="96"/>
        <item x="94"/>
        <item t="default"/>
      </items>
    </pivotField>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axis="axisCol" multipleItemSelectionAllowed="1" showAll="0">
      <items count="8">
        <item x="0"/>
        <item x="1"/>
        <item x="2"/>
        <item x="3"/>
        <item x="4"/>
        <item x="5"/>
        <item x="6"/>
        <item t="default"/>
      </items>
    </pivotField>
    <pivotField axis="axisPage" multipleItemSelectionAllowed="1" showAll="0">
      <items count="6">
        <item h="1" x="0"/>
        <item h="1" x="3"/>
        <item h="1" x="2"/>
        <item h="1" x="1"/>
        <item x="4"/>
        <item t="default"/>
      </items>
    </pivotField>
    <pivotField showAll="0"/>
    <pivotField showAll="0" defaultSubtotal="0">
      <items count="5">
        <item x="0"/>
        <item x="1"/>
        <item x="2"/>
        <item x="3"/>
        <item x="4"/>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4">
    <field x="1"/>
    <field x="13"/>
    <field x="12"/>
    <field x="0"/>
  </rowFields>
  <rowItems count="18">
    <i>
      <x v="9"/>
    </i>
    <i r="1">
      <x v="9"/>
    </i>
    <i>
      <x v="10"/>
    </i>
    <i r="1">
      <x v="10"/>
    </i>
    <i>
      <x v="7"/>
    </i>
    <i r="1">
      <x v="3"/>
    </i>
    <i>
      <x v="14"/>
    </i>
    <i r="1">
      <x v="7"/>
    </i>
    <i>
      <x v="11"/>
    </i>
    <i r="1">
      <x v="4"/>
    </i>
    <i>
      <x v="12"/>
    </i>
    <i r="1">
      <x v="4"/>
    </i>
    <i r="1">
      <x v="11"/>
    </i>
    <i>
      <x v="3"/>
    </i>
    <i r="1">
      <x v="2"/>
    </i>
    <i>
      <x v="5"/>
    </i>
    <i r="1">
      <x v="12"/>
    </i>
    <i t="grand">
      <x/>
    </i>
  </rowItems>
  <colFields count="1">
    <field x="8"/>
  </colFields>
  <colItems count="7">
    <i>
      <x/>
    </i>
    <i>
      <x v="1"/>
    </i>
    <i>
      <x v="2"/>
    </i>
    <i>
      <x v="3"/>
    </i>
    <i>
      <x v="4"/>
    </i>
    <i>
      <x v="6"/>
    </i>
    <i t="grand">
      <x/>
    </i>
  </colItems>
  <pageFields count="1">
    <pageField fld="9" hier="-1"/>
  </pageFields>
  <dataFields count="1">
    <dataField name="Sum of Duration" fld="2" baseField="0" baseItem="0"/>
  </dataFields>
  <formats count="2">
    <format dxfId="38">
      <pivotArea type="all" dataOnly="0" outline="0" fieldPosition="0"/>
    </format>
    <format dxfId="3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59DB39-674C-4489-A186-BF57EF515511}" name="Call_PIVOT_Calc"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4 Data Analysis.xlsx!Call_Table_Data">
        <x15:activeTabTopLevelEntity name="[Call_Tabl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C018E62-4FB4-45BA-9293-EA81E3A1B6DD}" autoFormatId="16" applyNumberFormats="0" applyBorderFormats="0" applyFontFormats="0" applyPatternFormats="0" applyAlignmentFormats="0" applyWidthHeightFormats="0">
  <queryTableRefresh nextId="14">
    <queryTableFields count="13">
      <queryTableField id="1" name="Emp ID" tableColumnId="1"/>
      <queryTableField id="2" name="First Name" tableColumnId="2"/>
      <queryTableField id="3" name="Last Name" tableColumnId="3"/>
      <queryTableField id="4" name="Gender" tableColumnId="4"/>
      <queryTableField id="5" name="Department" tableColumnId="5"/>
      <queryTableField id="6" name="Salary" tableColumnId="6"/>
      <queryTableField id="7" name="Salary Range" tableColumnId="7"/>
      <queryTableField id="8" name="Start Date" tableColumnId="8"/>
      <queryTableField id="9" name="Age" tableColumnId="9"/>
      <queryTableField id="10" name="Total Years" tableColumnId="10"/>
      <queryTableField id="11" name="FTE" tableColumnId="11"/>
      <queryTableField id="12" name="Employee type" tableColumnId="12"/>
      <queryTableField id="13" name="Work location"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131017A-937C-4DCF-956A-2B9F8704A48B}" autoFormatId="16" applyNumberFormats="0" applyBorderFormats="0" applyFontFormats="0" applyPatternFormats="0" applyAlignmentFormats="0" applyWidthHeightFormats="0">
  <queryTableRefresh nextId="11">
    <queryTableFields count="10">
      <queryTableField id="1" name="Emp ID" tableColumnId="1"/>
      <queryTableField id="2" name="First Name" tableColumnId="2"/>
      <queryTableField id="3" name="Last Name" tableColumnId="3"/>
      <queryTableField id="4" name="Gender" tableColumnId="4"/>
      <queryTableField id="5" name="Department" tableColumnId="5"/>
      <queryTableField id="6" name="Salary" tableColumnId="6"/>
      <queryTableField id="7" name="Start Date" tableColumnId="7"/>
      <queryTableField id="8" name="FTE" tableColumnId="8"/>
      <queryTableField id="9" name="Employee type" tableColumnId="9"/>
      <queryTableField id="10" name="Work location"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1BD0C00-A2EB-4EF8-8194-7367A8B559C8}" autoFormatId="16" applyNumberFormats="0" applyBorderFormats="0" applyFontFormats="0" applyPatternFormats="0" applyAlignmentFormats="0" applyWidthHeightFormats="0">
  <queryTableRefresh nextId="8">
    <queryTableFields count="7">
      <queryTableField id="1" name="Rank" tableColumnId="1"/>
      <queryTableField id="2" name="NOC" tableColumnId="2"/>
      <queryTableField id="3" name="Gold" tableColumnId="3"/>
      <queryTableField id="4" name="Silver" tableColumnId="4"/>
      <queryTableField id="5" name="Bronze" tableColumnId="5"/>
      <queryTableField id="6" name="Total" tableColumnId="6"/>
      <queryTableField id="7" name="Subtraction"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825B5E7-4246-4F4A-BCD0-B4E29CD3CC2D}" sourceName="Representative">
  <pivotTables>
    <pivotTable tabId="26" name="PivotTable4"/>
  </pivotTables>
  <data>
    <tabular pivotCacheId="783062772">
      <items count="5">
        <i x="2"/>
        <i x="1"/>
        <i x="4"/>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2FCE85B6-9A70-42F6-8D00-D565E445E192}" sourceName="Representative">
  <pivotTables>
    <pivotTable tabId="28" name="PivotTable8"/>
    <pivotTable tabId="28" name="PivotTable9"/>
    <pivotTable tabId="28" name="PivotTable11"/>
  </pivotTables>
  <data>
    <tabular pivotCacheId="783062772">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72C392BB-6D39-45B0-A291-A53E1B7BA125}" sourceName="Representative">
  <pivotTables>
    <pivotTable tabId="34" name="PivotTable16"/>
  </pivotTables>
  <data>
    <tabular pivotCacheId="783062772">
      <items count="5">
        <i x="2"/>
        <i x="1"/>
        <i x="4"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B4054DF-26DA-4AB6-B9FC-59838A81CE63}"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E15AACFC-B544-4794-9D9F-2C25EFCA9E2A}" cache="Slicer_Representative1"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5AB2884E-9F9B-434E-809E-4FC519ECE595}" cache="Slicer_Representative2" caption="Representative"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4534E7-605B-4AA0-A892-AC1A844D25AF}" name="Table3" displayName="Table3" ref="A1:I277" totalsRowShown="0" headerRowDxfId="151" headerRowBorderDxfId="150" tableBorderDxfId="149" totalsRowBorderDxfId="148">
  <autoFilter ref="A1:I277" xr:uid="{104534E7-605B-4AA0-A892-AC1A844D25AF}"/>
  <tableColumns count="9">
    <tableColumn id="1" xr3:uid="{1E77C961-7D8A-441D-987B-9E165A236E80}" name="Emp ID" dataDxfId="147"/>
    <tableColumn id="2" xr3:uid="{CAD1AF5F-996B-4ED4-8B1B-D77D93B61F52}" name="Name" dataDxfId="146"/>
    <tableColumn id="3" xr3:uid="{30B5A182-159B-4230-A05D-90DD1954C5CB}" name="Gender" dataDxfId="145"/>
    <tableColumn id="4" xr3:uid="{26DC57E6-C89D-4886-BD98-4486F63D845B}" name="Department" dataDxfId="144"/>
    <tableColumn id="5" xr3:uid="{A5A74637-7EA7-45FE-8E98-C37136665A1B}" name="Salary" dataDxfId="143"/>
    <tableColumn id="6" xr3:uid="{A77A73A0-8D25-408D-92C7-D35DFE5112B4}" name="Start Date" dataDxfId="142"/>
    <tableColumn id="7" xr3:uid="{FABEDFB8-269F-42AC-805C-9C82D00AEFEB}" name="FTE" dataDxfId="141"/>
    <tableColumn id="8" xr3:uid="{CA546B69-844E-4413-A88E-62427A105DF6}" name="Employee type" dataDxfId="140"/>
    <tableColumn id="9" xr3:uid="{C90910AF-8880-4A9F-B63E-367D373CAA15}" name="Work location" dataDxfId="1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6A1660-F7BC-4322-BF87-EB5D388AC18D}" name="Table2" displayName="Table2" ref="A1:I59" totalsRowShown="0" headerRowDxfId="138" headerRowBorderDxfId="137" tableBorderDxfId="136" totalsRowBorderDxfId="135">
  <autoFilter ref="A1:I59" xr:uid="{93997747-B7C3-4D49-B7B3-32BD9BAAA99E}"/>
  <tableColumns count="9">
    <tableColumn id="1" xr3:uid="{38C0C01F-88C4-4F47-99CD-10A66554BEE2}" name="Emp ID" dataDxfId="134"/>
    <tableColumn id="2" xr3:uid="{A9BE30D3-2652-4851-8858-5CCC5CAC26CB}" name="Name" dataDxfId="133"/>
    <tableColumn id="3" xr3:uid="{77365F65-7402-40A6-818F-2A0DFF553702}" name="Gender" dataDxfId="132"/>
    <tableColumn id="4" xr3:uid="{1225E1BB-7AB4-4E68-B297-9D1E53360082}" name="Department" dataDxfId="131"/>
    <tableColumn id="5" xr3:uid="{3FA4FBF4-C786-4F27-9485-8CA45C8D499E}" name="Salary" dataDxfId="130"/>
    <tableColumn id="6" xr3:uid="{06D29CE8-987D-492C-91E8-8947DFF70B3C}" name="Start Date" dataDxfId="129"/>
    <tableColumn id="7" xr3:uid="{19095DCE-1E55-4B3A-98E8-74EC1056FD60}" name="FTE" dataDxfId="128"/>
    <tableColumn id="8" xr3:uid="{CA2352DA-76B9-444F-A1C0-5D1F05BC28A7}" name="Employee type" dataDxfId="127"/>
    <tableColumn id="9" xr3:uid="{5683DDD1-5E44-4D08-BD6B-7C6969733AC2}" name="Work location" dataDxfId="1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B9C05F-59C3-4936-9816-3CD7A932DE75}" name="Xl_to_Power_Query" displayName="Xl_to_Power_Query" ref="A1:M60" tableType="queryTable" totalsRowShown="0">
  <autoFilter ref="A1:M60" xr:uid="{1AB9C05F-59C3-4936-9816-3CD7A932DE75}"/>
  <tableColumns count="13">
    <tableColumn id="1" xr3:uid="{31BE013F-B3D4-4194-A896-14902C7418E1}" uniqueName="1" name="Emp ID" queryTableFieldId="1" dataDxfId="125"/>
    <tableColumn id="2" xr3:uid="{973B93DA-6C89-4849-8370-278FB1D6D9FF}" uniqueName="2" name="First Name" queryTableFieldId="2" dataDxfId="124"/>
    <tableColumn id="3" xr3:uid="{567BFDE7-E3DA-42BB-99C0-DA52ABA7D8EA}" uniqueName="3" name="Last Name" queryTableFieldId="3" dataDxfId="123"/>
    <tableColumn id="4" xr3:uid="{53382050-E8D9-433A-BCC8-B0BD42D06825}" uniqueName="4" name="Gender" queryTableFieldId="4" dataDxfId="122"/>
    <tableColumn id="5" xr3:uid="{82187522-BE0B-4FBD-A127-1B250558DADA}" uniqueName="5" name="Department" queryTableFieldId="5" dataDxfId="121"/>
    <tableColumn id="6" xr3:uid="{EF7EC5A3-7F59-4C25-90A4-C51C339F1024}" uniqueName="6" name="Salary" queryTableFieldId="6"/>
    <tableColumn id="7" xr3:uid="{9942583E-DA21-4198-9578-525492CFF452}" uniqueName="7" name="Salary Range" queryTableFieldId="7"/>
    <tableColumn id="8" xr3:uid="{532FC317-D1C6-4678-85EF-FD1F5F0C16B9}" uniqueName="8" name="Start Date" queryTableFieldId="8" dataDxfId="120"/>
    <tableColumn id="9" xr3:uid="{1CE8771C-4B5F-4AA6-B587-42E368D5F006}" uniqueName="9" name="Age" queryTableFieldId="9" dataDxfId="119"/>
    <tableColumn id="10" xr3:uid="{95C03DA7-1D82-4B57-9FF9-D32DBAF63F50}" uniqueName="10" name="Total Years" queryTableFieldId="10"/>
    <tableColumn id="11" xr3:uid="{F66B7E87-1205-43DF-A86E-4ADBE257BCFA}" uniqueName="11" name="FTE" queryTableFieldId="11"/>
    <tableColumn id="12" xr3:uid="{9914DAE5-B25B-4F70-8D46-496CBDE167F4}" uniqueName="12" name="Employee type" queryTableFieldId="12" dataDxfId="118"/>
    <tableColumn id="13" xr3:uid="{01F2852F-6F62-4895-81E5-CCF5297EE80A}" uniqueName="13" name="Work location" queryTableFieldId="13" dataDxfId="1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509F47-5851-4073-AB9C-2243AE259675}" name="Table_Lookup" displayName="Table_Lookup" ref="A1:J277" tableType="queryTable" totalsRowShown="0">
  <autoFilter ref="A1:J277" xr:uid="{9D509F47-5851-4073-AB9C-2243AE259675}"/>
  <sortState xmlns:xlrd2="http://schemas.microsoft.com/office/spreadsheetml/2017/richdata2" ref="A2:J277">
    <sortCondition descending="1" ref="F1:F277"/>
  </sortState>
  <tableColumns count="10">
    <tableColumn id="1" xr3:uid="{673B2B80-4BEC-4C60-93A8-9D4DF6AFF803}" uniqueName="1" name="Emp ID" queryTableFieldId="1" dataDxfId="116"/>
    <tableColumn id="2" xr3:uid="{EA031119-AC68-40C2-ACD1-401450240A68}" uniqueName="2" name="First Name" queryTableFieldId="2" dataDxfId="115"/>
    <tableColumn id="3" xr3:uid="{497C8B65-D825-4A9C-BB5B-C241367F5D6A}" uniqueName="3" name="Last Name" queryTableFieldId="3" dataDxfId="114"/>
    <tableColumn id="4" xr3:uid="{06D08FFF-99AE-4804-A12D-7CE510720210}" uniqueName="4" name="Gender" queryTableFieldId="4" dataDxfId="113"/>
    <tableColumn id="5" xr3:uid="{AB7C7980-E03D-4BDA-AB91-8E157224B36C}" uniqueName="5" name="Department" queryTableFieldId="5" dataDxfId="112"/>
    <tableColumn id="6" xr3:uid="{6BCD49AA-B4DB-4045-B028-2512C4AF8A6E}" uniqueName="6" name="Salary" queryTableFieldId="6" dataDxfId="111"/>
    <tableColumn id="7" xr3:uid="{99DD5EEA-894E-4AD4-BB97-FEC3F1CD0F6E}" uniqueName="7" name="Start Date" queryTableFieldId="7"/>
    <tableColumn id="8" xr3:uid="{A5C0ABA3-4258-4E5C-9461-47CD657FA6AA}" uniqueName="8" name="FTE" queryTableFieldId="8"/>
    <tableColumn id="9" xr3:uid="{BD301C54-B1BB-4FF3-8C4B-679869ECCC67}" uniqueName="9" name="Employee type" queryTableFieldId="9" dataDxfId="110"/>
    <tableColumn id="10" xr3:uid="{01D59D84-13AD-4129-AA7D-F68F383ED931}" uniqueName="10" name="Work location" queryTableFieldId="10" dataDxfId="10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84404B-8AB5-49E2-A17A-CADE3BC82F46}" name="Olympics_Medal_Table" displayName="Olympics_Medal_Table" ref="A5:G98" tableType="queryTable" totalsRowShown="0">
  <autoFilter ref="A5:G98" xr:uid="{A084404B-8AB5-49E2-A17A-CADE3BC82F46}"/>
  <tableColumns count="7">
    <tableColumn id="1" xr3:uid="{A6473070-99CB-4E3C-8645-CC28FBF197D1}" uniqueName="1" name="Rank" queryTableFieldId="1" dataDxfId="108"/>
    <tableColumn id="2" xr3:uid="{B2856B67-3860-46DA-9DAA-196FEE4D491D}" uniqueName="2" name="NOC" queryTableFieldId="2" dataDxfId="107"/>
    <tableColumn id="3" xr3:uid="{B63B0792-9FD2-41F9-BC57-6A7D9B9AD0CF}" uniqueName="3" name="Gold" queryTableFieldId="3"/>
    <tableColumn id="4" xr3:uid="{087963FE-AED6-4ACB-A8E8-4294200CA019}" uniqueName="4" name="Silver" queryTableFieldId="4"/>
    <tableColumn id="5" xr3:uid="{9B7776C7-41DB-4727-BC7E-63F54AD7BBCC}" uniqueName="5" name="Bronze" queryTableFieldId="5"/>
    <tableColumn id="6" xr3:uid="{EAB80A87-F96C-4555-89AB-D39B01E78954}" uniqueName="6" name="Total" queryTableFieldId="6"/>
    <tableColumn id="7" xr3:uid="{B6322609-2D25-46DC-BCE2-4C23026E917A}" uniqueName="7" name="Subtraction" queryTableFieldId="7" dataDxfId="10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3589EB-00C1-4252-8B15-D275463A0E95}" name="TABLE_PIVOT" displayName="TABLE_PIVOT" ref="A2:K1002" totalsRowShown="0" headerRowDxfId="105" headerRowBorderDxfId="104" tableBorderDxfId="103" totalsRowBorderDxfId="102">
  <autoFilter ref="A2:K1002" xr:uid="{E83589EB-00C1-4252-8B15-D275463A0E95}"/>
  <tableColumns count="11">
    <tableColumn id="1" xr3:uid="{2F671D98-8B01-4180-AC33-D5613AB98B12}" name="Call number" dataDxfId="101" totalsRowDxfId="100"/>
    <tableColumn id="2" xr3:uid="{86F84948-0A18-4DD6-8292-7C19F2218C58}" name="Customer ID" dataDxfId="99" totalsRowDxfId="98"/>
    <tableColumn id="3" xr3:uid="{A13D6DD6-4E14-45A6-8858-9058AF048BC0}" name="Duration" dataDxfId="97" totalsRowDxfId="96"/>
    <tableColumn id="4" xr3:uid="{CB7D244F-B7E2-4A73-BE54-7F9307183D2C}" name="Representative" dataDxfId="95" totalsRowDxfId="94"/>
    <tableColumn id="5" xr3:uid="{931111F6-A4AF-4E7C-9693-B1AA03F4E56D}" name="Date of Call" dataDxfId="93" totalsRowDxfId="92"/>
    <tableColumn id="6" xr3:uid="{8E28808D-AE31-4EF7-B0B1-3150582F84F6}" name="Purchase Amount" dataDxfId="91" totalsRowDxfId="90"/>
    <tableColumn id="7" xr3:uid="{56B2836D-FEB7-4811-8FA7-7E5A86E85998}" name="Satisfaction Rating" dataDxfId="89" totalsRowDxfId="88"/>
    <tableColumn id="8" xr3:uid="{2CC6CEF1-1F54-4698-B7E9-941520F8564D}" name="Finacial Year" dataDxfId="87" totalsRowDxfId="86">
      <calculatedColumnFormula>IF(MONTH(TABLE_PIVOT[[#This Row],[Date of Call]])&lt;=6,YEAR(TABLE_PIVOT[[#This Row],[Date of Call]]),YEAR(TABLE_PIVOT[[#This Row],[Date of Call]])+1)</calculatedColumnFormula>
    </tableColumn>
    <tableColumn id="9" xr3:uid="{89DC5B71-E4BC-4C64-83F1-574044118530}" name="Day of Week" dataDxfId="85">
      <calculatedColumnFormula>TEXT(TABLE_PIVOT[[#This Row],[Date of Call]],"DDDD")</calculatedColumnFormula>
    </tableColumn>
    <tableColumn id="10" xr3:uid="{FD93CFA6-F63E-49A8-9AD4-797FEF4A324E}" name="Duration Bucket in Hours" dataDxfId="84">
      <calculatedColumnFormula array="1">_xlfn.IFS(TABLE_PIVOT[[#This Row],[Duration]]&lt;=10,"Under 10 Mins",TABLE_PIVOT[[#This Row],[Duration]]&lt;=30,"10 to 30 Mins",TABLE_PIVOT[[#This Row],[Duration]]&lt;=60,"30 to 60 Mins",TABLE_PIVOT[[#This Row],[Duration]]&lt;=120,"1 to 2 Hours",TRUE,"More Than 2 Hours")</calculatedColumnFormula>
    </tableColumn>
    <tableColumn id="11" xr3:uid="{FEAF6896-8369-4357-827B-F70791556CEC}" name="Rating Rounded" dataDxfId="83">
      <calculatedColumnFormula>ROUND(TABLE_PIVOT[[#This Row],[Satisfaction Rating]],0)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BFA108-B442-4FCA-8206-7DCB60FA8939}" name="Table6" displayName="Table6" ref="N2:Q17" totalsRowShown="0" headerRowDxfId="82" headerRowBorderDxfId="81" tableBorderDxfId="80" totalsRowBorderDxfId="79">
  <autoFilter ref="N2:Q17" xr:uid="{2CBFA108-B442-4FCA-8206-7DCB60FA8939}"/>
  <tableColumns count="4">
    <tableColumn id="1" xr3:uid="{59AD5063-64B1-4720-ACDF-1274FBB8FDF5}" name="Customer ID" dataDxfId="78"/>
    <tableColumn id="2" xr3:uid="{0AD73956-D18E-4534-8D1D-DA50E44F6773}" name="Gedner" dataDxfId="77"/>
    <tableColumn id="3" xr3:uid="{91D9CBF5-0B78-4223-AF92-F2E8C987229A}" name="Age" dataDxfId="76"/>
    <tableColumn id="4" xr3:uid="{8CA8F873-B499-4106-98A4-C867B36174C7}" name="City" dataDxfId="7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8A3F2C-05F3-44C2-A2E9-94EC4ABC5144}" name="Call_Table_Data" displayName="Call_Table_Data" ref="A2:K1002" totalsRowShown="0" headerRowDxfId="36" dataDxfId="34" headerRowBorderDxfId="35" tableBorderDxfId="33" totalsRowBorderDxfId="32">
  <autoFilter ref="A2:K1002" xr:uid="{238A3F2C-05F3-44C2-A2E9-94EC4ABC5144}"/>
  <tableColumns count="11">
    <tableColumn id="1" xr3:uid="{B72FC7A7-C418-4FB1-B955-D4A612F6B873}" name="Call number" dataDxfId="31" totalsRowDxfId="30"/>
    <tableColumn id="2" xr3:uid="{87E2A8BE-1FE9-484E-A1C1-7A9FBBAD8BDF}" name="Customer ID" dataDxfId="29" totalsRowDxfId="28"/>
    <tableColumn id="3" xr3:uid="{D03A8721-77F9-4FD6-A65B-EFDE63ADA9B3}" name="Duration" dataDxfId="27" totalsRowDxfId="26"/>
    <tableColumn id="4" xr3:uid="{0263FDD0-5D91-4395-9CEC-D57E2A36A3A5}" name="Representative" dataDxfId="25" totalsRowDxfId="24"/>
    <tableColumn id="5" xr3:uid="{504A63AD-8FDC-4C20-B270-454B39F7FC14}" name="Date of Call" dataDxfId="23" totalsRowDxfId="22"/>
    <tableColumn id="6" xr3:uid="{3C060059-6920-43BF-B63A-03AB3355188E}" name="Purchase Amount" dataDxfId="21" totalsRowDxfId="20"/>
    <tableColumn id="7" xr3:uid="{E752B41D-E4BA-4E06-B530-D194B805FAC8}" name="Satisfaction Rating" dataDxfId="19" totalsRowDxfId="18"/>
    <tableColumn id="8" xr3:uid="{E9CB28C3-AA9C-47F8-8057-D6A04C18C8E1}" name="Finacial Year" dataDxfId="17" totalsRowDxfId="16">
      <calculatedColumnFormula>IF(MONTH(Call_Table_Data[[#This Row],[Date of Call]])&lt;=6,YEAR(Call_Table_Data[[#This Row],[Date of Call]]),YEAR(Call_Table_Data[[#This Row],[Date of Call]])+1)</calculatedColumnFormula>
    </tableColumn>
    <tableColumn id="9" xr3:uid="{629C0765-F61A-49E1-A33F-FD919D5542F5}" name="Day of Week" dataDxfId="15">
      <calculatedColumnFormula>TEXT(Call_Table_Data[[#This Row],[Date of Call]],"DDDD")</calculatedColumnFormula>
    </tableColumn>
    <tableColumn id="10" xr3:uid="{ED14993D-77F5-499B-B854-71D7D59F3F69}" name="Duration Bucket in Hours" dataDxfId="14">
      <calculatedColumnFormula array="1">_xlfn.IFS(Call_Table_Data[[#This Row],[Duration]]&lt;=10,"Under 10 Mins",Call_Table_Data[[#This Row],[Duration]]&lt;=30,"10 to 30 Mins",Call_Table_Data[[#This Row],[Duration]]&lt;=60,"30 to 60 Mins",Call_Table_Data[[#This Row],[Duration]]&lt;=120,"1 to 2 Hours",TRUE,"More Than 2 Hours")</calculatedColumnFormula>
    </tableColumn>
    <tableColumn id="11" xr3:uid="{077B7CFE-DD30-4ED1-9174-90B6E67A126E}" name="Rating Rounded" dataDxfId="13">
      <calculatedColumnFormula>ROUND(Call_Table_Data[[#This Row],[Satisfaction Rating]],0)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F119AF6-E0E0-49E5-85D5-8FAC31CAC8EA}" name="Call_Custs_Data2" displayName="Call_Custs_Data2" ref="N2:Q17" totalsRowShown="0" headerRowDxfId="12" dataDxfId="10" headerRowBorderDxfId="11" tableBorderDxfId="9" totalsRowBorderDxfId="8">
  <autoFilter ref="N2:Q17" xr:uid="{7F119AF6-E0E0-49E5-85D5-8FAC31CAC8EA}"/>
  <tableColumns count="4">
    <tableColumn id="1" xr3:uid="{31C5BC71-D5FC-41AF-B22E-283E20959E93}" name="Customer ID" dataDxfId="7"/>
    <tableColumn id="2" xr3:uid="{DF78C565-EF4F-4043-9086-84465FDA92E3}" name="Gedner" dataDxfId="6"/>
    <tableColumn id="3" xr3:uid="{C2360F87-C88D-45D5-9AB1-311DC6B8C741}" name="Age" dataDxfId="5"/>
    <tableColumn id="4" xr3:uid="{C90661EC-1B9B-4B06-847B-A3F5459CAF89}" name="City"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Main Font">
      <a:majorFont>
        <a:latin typeface="Aptos ExtraBold"/>
        <a:ea typeface=""/>
        <a:cs typeface=""/>
      </a:majorFont>
      <a:minorFont>
        <a:latin typeface="Calibri Ligh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hyperlink" Target="https://en.wikipedia.org/wiki/2020_Summer_Olympics_medal_table" TargetMode="External"/></Relationships>
</file>

<file path=xl/worksheets/_rels/sheet1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3.xml"/><Relationship Id="rId4"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EA3D-4962-4F90-9A14-EBF49DBBC7C5}">
  <dimension ref="A1:I58"/>
  <sheetViews>
    <sheetView workbookViewId="0">
      <selection sqref="A1:XFD1048576"/>
    </sheetView>
  </sheetViews>
  <sheetFormatPr defaultRowHeight="14.2" x14ac:dyDescent="0.3"/>
  <cols>
    <col min="1" max="1" width="8.296875" customWidth="1"/>
    <col min="2" max="2" width="22.59765625" customWidth="1"/>
    <col min="3" max="3" width="7.09765625" customWidth="1"/>
    <col min="4" max="4" width="23.19921875" customWidth="1"/>
    <col min="5" max="5" width="12.19921875" customWidth="1"/>
    <col min="6" max="6" width="10.296875" customWidth="1"/>
    <col min="7" max="7" width="4" customWidth="1"/>
    <col min="8" max="8" width="13.296875" customWidth="1"/>
    <col min="9" max="9" width="20.8984375" customWidth="1"/>
  </cols>
  <sheetData>
    <row r="1" spans="1:9" x14ac:dyDescent="0.3">
      <c r="A1" s="10" t="s">
        <v>22</v>
      </c>
      <c r="B1" s="10" t="s">
        <v>23</v>
      </c>
      <c r="C1" s="10" t="s">
        <v>24</v>
      </c>
      <c r="D1" s="10" t="s">
        <v>25</v>
      </c>
      <c r="E1" s="11" t="s">
        <v>26</v>
      </c>
      <c r="F1" s="11" t="s">
        <v>27</v>
      </c>
      <c r="G1" s="12" t="s">
        <v>28</v>
      </c>
      <c r="H1" s="10" t="s">
        <v>29</v>
      </c>
      <c r="I1" s="10" t="s">
        <v>30</v>
      </c>
    </row>
    <row r="2" spans="1:9" x14ac:dyDescent="0.3">
      <c r="A2" t="s">
        <v>130</v>
      </c>
      <c r="B2" t="s">
        <v>131</v>
      </c>
      <c r="C2" t="s">
        <v>33</v>
      </c>
      <c r="D2" t="s">
        <v>81</v>
      </c>
      <c r="E2" s="13">
        <v>96135.75</v>
      </c>
      <c r="F2" s="14">
        <v>44025</v>
      </c>
      <c r="G2" s="15">
        <v>0.3</v>
      </c>
      <c r="H2" t="s">
        <v>35</v>
      </c>
      <c r="I2" t="s">
        <v>82</v>
      </c>
    </row>
    <row r="3" spans="1:9" x14ac:dyDescent="0.3">
      <c r="A3" t="s">
        <v>157</v>
      </c>
      <c r="B3" t="s">
        <v>158</v>
      </c>
      <c r="C3" t="s">
        <v>33</v>
      </c>
      <c r="D3" t="s">
        <v>57</v>
      </c>
      <c r="E3" s="13">
        <v>70649.460000000006</v>
      </c>
      <c r="F3" s="14">
        <v>43843</v>
      </c>
      <c r="G3" s="15">
        <v>1</v>
      </c>
      <c r="H3" t="s">
        <v>35</v>
      </c>
      <c r="I3" t="s">
        <v>102</v>
      </c>
    </row>
    <row r="4" spans="1:9" x14ac:dyDescent="0.3">
      <c r="A4" t="s">
        <v>55</v>
      </c>
      <c r="B4" t="s">
        <v>56</v>
      </c>
      <c r="C4" t="s">
        <v>33</v>
      </c>
      <c r="D4" t="s">
        <v>57</v>
      </c>
      <c r="E4" s="13">
        <v>80695.740000000005</v>
      </c>
      <c r="F4" s="14">
        <v>43360</v>
      </c>
      <c r="G4" s="15">
        <v>1</v>
      </c>
      <c r="H4" t="s">
        <v>35</v>
      </c>
      <c r="I4" t="s">
        <v>58</v>
      </c>
    </row>
    <row r="5" spans="1:9" x14ac:dyDescent="0.3">
      <c r="A5" t="s">
        <v>55</v>
      </c>
      <c r="B5" t="s">
        <v>56</v>
      </c>
      <c r="C5" t="s">
        <v>33</v>
      </c>
      <c r="D5" t="s">
        <v>57</v>
      </c>
      <c r="E5" s="13">
        <v>80695.740000000005</v>
      </c>
      <c r="F5" s="14">
        <v>43360</v>
      </c>
      <c r="G5" s="15">
        <v>1</v>
      </c>
      <c r="H5" t="s">
        <v>35</v>
      </c>
      <c r="I5" t="s">
        <v>58</v>
      </c>
    </row>
    <row r="6" spans="1:9" x14ac:dyDescent="0.3">
      <c r="A6" t="s">
        <v>181</v>
      </c>
      <c r="B6" t="s">
        <v>182</v>
      </c>
      <c r="C6" t="s">
        <v>47</v>
      </c>
      <c r="D6" t="s">
        <v>148</v>
      </c>
      <c r="E6" s="13">
        <v>120000</v>
      </c>
      <c r="F6" s="14">
        <v>43416</v>
      </c>
      <c r="G6" s="15">
        <v>1</v>
      </c>
      <c r="H6" t="s">
        <v>35</v>
      </c>
      <c r="I6" t="s">
        <v>36</v>
      </c>
    </row>
    <row r="7" spans="1:9" x14ac:dyDescent="0.3">
      <c r="A7" t="s">
        <v>163</v>
      </c>
      <c r="B7" t="s">
        <v>164</v>
      </c>
      <c r="C7" t="s">
        <v>33</v>
      </c>
      <c r="D7" t="s">
        <v>92</v>
      </c>
      <c r="E7" s="13">
        <v>67905.8</v>
      </c>
      <c r="F7" s="14">
        <v>44194</v>
      </c>
      <c r="G7" s="15">
        <v>1</v>
      </c>
      <c r="H7" t="s">
        <v>35</v>
      </c>
      <c r="I7" t="s">
        <v>36</v>
      </c>
    </row>
    <row r="8" spans="1:9" x14ac:dyDescent="0.3">
      <c r="A8" t="s">
        <v>161</v>
      </c>
      <c r="B8" t="s">
        <v>162</v>
      </c>
      <c r="C8" t="s">
        <v>33</v>
      </c>
      <c r="D8" t="s">
        <v>57</v>
      </c>
      <c r="E8" s="13">
        <v>68980.52</v>
      </c>
      <c r="F8" s="14">
        <v>43494</v>
      </c>
      <c r="G8" s="15">
        <v>0.8</v>
      </c>
      <c r="H8" t="s">
        <v>35</v>
      </c>
      <c r="I8" t="s">
        <v>36</v>
      </c>
    </row>
    <row r="9" spans="1:9" x14ac:dyDescent="0.3">
      <c r="A9" t="s">
        <v>165</v>
      </c>
      <c r="B9" t="s">
        <v>166</v>
      </c>
      <c r="C9" t="s">
        <v>33</v>
      </c>
      <c r="D9" t="s">
        <v>88</v>
      </c>
      <c r="E9" s="13">
        <v>63705.4</v>
      </c>
      <c r="F9" s="14">
        <v>43682</v>
      </c>
      <c r="G9" s="15">
        <v>1</v>
      </c>
      <c r="H9" t="s">
        <v>35</v>
      </c>
      <c r="I9" t="s">
        <v>102</v>
      </c>
    </row>
    <row r="10" spans="1:9" x14ac:dyDescent="0.3">
      <c r="A10" t="s">
        <v>149</v>
      </c>
      <c r="B10" t="s">
        <v>150</v>
      </c>
      <c r="C10" t="s">
        <v>33</v>
      </c>
      <c r="D10" t="s">
        <v>99</v>
      </c>
      <c r="E10" s="13">
        <v>114177.23</v>
      </c>
      <c r="F10" s="14">
        <v>43908</v>
      </c>
      <c r="G10" s="15">
        <v>1</v>
      </c>
      <c r="H10" t="s">
        <v>35</v>
      </c>
      <c r="I10" t="s">
        <v>82</v>
      </c>
    </row>
    <row r="11" spans="1:9" x14ac:dyDescent="0.3">
      <c r="A11" t="s">
        <v>118</v>
      </c>
      <c r="B11" t="s">
        <v>119</v>
      </c>
      <c r="C11" t="s">
        <v>47</v>
      </c>
      <c r="D11" t="s">
        <v>88</v>
      </c>
      <c r="E11" s="13">
        <v>29774.76</v>
      </c>
      <c r="F11" s="14">
        <v>44105</v>
      </c>
      <c r="G11" s="15">
        <v>1</v>
      </c>
      <c r="H11" t="s">
        <v>35</v>
      </c>
      <c r="I11" t="s">
        <v>82</v>
      </c>
    </row>
    <row r="12" spans="1:9" x14ac:dyDescent="0.3">
      <c r="A12" t="s">
        <v>97</v>
      </c>
      <c r="B12" t="s">
        <v>98</v>
      </c>
      <c r="C12" t="s">
        <v>47</v>
      </c>
      <c r="D12" t="s">
        <v>99</v>
      </c>
      <c r="E12" s="13">
        <v>52963.65</v>
      </c>
      <c r="F12" s="14">
        <v>44288</v>
      </c>
      <c r="G12" s="15">
        <v>0.3</v>
      </c>
      <c r="H12" t="s">
        <v>35</v>
      </c>
      <c r="I12" t="s">
        <v>58</v>
      </c>
    </row>
    <row r="13" spans="1:9" x14ac:dyDescent="0.3">
      <c r="A13" t="s">
        <v>100</v>
      </c>
      <c r="B13" t="s">
        <v>101</v>
      </c>
      <c r="C13" t="s">
        <v>47</v>
      </c>
      <c r="D13" t="s">
        <v>85</v>
      </c>
      <c r="E13" s="13">
        <v>50310.09</v>
      </c>
      <c r="F13" s="14">
        <v>44285</v>
      </c>
      <c r="G13" s="15">
        <v>0.4</v>
      </c>
      <c r="H13" t="s">
        <v>35</v>
      </c>
      <c r="I13" t="s">
        <v>102</v>
      </c>
    </row>
    <row r="14" spans="1:9" x14ac:dyDescent="0.3">
      <c r="A14" t="s">
        <v>74</v>
      </c>
      <c r="B14" t="s">
        <v>75</v>
      </c>
      <c r="C14" t="s">
        <v>33</v>
      </c>
      <c r="D14" t="s">
        <v>76</v>
      </c>
      <c r="E14" s="13">
        <v>84309.95</v>
      </c>
      <c r="F14" s="14">
        <v>44501</v>
      </c>
      <c r="G14" s="15">
        <v>1</v>
      </c>
      <c r="H14" t="s">
        <v>35</v>
      </c>
      <c r="I14" t="s">
        <v>36</v>
      </c>
    </row>
    <row r="15" spans="1:9" x14ac:dyDescent="0.3">
      <c r="A15" t="s">
        <v>114</v>
      </c>
      <c r="B15" t="s">
        <v>115</v>
      </c>
      <c r="C15" t="s">
        <v>47</v>
      </c>
      <c r="D15" t="s">
        <v>99</v>
      </c>
      <c r="E15" s="13">
        <v>35936.31</v>
      </c>
      <c r="F15" s="14">
        <v>43241</v>
      </c>
      <c r="G15" s="15">
        <v>1</v>
      </c>
      <c r="H15" t="s">
        <v>35</v>
      </c>
      <c r="I15" t="s">
        <v>49</v>
      </c>
    </row>
    <row r="16" spans="1:9" x14ac:dyDescent="0.3">
      <c r="A16" t="s">
        <v>146</v>
      </c>
      <c r="B16" t="s">
        <v>147</v>
      </c>
      <c r="C16" t="s">
        <v>47</v>
      </c>
      <c r="D16" t="s">
        <v>148</v>
      </c>
      <c r="E16" s="13">
        <v>112645.99</v>
      </c>
      <c r="F16" s="14">
        <v>43759</v>
      </c>
      <c r="G16" s="15">
        <v>0.6</v>
      </c>
      <c r="H16" t="s">
        <v>35</v>
      </c>
      <c r="I16" t="s">
        <v>136</v>
      </c>
    </row>
    <row r="17" spans="1:9" x14ac:dyDescent="0.3">
      <c r="A17" t="s">
        <v>124</v>
      </c>
      <c r="B17" t="s">
        <v>125</v>
      </c>
      <c r="C17" t="s">
        <v>47</v>
      </c>
      <c r="D17" t="s">
        <v>99</v>
      </c>
      <c r="E17" s="13">
        <v>91645.04</v>
      </c>
      <c r="F17" s="14">
        <v>44223</v>
      </c>
      <c r="G17" s="15">
        <v>1</v>
      </c>
      <c r="H17" t="s">
        <v>35</v>
      </c>
      <c r="I17" t="s">
        <v>71</v>
      </c>
    </row>
    <row r="18" spans="1:9" x14ac:dyDescent="0.3">
      <c r="A18" t="s">
        <v>132</v>
      </c>
      <c r="B18" t="s">
        <v>133</v>
      </c>
      <c r="C18" t="s">
        <v>33</v>
      </c>
      <c r="D18" t="s">
        <v>53</v>
      </c>
      <c r="E18" s="13">
        <v>97105.19</v>
      </c>
      <c r="F18" s="14">
        <v>44425</v>
      </c>
      <c r="G18" s="15">
        <v>1</v>
      </c>
      <c r="H18" t="s">
        <v>35</v>
      </c>
      <c r="I18" t="s">
        <v>58</v>
      </c>
    </row>
    <row r="19" spans="1:9" x14ac:dyDescent="0.3">
      <c r="A19" t="s">
        <v>77</v>
      </c>
      <c r="B19" t="s">
        <v>78</v>
      </c>
      <c r="C19" t="s">
        <v>47</v>
      </c>
      <c r="D19" t="s">
        <v>48</v>
      </c>
      <c r="E19" s="13">
        <v>84742.86</v>
      </c>
      <c r="F19" s="14">
        <v>44098</v>
      </c>
      <c r="G19" s="15">
        <v>1</v>
      </c>
      <c r="H19" t="s">
        <v>35</v>
      </c>
      <c r="I19" t="s">
        <v>71</v>
      </c>
    </row>
    <row r="20" spans="1:9" x14ac:dyDescent="0.3">
      <c r="A20" t="s">
        <v>120</v>
      </c>
      <c r="B20" t="s">
        <v>121</v>
      </c>
      <c r="C20" t="s">
        <v>47</v>
      </c>
      <c r="D20" t="s">
        <v>57</v>
      </c>
      <c r="E20" s="13">
        <v>85918.61</v>
      </c>
      <c r="F20" s="14">
        <v>43136</v>
      </c>
      <c r="G20" s="15">
        <v>1</v>
      </c>
      <c r="H20" t="s">
        <v>35</v>
      </c>
      <c r="I20" t="s">
        <v>58</v>
      </c>
    </row>
    <row r="21" spans="1:9" x14ac:dyDescent="0.3">
      <c r="A21" t="s">
        <v>155</v>
      </c>
      <c r="B21" t="s">
        <v>156</v>
      </c>
      <c r="C21" t="s">
        <v>33</v>
      </c>
      <c r="D21" t="s">
        <v>141</v>
      </c>
      <c r="E21" s="13">
        <v>72502.61</v>
      </c>
      <c r="F21" s="14">
        <v>44235</v>
      </c>
      <c r="G21" s="15">
        <v>1</v>
      </c>
      <c r="H21" t="s">
        <v>35</v>
      </c>
      <c r="I21" t="s">
        <v>82</v>
      </c>
    </row>
    <row r="22" spans="1:9" x14ac:dyDescent="0.3">
      <c r="A22" t="s">
        <v>45</v>
      </c>
      <c r="B22" t="s">
        <v>46</v>
      </c>
      <c r="C22" t="s">
        <v>47</v>
      </c>
      <c r="D22" t="s">
        <v>48</v>
      </c>
      <c r="E22" s="13">
        <v>77096.05</v>
      </c>
      <c r="F22" s="14">
        <v>43217</v>
      </c>
      <c r="G22" s="15">
        <v>1</v>
      </c>
      <c r="H22" t="s">
        <v>35</v>
      </c>
      <c r="I22" t="s">
        <v>49</v>
      </c>
    </row>
    <row r="23" spans="1:9" x14ac:dyDescent="0.3">
      <c r="A23" t="s">
        <v>171</v>
      </c>
      <c r="B23" t="s">
        <v>172</v>
      </c>
      <c r="C23" t="s">
        <v>33</v>
      </c>
      <c r="D23" t="s">
        <v>76</v>
      </c>
      <c r="E23" s="13">
        <v>50449.46</v>
      </c>
      <c r="F23" s="14">
        <v>43418</v>
      </c>
      <c r="G23" s="15">
        <v>0.8</v>
      </c>
      <c r="H23" t="s">
        <v>35</v>
      </c>
      <c r="I23" t="s">
        <v>71</v>
      </c>
    </row>
    <row r="24" spans="1:9" x14ac:dyDescent="0.3">
      <c r="A24" t="s">
        <v>103</v>
      </c>
      <c r="B24" t="s">
        <v>104</v>
      </c>
      <c r="C24" t="s">
        <v>47</v>
      </c>
      <c r="D24" t="s">
        <v>85</v>
      </c>
      <c r="E24" s="13">
        <v>48525.71</v>
      </c>
      <c r="F24" s="14">
        <v>43264</v>
      </c>
      <c r="G24" s="15">
        <v>1</v>
      </c>
      <c r="H24" t="s">
        <v>35</v>
      </c>
      <c r="I24" t="s">
        <v>102</v>
      </c>
    </row>
    <row r="25" spans="1:9" x14ac:dyDescent="0.3">
      <c r="A25" t="s">
        <v>112</v>
      </c>
      <c r="B25" t="s">
        <v>113</v>
      </c>
      <c r="C25" t="s">
        <v>47</v>
      </c>
      <c r="D25" t="s">
        <v>99</v>
      </c>
      <c r="E25" s="13">
        <v>36547.58</v>
      </c>
      <c r="F25" s="14">
        <v>43416</v>
      </c>
      <c r="G25" s="15">
        <v>1</v>
      </c>
      <c r="H25" t="s">
        <v>35</v>
      </c>
      <c r="I25" t="s">
        <v>36</v>
      </c>
    </row>
    <row r="26" spans="1:9" x14ac:dyDescent="0.3">
      <c r="A26" t="s">
        <v>112</v>
      </c>
      <c r="B26" t="s">
        <v>113</v>
      </c>
      <c r="C26" t="s">
        <v>47</v>
      </c>
      <c r="D26" t="s">
        <v>99</v>
      </c>
      <c r="E26" s="13">
        <v>36547.58</v>
      </c>
      <c r="F26" s="14">
        <v>43416</v>
      </c>
      <c r="G26" s="15">
        <v>1</v>
      </c>
      <c r="H26" t="s">
        <v>35</v>
      </c>
      <c r="I26" t="s">
        <v>36</v>
      </c>
    </row>
    <row r="27" spans="1:9" x14ac:dyDescent="0.3">
      <c r="A27" t="s">
        <v>151</v>
      </c>
      <c r="B27" t="s">
        <v>152</v>
      </c>
      <c r="C27" t="s">
        <v>47</v>
      </c>
      <c r="D27" t="s">
        <v>141</v>
      </c>
      <c r="E27" s="13">
        <v>115191.38</v>
      </c>
      <c r="F27" s="14">
        <v>44004</v>
      </c>
      <c r="G27" s="15">
        <v>1</v>
      </c>
      <c r="H27" t="s">
        <v>35</v>
      </c>
      <c r="I27" t="s">
        <v>102</v>
      </c>
    </row>
    <row r="28" spans="1:9" x14ac:dyDescent="0.3">
      <c r="A28" t="s">
        <v>169</v>
      </c>
      <c r="B28" t="s">
        <v>170</v>
      </c>
      <c r="C28" t="s">
        <v>33</v>
      </c>
      <c r="D28" t="s">
        <v>148</v>
      </c>
      <c r="E28" s="13">
        <v>58861.19</v>
      </c>
      <c r="F28" s="14">
        <v>43654</v>
      </c>
      <c r="G28" s="15">
        <v>1</v>
      </c>
      <c r="H28" t="s">
        <v>35</v>
      </c>
      <c r="I28" t="s">
        <v>58</v>
      </c>
    </row>
    <row r="29" spans="1:9" x14ac:dyDescent="0.3">
      <c r="A29" t="s">
        <v>31</v>
      </c>
      <c r="B29" t="s">
        <v>32</v>
      </c>
      <c r="C29" t="s">
        <v>33</v>
      </c>
      <c r="D29" t="s">
        <v>34</v>
      </c>
      <c r="E29" s="13">
        <v>75974.990000000005</v>
      </c>
      <c r="F29" s="14">
        <v>44172</v>
      </c>
      <c r="G29" s="15">
        <v>1</v>
      </c>
      <c r="H29" t="s">
        <v>35</v>
      </c>
      <c r="I29" t="s">
        <v>36</v>
      </c>
    </row>
    <row r="30" spans="1:9" x14ac:dyDescent="0.3">
      <c r="A30" t="s">
        <v>128</v>
      </c>
      <c r="B30" t="s">
        <v>129</v>
      </c>
      <c r="C30" t="s">
        <v>47</v>
      </c>
      <c r="D30" t="s">
        <v>99</v>
      </c>
      <c r="E30" s="13">
        <v>95954.02</v>
      </c>
      <c r="F30" s="14">
        <v>43567</v>
      </c>
      <c r="G30" s="15">
        <v>0.3</v>
      </c>
      <c r="H30" t="s">
        <v>35</v>
      </c>
      <c r="I30" t="s">
        <v>102</v>
      </c>
    </row>
    <row r="31" spans="1:9" x14ac:dyDescent="0.3">
      <c r="A31" t="s">
        <v>137</v>
      </c>
      <c r="B31" t="s">
        <v>138</v>
      </c>
      <c r="C31" t="s">
        <v>33</v>
      </c>
      <c r="D31" t="s">
        <v>81</v>
      </c>
      <c r="E31" s="13">
        <v>102934.09</v>
      </c>
      <c r="F31" s="14">
        <v>44315</v>
      </c>
      <c r="G31" s="15">
        <v>1</v>
      </c>
      <c r="H31" t="s">
        <v>35</v>
      </c>
      <c r="I31" t="s">
        <v>102</v>
      </c>
    </row>
    <row r="32" spans="1:9" x14ac:dyDescent="0.3">
      <c r="A32" t="s">
        <v>175</v>
      </c>
      <c r="B32" t="s">
        <v>176</v>
      </c>
      <c r="C32" t="s">
        <v>33</v>
      </c>
      <c r="D32" t="s">
        <v>42</v>
      </c>
      <c r="E32" s="13">
        <v>41934.71</v>
      </c>
      <c r="F32" s="14">
        <v>43780</v>
      </c>
      <c r="G32" s="15">
        <v>1</v>
      </c>
      <c r="H32" t="s">
        <v>35</v>
      </c>
      <c r="I32" t="s">
        <v>36</v>
      </c>
    </row>
    <row r="33" spans="1:9" x14ac:dyDescent="0.3">
      <c r="A33" t="s">
        <v>139</v>
      </c>
      <c r="B33" t="s">
        <v>140</v>
      </c>
      <c r="C33" t="s">
        <v>47</v>
      </c>
      <c r="D33" t="s">
        <v>141</v>
      </c>
      <c r="E33" s="13">
        <v>104335.03999999999</v>
      </c>
      <c r="F33" s="14">
        <v>43874</v>
      </c>
      <c r="G33" s="15">
        <v>1</v>
      </c>
      <c r="H33" t="s">
        <v>35</v>
      </c>
      <c r="I33" t="s">
        <v>58</v>
      </c>
    </row>
    <row r="34" spans="1:9" x14ac:dyDescent="0.3">
      <c r="A34" t="s">
        <v>69</v>
      </c>
      <c r="B34" t="s">
        <v>70</v>
      </c>
      <c r="C34" t="s">
        <v>33</v>
      </c>
      <c r="D34" t="s">
        <v>48</v>
      </c>
      <c r="E34" s="13">
        <v>81897.789999999994</v>
      </c>
      <c r="F34" s="14">
        <v>43146</v>
      </c>
      <c r="G34" s="15">
        <v>1</v>
      </c>
      <c r="H34" t="s">
        <v>35</v>
      </c>
      <c r="I34" t="s">
        <v>71</v>
      </c>
    </row>
    <row r="35" spans="1:9" x14ac:dyDescent="0.3">
      <c r="A35" t="s">
        <v>51</v>
      </c>
      <c r="B35" t="s">
        <v>52</v>
      </c>
      <c r="C35" t="s">
        <v>33</v>
      </c>
      <c r="D35" t="s">
        <v>53</v>
      </c>
      <c r="E35" s="13">
        <v>78378.2</v>
      </c>
      <c r="F35" s="14">
        <v>43465</v>
      </c>
      <c r="G35" s="15">
        <v>0.4</v>
      </c>
      <c r="H35" t="s">
        <v>35</v>
      </c>
      <c r="I35" t="s">
        <v>36</v>
      </c>
    </row>
    <row r="36" spans="1:9" x14ac:dyDescent="0.3">
      <c r="A36" t="s">
        <v>167</v>
      </c>
      <c r="B36" t="s">
        <v>168</v>
      </c>
      <c r="C36" t="s">
        <v>33</v>
      </c>
      <c r="D36" t="s">
        <v>85</v>
      </c>
      <c r="E36" s="13">
        <v>61994.76</v>
      </c>
      <c r="F36" s="14">
        <v>43794</v>
      </c>
      <c r="G36" s="15">
        <v>0.3</v>
      </c>
      <c r="H36" t="s">
        <v>35</v>
      </c>
      <c r="I36" t="s">
        <v>102</v>
      </c>
    </row>
    <row r="37" spans="1:9" x14ac:dyDescent="0.3">
      <c r="A37" t="s">
        <v>105</v>
      </c>
      <c r="B37" t="s">
        <v>106</v>
      </c>
      <c r="C37" t="s">
        <v>47</v>
      </c>
      <c r="D37" t="s">
        <v>92</v>
      </c>
      <c r="E37" s="13">
        <v>37362.300000000003</v>
      </c>
      <c r="F37" s="14">
        <v>43642</v>
      </c>
      <c r="G37" s="15">
        <v>1</v>
      </c>
      <c r="H37" t="s">
        <v>35</v>
      </c>
      <c r="I37" t="s">
        <v>71</v>
      </c>
    </row>
    <row r="38" spans="1:9" x14ac:dyDescent="0.3">
      <c r="A38" t="s">
        <v>79</v>
      </c>
      <c r="B38" t="s">
        <v>80</v>
      </c>
      <c r="C38" t="s">
        <v>33</v>
      </c>
      <c r="D38" t="s">
        <v>81</v>
      </c>
      <c r="E38" s="13">
        <v>84745.93</v>
      </c>
      <c r="F38" s="14">
        <v>43707</v>
      </c>
      <c r="G38" s="15">
        <v>1</v>
      </c>
      <c r="H38" t="s">
        <v>35</v>
      </c>
      <c r="I38" t="s">
        <v>82</v>
      </c>
    </row>
    <row r="39" spans="1:9" x14ac:dyDescent="0.3">
      <c r="A39" t="s">
        <v>116</v>
      </c>
      <c r="B39" t="s">
        <v>117</v>
      </c>
      <c r="C39" t="s">
        <v>47</v>
      </c>
      <c r="D39" t="s">
        <v>42</v>
      </c>
      <c r="E39" s="13">
        <v>32192.15</v>
      </c>
      <c r="F39" s="14">
        <v>44473</v>
      </c>
      <c r="G39" s="15">
        <v>1</v>
      </c>
      <c r="H39" t="s">
        <v>35</v>
      </c>
      <c r="I39" t="s">
        <v>102</v>
      </c>
    </row>
    <row r="40" spans="1:9" x14ac:dyDescent="0.3">
      <c r="A40" t="s">
        <v>107</v>
      </c>
      <c r="B40" t="s">
        <v>108</v>
      </c>
      <c r="C40" t="s">
        <v>47</v>
      </c>
      <c r="D40" t="s">
        <v>34</v>
      </c>
      <c r="E40" s="13">
        <v>36714.379999999997</v>
      </c>
      <c r="F40" s="14">
        <v>44175</v>
      </c>
      <c r="G40" s="15">
        <v>1</v>
      </c>
      <c r="H40" t="s">
        <v>35</v>
      </c>
      <c r="I40" t="s">
        <v>49</v>
      </c>
    </row>
    <row r="41" spans="1:9" x14ac:dyDescent="0.3">
      <c r="A41" t="s">
        <v>122</v>
      </c>
      <c r="B41" t="s">
        <v>123</v>
      </c>
      <c r="C41" t="s">
        <v>33</v>
      </c>
      <c r="D41" t="s">
        <v>48</v>
      </c>
      <c r="E41" s="13">
        <v>89690.38</v>
      </c>
      <c r="F41" s="14">
        <v>43206</v>
      </c>
      <c r="G41" s="15">
        <v>1</v>
      </c>
      <c r="H41" t="s">
        <v>35</v>
      </c>
      <c r="I41" t="s">
        <v>82</v>
      </c>
    </row>
    <row r="42" spans="1:9" x14ac:dyDescent="0.3">
      <c r="A42" t="s">
        <v>177</v>
      </c>
      <c r="B42" t="s">
        <v>178</v>
      </c>
      <c r="C42" t="s">
        <v>33</v>
      </c>
      <c r="D42" t="s">
        <v>42</v>
      </c>
      <c r="E42" s="13">
        <v>39535.49</v>
      </c>
      <c r="F42" s="14">
        <v>43397</v>
      </c>
      <c r="G42" s="15">
        <v>0.3</v>
      </c>
      <c r="H42" t="s">
        <v>35</v>
      </c>
      <c r="I42" t="s">
        <v>36</v>
      </c>
    </row>
    <row r="43" spans="1:9" x14ac:dyDescent="0.3">
      <c r="A43" t="s">
        <v>95</v>
      </c>
      <c r="B43" t="s">
        <v>96</v>
      </c>
      <c r="C43" t="s">
        <v>47</v>
      </c>
      <c r="D43" t="s">
        <v>42</v>
      </c>
      <c r="E43" s="13">
        <v>62195.47</v>
      </c>
      <c r="F43" s="14">
        <v>44434</v>
      </c>
      <c r="G43" s="15">
        <v>1</v>
      </c>
      <c r="H43" t="s">
        <v>35</v>
      </c>
      <c r="I43" t="s">
        <v>36</v>
      </c>
    </row>
    <row r="44" spans="1:9" x14ac:dyDescent="0.3">
      <c r="A44" t="s">
        <v>83</v>
      </c>
      <c r="B44" t="s">
        <v>84</v>
      </c>
      <c r="C44" t="s">
        <v>47</v>
      </c>
      <c r="D44" t="s">
        <v>85</v>
      </c>
      <c r="E44" s="13">
        <v>72876.91</v>
      </c>
      <c r="F44" s="14">
        <v>43837</v>
      </c>
      <c r="G44" s="15">
        <v>1</v>
      </c>
      <c r="H44" t="s">
        <v>35</v>
      </c>
      <c r="I44" t="s">
        <v>36</v>
      </c>
    </row>
    <row r="45" spans="1:9" x14ac:dyDescent="0.3">
      <c r="A45" t="s">
        <v>86</v>
      </c>
      <c r="B45" t="s">
        <v>87</v>
      </c>
      <c r="C45" t="s">
        <v>47</v>
      </c>
      <c r="D45" t="s">
        <v>88</v>
      </c>
      <c r="E45" s="13">
        <v>66572.58</v>
      </c>
      <c r="F45" s="14">
        <v>44193</v>
      </c>
      <c r="G45" s="15">
        <v>1</v>
      </c>
      <c r="H45" t="s">
        <v>35</v>
      </c>
      <c r="I45" t="s">
        <v>49</v>
      </c>
    </row>
    <row r="46" spans="1:9" x14ac:dyDescent="0.3">
      <c r="A46" t="s">
        <v>86</v>
      </c>
      <c r="B46" t="s">
        <v>89</v>
      </c>
      <c r="C46" t="s">
        <v>47</v>
      </c>
      <c r="D46" t="s">
        <v>88</v>
      </c>
      <c r="E46" s="13">
        <v>66572.58</v>
      </c>
      <c r="F46" s="14">
        <v>44193</v>
      </c>
      <c r="G46" s="15">
        <v>1</v>
      </c>
      <c r="H46" t="s">
        <v>35</v>
      </c>
      <c r="I46" t="s">
        <v>49</v>
      </c>
    </row>
    <row r="47" spans="1:9" x14ac:dyDescent="0.3">
      <c r="A47" t="s">
        <v>179</v>
      </c>
      <c r="B47" t="s">
        <v>180</v>
      </c>
      <c r="C47" t="s">
        <v>33</v>
      </c>
      <c r="D47" t="s">
        <v>85</v>
      </c>
      <c r="E47" s="13">
        <v>35943.620000000003</v>
      </c>
      <c r="F47" s="14">
        <v>44078</v>
      </c>
      <c r="G47" s="15">
        <v>1</v>
      </c>
      <c r="H47" t="s">
        <v>35</v>
      </c>
      <c r="I47" t="s">
        <v>58</v>
      </c>
    </row>
    <row r="48" spans="1:9" x14ac:dyDescent="0.3">
      <c r="A48" t="s">
        <v>153</v>
      </c>
      <c r="B48" t="s">
        <v>154</v>
      </c>
      <c r="C48" t="s">
        <v>47</v>
      </c>
      <c r="D48" t="s">
        <v>99</v>
      </c>
      <c r="E48" s="13">
        <v>119022.49</v>
      </c>
      <c r="F48" s="14">
        <v>44431</v>
      </c>
      <c r="G48" s="15">
        <v>1</v>
      </c>
      <c r="H48" t="s">
        <v>35</v>
      </c>
      <c r="I48" t="s">
        <v>71</v>
      </c>
    </row>
    <row r="49" spans="1:9" x14ac:dyDescent="0.3">
      <c r="A49" t="s">
        <v>90</v>
      </c>
      <c r="B49" t="s">
        <v>91</v>
      </c>
      <c r="C49" t="s">
        <v>47</v>
      </c>
      <c r="D49" t="s">
        <v>92</v>
      </c>
      <c r="E49" s="13">
        <v>65699.02</v>
      </c>
      <c r="F49" s="14">
        <v>43951</v>
      </c>
      <c r="G49" s="15">
        <v>1</v>
      </c>
      <c r="H49" t="s">
        <v>35</v>
      </c>
      <c r="I49" t="s">
        <v>58</v>
      </c>
    </row>
    <row r="50" spans="1:9" x14ac:dyDescent="0.3">
      <c r="A50" t="s">
        <v>173</v>
      </c>
      <c r="B50" t="s">
        <v>174</v>
      </c>
      <c r="C50" t="s">
        <v>33</v>
      </c>
      <c r="D50" t="s">
        <v>42</v>
      </c>
      <c r="E50" s="13">
        <v>47551.89</v>
      </c>
      <c r="F50" s="14">
        <v>43468</v>
      </c>
      <c r="G50" s="15">
        <v>1</v>
      </c>
      <c r="H50" t="s">
        <v>35</v>
      </c>
      <c r="I50" t="s">
        <v>71</v>
      </c>
    </row>
    <row r="51" spans="1:9" x14ac:dyDescent="0.3">
      <c r="A51" t="s">
        <v>66</v>
      </c>
      <c r="B51" t="s">
        <v>56</v>
      </c>
      <c r="C51" t="s">
        <v>33</v>
      </c>
      <c r="D51" t="s">
        <v>57</v>
      </c>
      <c r="E51" s="13">
        <v>80695.740000000005</v>
      </c>
      <c r="F51" s="14">
        <v>43787</v>
      </c>
      <c r="G51" s="15">
        <v>0.8</v>
      </c>
      <c r="H51" t="s">
        <v>35</v>
      </c>
      <c r="I51" t="s">
        <v>58</v>
      </c>
    </row>
    <row r="52" spans="1:9" x14ac:dyDescent="0.3">
      <c r="A52" t="s">
        <v>126</v>
      </c>
      <c r="B52" t="s">
        <v>127</v>
      </c>
      <c r="C52" t="s">
        <v>33</v>
      </c>
      <c r="D52" t="s">
        <v>76</v>
      </c>
      <c r="E52" s="13">
        <v>92336.08</v>
      </c>
      <c r="F52" s="14">
        <v>44431</v>
      </c>
      <c r="G52" s="15">
        <v>1</v>
      </c>
      <c r="H52" t="s">
        <v>35</v>
      </c>
      <c r="I52" t="s">
        <v>102</v>
      </c>
    </row>
    <row r="53" spans="1:9" x14ac:dyDescent="0.3">
      <c r="A53" t="s">
        <v>159</v>
      </c>
      <c r="B53" t="s">
        <v>160</v>
      </c>
      <c r="C53" t="s">
        <v>33</v>
      </c>
      <c r="D53" t="s">
        <v>57</v>
      </c>
      <c r="E53" s="13">
        <v>69192.850000000006</v>
      </c>
      <c r="F53" s="14">
        <v>44305</v>
      </c>
      <c r="G53" s="15">
        <v>1</v>
      </c>
      <c r="H53" t="s">
        <v>35</v>
      </c>
      <c r="I53" t="s">
        <v>58</v>
      </c>
    </row>
    <row r="54" spans="1:9" x14ac:dyDescent="0.3">
      <c r="A54" t="s">
        <v>142</v>
      </c>
      <c r="B54" t="s">
        <v>143</v>
      </c>
      <c r="D54" t="s">
        <v>34</v>
      </c>
      <c r="E54" s="13">
        <v>104802.63</v>
      </c>
      <c r="F54" s="14">
        <v>44502</v>
      </c>
      <c r="G54" s="15">
        <v>1</v>
      </c>
      <c r="H54" t="s">
        <v>35</v>
      </c>
      <c r="I54" t="s">
        <v>102</v>
      </c>
    </row>
    <row r="55" spans="1:9" x14ac:dyDescent="0.3">
      <c r="A55" t="s">
        <v>134</v>
      </c>
      <c r="B55" t="s">
        <v>135</v>
      </c>
      <c r="C55" t="s">
        <v>33</v>
      </c>
      <c r="D55" t="s">
        <v>57</v>
      </c>
      <c r="E55" s="13">
        <v>98000</v>
      </c>
      <c r="F55" s="14">
        <v>43710</v>
      </c>
      <c r="G55" s="15">
        <v>0.9</v>
      </c>
      <c r="H55" t="s">
        <v>35</v>
      </c>
      <c r="I55" t="s">
        <v>136</v>
      </c>
    </row>
    <row r="56" spans="1:9" x14ac:dyDescent="0.3">
      <c r="A56" t="s">
        <v>40</v>
      </c>
      <c r="B56" t="s">
        <v>41</v>
      </c>
      <c r="C56" t="s">
        <v>33</v>
      </c>
      <c r="D56" t="s">
        <v>42</v>
      </c>
      <c r="E56" s="13">
        <v>77045.440000000002</v>
      </c>
      <c r="F56" s="14">
        <v>43636</v>
      </c>
      <c r="G56" s="15">
        <v>1</v>
      </c>
      <c r="H56" t="s">
        <v>35</v>
      </c>
      <c r="I56" t="s">
        <v>36</v>
      </c>
    </row>
    <row r="57" spans="1:9" x14ac:dyDescent="0.3">
      <c r="A57" t="s">
        <v>144</v>
      </c>
      <c r="B57" t="s">
        <v>145</v>
      </c>
      <c r="C57" t="s">
        <v>47</v>
      </c>
      <c r="D57" t="s">
        <v>57</v>
      </c>
      <c r="E57" s="13">
        <v>110042.37</v>
      </c>
      <c r="F57" s="14">
        <v>43914</v>
      </c>
      <c r="G57" s="15">
        <v>1</v>
      </c>
      <c r="H57" t="s">
        <v>35</v>
      </c>
      <c r="I57" t="s">
        <v>58</v>
      </c>
    </row>
    <row r="58" spans="1:9" x14ac:dyDescent="0.3">
      <c r="A58" t="s">
        <v>93</v>
      </c>
      <c r="B58" t="s">
        <v>94</v>
      </c>
      <c r="C58" t="s">
        <v>47</v>
      </c>
      <c r="D58" t="s">
        <v>76</v>
      </c>
      <c r="E58" s="13">
        <v>62281.24</v>
      </c>
      <c r="F58" s="14">
        <v>43272</v>
      </c>
      <c r="G58" s="15">
        <v>1</v>
      </c>
      <c r="H58" t="s">
        <v>35</v>
      </c>
      <c r="I58"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5F63A-7CA2-4F95-A06A-7B08F6D7F691}">
  <dimension ref="A1"/>
  <sheetViews>
    <sheetView workbookViewId="0">
      <selection activeCell="R11" sqref="R11"/>
    </sheetView>
  </sheetViews>
  <sheetFormatPr defaultRowHeight="14.2"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790C-F086-43BF-9634-ECA9E7FDD02F}">
  <dimension ref="A1:F13"/>
  <sheetViews>
    <sheetView workbookViewId="0">
      <selection activeCell="A11" sqref="A11"/>
    </sheetView>
  </sheetViews>
  <sheetFormatPr defaultColWidth="8.8984375" defaultRowHeight="14.2" x14ac:dyDescent="0.3"/>
  <cols>
    <col min="1" max="1" width="8.8984375" style="1" customWidth="1"/>
    <col min="2" max="2" width="21.8984375" style="1" customWidth="1"/>
    <col min="3" max="3" width="20.3984375" style="1" customWidth="1"/>
    <col min="4" max="4" width="36.3984375" style="1" customWidth="1"/>
    <col min="5" max="5" width="23.8984375" style="1" customWidth="1"/>
    <col min="6" max="6" width="76.8984375" style="1" customWidth="1"/>
    <col min="7" max="16384" width="8.8984375" style="1"/>
  </cols>
  <sheetData>
    <row r="1" spans="1:6" ht="28.8" x14ac:dyDescent="0.3">
      <c r="D1" s="2"/>
      <c r="F1" s="2" t="s">
        <v>0</v>
      </c>
    </row>
    <row r="3" spans="1:6" ht="57.55" x14ac:dyDescent="0.3">
      <c r="D3" s="2"/>
      <c r="F3" s="2" t="s">
        <v>1</v>
      </c>
    </row>
    <row r="9" spans="1:6" ht="14.5" x14ac:dyDescent="0.3">
      <c r="A9" s="3" t="s">
        <v>2</v>
      </c>
      <c r="B9" s="3" t="s">
        <v>3</v>
      </c>
      <c r="C9" s="3" t="s">
        <v>4</v>
      </c>
      <c r="D9" s="3" t="s">
        <v>5</v>
      </c>
      <c r="E9" s="3" t="s">
        <v>6</v>
      </c>
    </row>
    <row r="10" spans="1:6" ht="14.5" x14ac:dyDescent="0.3">
      <c r="A10" s="1" t="s">
        <v>7</v>
      </c>
      <c r="B10" s="1" t="s">
        <v>8</v>
      </c>
      <c r="C10" s="1" t="s">
        <v>9</v>
      </c>
      <c r="E10" s="1" t="s">
        <v>10</v>
      </c>
    </row>
    <row r="11" spans="1:6" x14ac:dyDescent="0.3">
      <c r="A11" s="4"/>
      <c r="B11" s="1" t="s">
        <v>11</v>
      </c>
      <c r="C11" s="1" t="s">
        <v>12</v>
      </c>
      <c r="E11" s="1" t="s">
        <v>13</v>
      </c>
    </row>
    <row r="12" spans="1:6" x14ac:dyDescent="0.3">
      <c r="A12" s="4" t="s">
        <v>14</v>
      </c>
      <c r="B12" s="1" t="s">
        <v>15</v>
      </c>
      <c r="C12" s="1" t="s">
        <v>16</v>
      </c>
      <c r="E12" s="1" t="s">
        <v>17</v>
      </c>
    </row>
    <row r="13" spans="1:6" x14ac:dyDescent="0.3">
      <c r="B13" s="1" t="s">
        <v>18</v>
      </c>
      <c r="C13" s="1" t="s">
        <v>19</v>
      </c>
      <c r="D13" s="1" t="s">
        <v>20</v>
      </c>
      <c r="E13" s="1" t="s">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730B-95FC-4A94-A35F-578D6BB495D2}">
  <dimension ref="A1"/>
  <sheetViews>
    <sheetView workbookViewId="0">
      <selection activeCell="H19" sqref="H19"/>
    </sheetView>
  </sheetViews>
  <sheetFormatPr defaultRowHeight="14.2"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7984-BEA6-48A4-9AE4-3FCE8D3D3947}">
  <dimension ref="A1:S364"/>
  <sheetViews>
    <sheetView topLeftCell="H333" zoomScaleNormal="100" workbookViewId="0">
      <selection activeCell="J352" sqref="J352"/>
    </sheetView>
  </sheetViews>
  <sheetFormatPr defaultColWidth="8.8984375" defaultRowHeight="14.2" x14ac:dyDescent="0.3"/>
  <cols>
    <col min="1" max="1" width="9.09765625" style="5" customWidth="1"/>
    <col min="2" max="2" width="25.796875" style="5" customWidth="1"/>
    <col min="3" max="3" width="9.296875" style="5" customWidth="1"/>
    <col min="4" max="4" width="23.19921875" style="5" customWidth="1"/>
    <col min="5" max="5" width="12.19921875" style="5" customWidth="1"/>
    <col min="6" max="6" width="11.59765625" style="5" customWidth="1"/>
    <col min="7" max="7" width="10.296875" style="5" customWidth="1"/>
    <col min="8" max="8" width="15.59765625" style="5" customWidth="1"/>
    <col min="9" max="9" width="20.8984375" style="5" customWidth="1"/>
    <col min="10" max="10" width="35.69921875" style="5" customWidth="1"/>
    <col min="11" max="11" width="52" style="1" customWidth="1"/>
    <col min="12" max="12" width="30.796875" style="1" customWidth="1"/>
    <col min="13" max="13" width="54" style="1" customWidth="1"/>
    <col min="14" max="14" width="58" style="1" customWidth="1"/>
    <col min="15" max="15" width="61.19921875" style="1" customWidth="1"/>
    <col min="16" max="16" width="11.296875" style="72" customWidth="1"/>
    <col min="17" max="17" width="4" style="1" customWidth="1"/>
    <col min="18" max="18" width="13.296875" style="5" customWidth="1"/>
    <col min="19" max="19" width="20.8984375" style="5" customWidth="1"/>
    <col min="20" max="20" width="21.8984375" style="5" customWidth="1"/>
    <col min="21" max="16384" width="8.8984375" style="5"/>
  </cols>
  <sheetData>
    <row r="1" spans="1:15" ht="14.5" x14ac:dyDescent="0.3">
      <c r="A1" s="62" t="s">
        <v>22</v>
      </c>
      <c r="B1" s="63" t="s">
        <v>23</v>
      </c>
      <c r="C1" s="63" t="s">
        <v>24</v>
      </c>
      <c r="D1" s="63" t="s">
        <v>25</v>
      </c>
      <c r="E1" s="63" t="s">
        <v>26</v>
      </c>
      <c r="F1" s="63" t="s">
        <v>27</v>
      </c>
      <c r="G1" s="63" t="s">
        <v>28</v>
      </c>
      <c r="H1" s="63" t="s">
        <v>29</v>
      </c>
      <c r="I1" s="64" t="s">
        <v>30</v>
      </c>
    </row>
    <row r="2" spans="1:15" ht="14.5" x14ac:dyDescent="0.3">
      <c r="A2" s="40" t="s">
        <v>550</v>
      </c>
      <c r="B2" s="8" t="s">
        <v>551</v>
      </c>
      <c r="C2" s="8" t="s">
        <v>47</v>
      </c>
      <c r="D2" s="8" t="s">
        <v>1064</v>
      </c>
      <c r="E2" s="17">
        <v>90697.67</v>
      </c>
      <c r="F2" s="18">
        <v>44221</v>
      </c>
      <c r="G2" s="8">
        <v>0.8</v>
      </c>
      <c r="H2" s="8" t="s">
        <v>35</v>
      </c>
      <c r="I2" s="41" t="s">
        <v>136</v>
      </c>
      <c r="K2" s="66" t="s">
        <v>37</v>
      </c>
      <c r="L2" s="66" t="s">
        <v>38</v>
      </c>
      <c r="M2" s="66" t="s">
        <v>989</v>
      </c>
      <c r="N2" s="66" t="s">
        <v>38</v>
      </c>
      <c r="O2" s="66" t="s">
        <v>39</v>
      </c>
    </row>
    <row r="3" spans="1:15" ht="14.5" x14ac:dyDescent="0.3">
      <c r="A3" s="40" t="s">
        <v>134</v>
      </c>
      <c r="B3" s="8" t="s">
        <v>135</v>
      </c>
      <c r="C3" s="8" t="s">
        <v>33</v>
      </c>
      <c r="D3" s="8" t="s">
        <v>57</v>
      </c>
      <c r="E3" s="17">
        <v>98000</v>
      </c>
      <c r="F3" s="18">
        <v>43710</v>
      </c>
      <c r="G3" s="8">
        <v>0.9</v>
      </c>
      <c r="H3" s="8" t="s">
        <v>35</v>
      </c>
      <c r="I3" s="41" t="s">
        <v>136</v>
      </c>
      <c r="K3" s="6" t="s">
        <v>43</v>
      </c>
      <c r="L3" s="6"/>
      <c r="M3" s="6" t="s">
        <v>44</v>
      </c>
      <c r="N3" s="6"/>
      <c r="O3" s="6"/>
    </row>
    <row r="4" spans="1:15" ht="14.5" x14ac:dyDescent="0.3">
      <c r="A4" s="40" t="s">
        <v>499</v>
      </c>
      <c r="B4" s="8" t="s">
        <v>500</v>
      </c>
      <c r="C4" s="8" t="s">
        <v>33</v>
      </c>
      <c r="D4" s="8" t="s">
        <v>48</v>
      </c>
      <c r="E4" s="17">
        <v>120000</v>
      </c>
      <c r="F4" s="18">
        <v>43893</v>
      </c>
      <c r="G4" s="8">
        <v>0.9</v>
      </c>
      <c r="H4" s="8" t="s">
        <v>35</v>
      </c>
      <c r="I4" s="41" t="s">
        <v>36</v>
      </c>
      <c r="K4" s="6" t="s">
        <v>50</v>
      </c>
      <c r="L4" s="6"/>
      <c r="M4" s="6"/>
      <c r="N4" s="6"/>
      <c r="O4" s="6"/>
    </row>
    <row r="5" spans="1:15" ht="14.5" x14ac:dyDescent="0.3">
      <c r="A5" s="40" t="s">
        <v>501</v>
      </c>
      <c r="B5" s="8" t="s">
        <v>502</v>
      </c>
      <c r="C5" s="8" t="s">
        <v>33</v>
      </c>
      <c r="D5" s="8" t="s">
        <v>81</v>
      </c>
      <c r="E5" s="17">
        <v>93128.34</v>
      </c>
      <c r="F5" s="18">
        <v>43900</v>
      </c>
      <c r="G5" s="8">
        <v>1</v>
      </c>
      <c r="H5" s="8" t="s">
        <v>504</v>
      </c>
      <c r="I5" s="41" t="s">
        <v>136</v>
      </c>
      <c r="K5" s="6" t="s">
        <v>54</v>
      </c>
      <c r="L5" s="6"/>
      <c r="M5" s="6"/>
      <c r="N5" s="6"/>
      <c r="O5" s="6"/>
    </row>
    <row r="6" spans="1:15" ht="14.5" x14ac:dyDescent="0.3">
      <c r="A6" s="40" t="s">
        <v>505</v>
      </c>
      <c r="B6" s="8" t="s">
        <v>506</v>
      </c>
      <c r="C6" s="8" t="s">
        <v>33</v>
      </c>
      <c r="D6" s="8" t="s">
        <v>81</v>
      </c>
      <c r="E6" s="17">
        <v>57002.02</v>
      </c>
      <c r="F6" s="18">
        <v>43192</v>
      </c>
      <c r="G6" s="8">
        <v>0.7</v>
      </c>
      <c r="H6" s="8" t="s">
        <v>35</v>
      </c>
      <c r="I6" s="41" t="s">
        <v>102</v>
      </c>
      <c r="K6" s="6" t="s">
        <v>59</v>
      </c>
      <c r="L6" s="6" t="s">
        <v>60</v>
      </c>
      <c r="M6" s="6" t="s">
        <v>61</v>
      </c>
      <c r="N6" s="6"/>
      <c r="O6" s="6"/>
    </row>
    <row r="7" spans="1:15" ht="57.55" x14ac:dyDescent="0.3">
      <c r="A7" s="40" t="s">
        <v>508</v>
      </c>
      <c r="B7" s="8" t="s">
        <v>509</v>
      </c>
      <c r="C7" s="8" t="s">
        <v>47</v>
      </c>
      <c r="D7" s="8" t="s">
        <v>53</v>
      </c>
      <c r="E7" s="17">
        <v>118976.16</v>
      </c>
      <c r="F7" s="18" t="s">
        <v>510</v>
      </c>
      <c r="G7" s="8">
        <v>1</v>
      </c>
      <c r="H7" s="8" t="s">
        <v>35</v>
      </c>
      <c r="I7" s="41" t="s">
        <v>82</v>
      </c>
      <c r="K7" s="6" t="s">
        <v>62</v>
      </c>
      <c r="L7" s="6" t="s">
        <v>63</v>
      </c>
      <c r="M7" s="6" t="s">
        <v>64</v>
      </c>
      <c r="N7" s="6" t="s">
        <v>63</v>
      </c>
      <c r="O7" s="6" t="s">
        <v>65</v>
      </c>
    </row>
    <row r="8" spans="1:15" ht="28.8" x14ac:dyDescent="0.3">
      <c r="A8" s="40" t="s">
        <v>142</v>
      </c>
      <c r="B8" s="8" t="s">
        <v>143</v>
      </c>
      <c r="C8" s="8"/>
      <c r="D8" s="8" t="s">
        <v>34</v>
      </c>
      <c r="E8" s="17">
        <v>104802.63</v>
      </c>
      <c r="F8" s="18">
        <v>44502</v>
      </c>
      <c r="G8" s="8">
        <v>1</v>
      </c>
      <c r="H8" s="8" t="s">
        <v>35</v>
      </c>
      <c r="I8" s="41" t="s">
        <v>102</v>
      </c>
      <c r="K8" s="6"/>
      <c r="L8" s="6"/>
      <c r="M8" s="6" t="s">
        <v>67</v>
      </c>
      <c r="N8" s="6" t="s">
        <v>68</v>
      </c>
      <c r="O8" s="7" t="s">
        <v>988</v>
      </c>
    </row>
    <row r="9" spans="1:15" ht="28.8" x14ac:dyDescent="0.3">
      <c r="A9" s="40" t="s">
        <v>511</v>
      </c>
      <c r="B9" s="8" t="s">
        <v>512</v>
      </c>
      <c r="C9" s="8" t="s">
        <v>33</v>
      </c>
      <c r="D9" s="8" t="s">
        <v>92</v>
      </c>
      <c r="E9" s="17">
        <v>66017.179999999993</v>
      </c>
      <c r="F9" s="18">
        <v>43643</v>
      </c>
      <c r="G9" s="8">
        <v>0.9</v>
      </c>
      <c r="H9" s="8" t="s">
        <v>35</v>
      </c>
      <c r="I9" s="41" t="s">
        <v>36</v>
      </c>
      <c r="K9" s="6"/>
      <c r="L9" s="6"/>
      <c r="M9" s="6" t="s">
        <v>72</v>
      </c>
      <c r="N9" s="6" t="s">
        <v>73</v>
      </c>
      <c r="O9" s="6"/>
    </row>
    <row r="10" spans="1:15" ht="43.25" x14ac:dyDescent="0.3">
      <c r="A10" s="40" t="s">
        <v>513</v>
      </c>
      <c r="B10" s="8" t="s">
        <v>514</v>
      </c>
      <c r="C10" s="8" t="s">
        <v>47</v>
      </c>
      <c r="D10" s="8" t="s">
        <v>76</v>
      </c>
      <c r="E10" s="17">
        <v>74279.009999999995</v>
      </c>
      <c r="F10" s="18">
        <v>43466</v>
      </c>
      <c r="G10" s="18">
        <v>1</v>
      </c>
      <c r="H10" s="8" t="s">
        <v>35</v>
      </c>
      <c r="I10" s="41" t="s">
        <v>82</v>
      </c>
      <c r="K10" s="6"/>
      <c r="L10" s="6"/>
      <c r="M10" s="6" t="s">
        <v>990</v>
      </c>
      <c r="N10" s="6" t="s">
        <v>991</v>
      </c>
      <c r="O10" s="6" t="s">
        <v>995</v>
      </c>
    </row>
    <row r="11" spans="1:15" ht="14.5" x14ac:dyDescent="0.3">
      <c r="A11" s="40" t="s">
        <v>161</v>
      </c>
      <c r="B11" s="8" t="s">
        <v>162</v>
      </c>
      <c r="C11" s="8" t="s">
        <v>33</v>
      </c>
      <c r="D11" s="8" t="s">
        <v>57</v>
      </c>
      <c r="E11" s="17">
        <v>68980.52</v>
      </c>
      <c r="F11" s="18">
        <v>43494</v>
      </c>
      <c r="G11" s="8">
        <v>0.8</v>
      </c>
      <c r="H11" s="8" t="s">
        <v>35</v>
      </c>
      <c r="I11" s="41" t="s">
        <v>36</v>
      </c>
      <c r="K11" s="6"/>
      <c r="L11" s="6"/>
      <c r="M11" s="6" t="s">
        <v>992</v>
      </c>
      <c r="N11" s="7" t="s">
        <v>993</v>
      </c>
      <c r="O11" s="6"/>
    </row>
    <row r="12" spans="1:15" ht="43.25" x14ac:dyDescent="0.3">
      <c r="A12" s="40" t="s">
        <v>515</v>
      </c>
      <c r="B12" s="8" t="s">
        <v>516</v>
      </c>
      <c r="C12" s="8" t="s">
        <v>33</v>
      </c>
      <c r="D12" s="8" t="s">
        <v>48</v>
      </c>
      <c r="E12" s="17">
        <v>42314.39</v>
      </c>
      <c r="F12" s="18" t="s">
        <v>517</v>
      </c>
      <c r="G12" s="8">
        <v>1</v>
      </c>
      <c r="H12" s="8" t="s">
        <v>504</v>
      </c>
      <c r="I12" s="41" t="s">
        <v>36</v>
      </c>
      <c r="K12" s="6"/>
      <c r="L12" s="6"/>
      <c r="M12" s="7" t="s">
        <v>999</v>
      </c>
      <c r="N12" s="7" t="s">
        <v>998</v>
      </c>
      <c r="O12" s="6" t="s">
        <v>996</v>
      </c>
    </row>
    <row r="13" spans="1:15" ht="43.25" x14ac:dyDescent="0.3">
      <c r="A13" s="40" t="s">
        <v>518</v>
      </c>
      <c r="B13" s="8" t="s">
        <v>519</v>
      </c>
      <c r="C13" s="8" t="s">
        <v>33</v>
      </c>
      <c r="D13" s="8" t="s">
        <v>53</v>
      </c>
      <c r="E13" s="17">
        <v>114425.19</v>
      </c>
      <c r="F13" s="18" t="s">
        <v>520</v>
      </c>
      <c r="G13" s="8">
        <v>1</v>
      </c>
      <c r="H13" s="8" t="s">
        <v>35</v>
      </c>
      <c r="I13" s="41" t="s">
        <v>82</v>
      </c>
      <c r="K13" s="6"/>
      <c r="L13" s="6"/>
      <c r="M13" s="75" t="s">
        <v>1000</v>
      </c>
      <c r="N13" s="7" t="s">
        <v>1001</v>
      </c>
      <c r="O13" s="6" t="s">
        <v>994</v>
      </c>
    </row>
    <row r="14" spans="1:15" ht="14.5" x14ac:dyDescent="0.3">
      <c r="A14" s="40" t="s">
        <v>159</v>
      </c>
      <c r="B14" s="8" t="s">
        <v>160</v>
      </c>
      <c r="C14" s="8" t="s">
        <v>33</v>
      </c>
      <c r="D14" s="8" t="s">
        <v>57</v>
      </c>
      <c r="E14" s="17">
        <v>69192.850000000006</v>
      </c>
      <c r="F14" s="18" t="s">
        <v>521</v>
      </c>
      <c r="G14" s="8">
        <v>1</v>
      </c>
      <c r="H14" s="8" t="s">
        <v>35</v>
      </c>
      <c r="I14" s="41" t="s">
        <v>58</v>
      </c>
      <c r="K14" s="6"/>
      <c r="L14" s="6"/>
      <c r="M14" s="75"/>
      <c r="N14" s="7" t="s">
        <v>1007</v>
      </c>
      <c r="O14" s="6"/>
    </row>
    <row r="15" spans="1:15" ht="28.8" x14ac:dyDescent="0.3">
      <c r="A15" s="40" t="s">
        <v>522</v>
      </c>
      <c r="B15" s="8" t="s">
        <v>523</v>
      </c>
      <c r="C15" s="8" t="s">
        <v>47</v>
      </c>
      <c r="D15" s="8" t="s">
        <v>34</v>
      </c>
      <c r="E15" s="17">
        <v>61214.26</v>
      </c>
      <c r="F15" s="18" t="s">
        <v>524</v>
      </c>
      <c r="G15" s="8">
        <v>1</v>
      </c>
      <c r="H15" s="8" t="s">
        <v>525</v>
      </c>
      <c r="I15" s="41" t="s">
        <v>71</v>
      </c>
      <c r="K15" s="6"/>
      <c r="L15" s="6"/>
      <c r="M15" s="75"/>
      <c r="N15" s="7" t="s">
        <v>1015</v>
      </c>
      <c r="O15" s="6" t="s">
        <v>1014</v>
      </c>
    </row>
    <row r="16" spans="1:15" ht="43.25" x14ac:dyDescent="0.3">
      <c r="A16" s="40" t="s">
        <v>526</v>
      </c>
      <c r="B16" s="8" t="s">
        <v>527</v>
      </c>
      <c r="C16" s="8" t="s">
        <v>47</v>
      </c>
      <c r="D16" s="8" t="s">
        <v>34</v>
      </c>
      <c r="E16" s="17">
        <v>54137.05</v>
      </c>
      <c r="F16" s="18" t="s">
        <v>528</v>
      </c>
      <c r="G16" s="8">
        <v>1</v>
      </c>
      <c r="H16" s="8" t="s">
        <v>35</v>
      </c>
      <c r="I16" s="41" t="s">
        <v>36</v>
      </c>
      <c r="K16" s="6"/>
      <c r="L16" s="6"/>
      <c r="M16" s="75"/>
      <c r="N16" s="7" t="s">
        <v>1017</v>
      </c>
      <c r="O16" s="6" t="s">
        <v>1018</v>
      </c>
    </row>
    <row r="17" spans="1:19" ht="43.25" x14ac:dyDescent="0.3">
      <c r="A17" s="40" t="s">
        <v>529</v>
      </c>
      <c r="B17" s="8" t="s">
        <v>530</v>
      </c>
      <c r="C17" s="8" t="s">
        <v>33</v>
      </c>
      <c r="D17" s="8" t="s">
        <v>81</v>
      </c>
      <c r="E17" s="17">
        <v>37902.35</v>
      </c>
      <c r="F17" s="18" t="s">
        <v>531</v>
      </c>
      <c r="G17" s="8">
        <v>1</v>
      </c>
      <c r="H17" s="8" t="s">
        <v>35</v>
      </c>
      <c r="I17" s="41" t="s">
        <v>49</v>
      </c>
      <c r="K17" s="6"/>
      <c r="L17" s="6"/>
      <c r="M17" s="6"/>
      <c r="N17" s="7" t="s">
        <v>1521</v>
      </c>
      <c r="O17" s="7" t="s">
        <v>1520</v>
      </c>
    </row>
    <row r="18" spans="1:19" ht="43.25" x14ac:dyDescent="0.3">
      <c r="A18" s="40" t="s">
        <v>532</v>
      </c>
      <c r="B18" s="8" t="s">
        <v>533</v>
      </c>
      <c r="C18" s="8" t="s">
        <v>47</v>
      </c>
      <c r="D18" s="8" t="s">
        <v>53</v>
      </c>
      <c r="E18" s="17">
        <v>39969.72</v>
      </c>
      <c r="F18" s="18" t="s">
        <v>534</v>
      </c>
      <c r="G18" s="8">
        <v>1</v>
      </c>
      <c r="H18" s="8" t="s">
        <v>525</v>
      </c>
      <c r="I18" s="41" t="s">
        <v>58</v>
      </c>
      <c r="K18" s="6"/>
      <c r="L18" s="6"/>
      <c r="M18" s="6"/>
      <c r="N18" s="7" t="s">
        <v>1523</v>
      </c>
      <c r="O18" s="7" t="s">
        <v>1524</v>
      </c>
    </row>
    <row r="19" spans="1:19" ht="14.5" x14ac:dyDescent="0.3">
      <c r="A19" s="40" t="s">
        <v>535</v>
      </c>
      <c r="B19" s="8" t="s">
        <v>536</v>
      </c>
      <c r="C19" s="8" t="s">
        <v>47</v>
      </c>
      <c r="D19" s="8" t="s">
        <v>48</v>
      </c>
      <c r="E19" s="17">
        <v>69913.39</v>
      </c>
      <c r="F19" s="18">
        <v>43584</v>
      </c>
      <c r="G19" s="8">
        <v>1</v>
      </c>
      <c r="H19" s="8" t="s">
        <v>35</v>
      </c>
      <c r="I19" s="41" t="s">
        <v>36</v>
      </c>
      <c r="K19" s="6"/>
      <c r="L19" s="6"/>
      <c r="M19" s="6"/>
      <c r="N19" s="7"/>
      <c r="O19" s="7"/>
    </row>
    <row r="20" spans="1:19" ht="14.5" x14ac:dyDescent="0.3">
      <c r="A20" s="40" t="s">
        <v>537</v>
      </c>
      <c r="B20" s="8" t="s">
        <v>538</v>
      </c>
      <c r="C20" s="8" t="s">
        <v>47</v>
      </c>
      <c r="D20" s="8" t="s">
        <v>76</v>
      </c>
      <c r="E20" s="17">
        <v>52748.63</v>
      </c>
      <c r="F20" s="18" t="s">
        <v>520</v>
      </c>
      <c r="G20" s="8">
        <v>1</v>
      </c>
      <c r="H20" s="8" t="s">
        <v>35</v>
      </c>
      <c r="I20" s="41" t="s">
        <v>49</v>
      </c>
      <c r="K20" s="6"/>
      <c r="L20" s="6"/>
      <c r="M20" s="6"/>
      <c r="N20" s="7"/>
      <c r="O20" s="7"/>
    </row>
    <row r="21" spans="1:19" ht="14.5" x14ac:dyDescent="0.3">
      <c r="A21" s="40" t="s">
        <v>100</v>
      </c>
      <c r="B21" s="8" t="s">
        <v>101</v>
      </c>
      <c r="C21" s="8" t="s">
        <v>47</v>
      </c>
      <c r="D21" s="8" t="s">
        <v>85</v>
      </c>
      <c r="E21" s="17">
        <v>50310.09</v>
      </c>
      <c r="F21" s="18">
        <v>44285</v>
      </c>
      <c r="G21" s="8">
        <v>0.4</v>
      </c>
      <c r="H21" s="8" t="s">
        <v>35</v>
      </c>
      <c r="I21" s="41" t="s">
        <v>102</v>
      </c>
      <c r="K21" s="6"/>
      <c r="L21" s="6"/>
      <c r="M21" s="6"/>
      <c r="N21" s="7"/>
      <c r="O21" s="7"/>
    </row>
    <row r="22" spans="1:19" ht="14.5" x14ac:dyDescent="0.3">
      <c r="A22" s="40" t="s">
        <v>97</v>
      </c>
      <c r="B22" s="8" t="s">
        <v>98</v>
      </c>
      <c r="C22" s="8" t="s">
        <v>47</v>
      </c>
      <c r="D22" s="8" t="s">
        <v>99</v>
      </c>
      <c r="E22" s="17">
        <v>52963.65</v>
      </c>
      <c r="F22" s="18">
        <v>44288</v>
      </c>
      <c r="G22" s="8">
        <v>0.3</v>
      </c>
      <c r="H22" s="8" t="s">
        <v>35</v>
      </c>
      <c r="I22" s="41" t="s">
        <v>58</v>
      </c>
      <c r="K22" s="2"/>
      <c r="L22" s="2"/>
      <c r="M22" s="2"/>
      <c r="N22" s="70"/>
      <c r="O22" s="70"/>
      <c r="P22" s="108"/>
      <c r="Q22" s="71"/>
      <c r="R22" s="106"/>
      <c r="S22" s="106"/>
    </row>
    <row r="23" spans="1:19" ht="14.5" x14ac:dyDescent="0.3">
      <c r="A23" s="40" t="s">
        <v>95</v>
      </c>
      <c r="B23" s="8" t="s">
        <v>96</v>
      </c>
      <c r="C23" s="8" t="s">
        <v>47</v>
      </c>
      <c r="D23" s="8" t="s">
        <v>42</v>
      </c>
      <c r="E23" s="17">
        <v>62195.47</v>
      </c>
      <c r="F23" s="18" t="s">
        <v>539</v>
      </c>
      <c r="G23" s="8">
        <v>1</v>
      </c>
      <c r="H23" s="8" t="s">
        <v>35</v>
      </c>
      <c r="I23" s="41" t="s">
        <v>36</v>
      </c>
      <c r="K23" s="2"/>
      <c r="L23" s="2"/>
      <c r="M23" s="2"/>
      <c r="N23" s="70"/>
      <c r="O23" s="70"/>
    </row>
    <row r="24" spans="1:19" ht="14.5" x14ac:dyDescent="0.3">
      <c r="A24" s="40" t="s">
        <v>540</v>
      </c>
      <c r="B24" s="8" t="s">
        <v>541</v>
      </c>
      <c r="C24" s="8" t="s">
        <v>47</v>
      </c>
      <c r="D24" s="8" t="s">
        <v>53</v>
      </c>
      <c r="E24" s="17">
        <v>43329.22</v>
      </c>
      <c r="F24" s="18">
        <v>43809</v>
      </c>
      <c r="G24" s="8">
        <v>0.5</v>
      </c>
      <c r="H24" s="8" t="s">
        <v>504</v>
      </c>
      <c r="I24" s="41" t="s">
        <v>36</v>
      </c>
      <c r="K24" s="2"/>
      <c r="L24" s="2"/>
      <c r="M24" s="2"/>
      <c r="N24" s="70"/>
      <c r="O24" s="2"/>
    </row>
    <row r="25" spans="1:19" ht="14.5" x14ac:dyDescent="0.3">
      <c r="A25" s="40" t="s">
        <v>542</v>
      </c>
      <c r="B25" s="8" t="s">
        <v>543</v>
      </c>
      <c r="C25" s="8" t="s">
        <v>33</v>
      </c>
      <c r="D25" s="8" t="s">
        <v>81</v>
      </c>
      <c r="E25" s="17">
        <v>71570.990000000005</v>
      </c>
      <c r="F25" s="18" t="s">
        <v>544</v>
      </c>
      <c r="G25" s="8">
        <v>0.5</v>
      </c>
      <c r="H25" s="8" t="s">
        <v>35</v>
      </c>
      <c r="I25" s="41" t="s">
        <v>102</v>
      </c>
      <c r="J25" s="80" t="s">
        <v>1009</v>
      </c>
    </row>
    <row r="26" spans="1:19" ht="28.8" x14ac:dyDescent="0.3">
      <c r="A26" s="40" t="s">
        <v>545</v>
      </c>
      <c r="B26" s="8" t="s">
        <v>546</v>
      </c>
      <c r="C26" s="8"/>
      <c r="D26" s="8" t="s">
        <v>81</v>
      </c>
      <c r="E26" s="17">
        <v>78840.23</v>
      </c>
      <c r="F26" s="18">
        <v>43633</v>
      </c>
      <c r="G26" s="8">
        <v>1</v>
      </c>
      <c r="H26" s="8" t="s">
        <v>525</v>
      </c>
      <c r="I26" s="41" t="s">
        <v>36</v>
      </c>
      <c r="J26" s="80" t="s">
        <v>1006</v>
      </c>
      <c r="K26" s="66" t="s">
        <v>2</v>
      </c>
      <c r="L26" s="66" t="s">
        <v>3</v>
      </c>
      <c r="M26" s="66" t="s">
        <v>4</v>
      </c>
      <c r="N26" s="66" t="s">
        <v>6</v>
      </c>
      <c r="O26" s="105" t="s">
        <v>5</v>
      </c>
    </row>
    <row r="27" spans="1:19" ht="14.5" x14ac:dyDescent="0.3">
      <c r="A27" s="40" t="s">
        <v>167</v>
      </c>
      <c r="B27" s="8" t="s">
        <v>168</v>
      </c>
      <c r="C27" s="8" t="s">
        <v>33</v>
      </c>
      <c r="D27" s="8" t="s">
        <v>85</v>
      </c>
      <c r="E27" s="17">
        <v>61994.76</v>
      </c>
      <c r="F27" s="18">
        <v>43794</v>
      </c>
      <c r="G27" s="8">
        <v>0.3</v>
      </c>
      <c r="H27" s="8" t="s">
        <v>35</v>
      </c>
      <c r="I27" s="41" t="s">
        <v>102</v>
      </c>
      <c r="K27" s="8" t="s">
        <v>7</v>
      </c>
      <c r="L27" s="8" t="s">
        <v>8</v>
      </c>
      <c r="M27" s="8" t="s">
        <v>9</v>
      </c>
      <c r="N27" s="8" t="s">
        <v>10</v>
      </c>
      <c r="O27" s="41"/>
    </row>
    <row r="28" spans="1:19" ht="14.5" x14ac:dyDescent="0.3">
      <c r="A28" s="40" t="s">
        <v>122</v>
      </c>
      <c r="B28" s="8" t="s">
        <v>123</v>
      </c>
      <c r="C28" s="8" t="s">
        <v>33</v>
      </c>
      <c r="D28" s="8" t="s">
        <v>48</v>
      </c>
      <c r="E28" s="17">
        <v>89690.38</v>
      </c>
      <c r="F28" s="18">
        <v>43206</v>
      </c>
      <c r="G28" s="8">
        <v>1</v>
      </c>
      <c r="H28" s="8" t="s">
        <v>35</v>
      </c>
      <c r="I28" s="41" t="s">
        <v>82</v>
      </c>
      <c r="K28" s="8"/>
      <c r="L28" s="8" t="s">
        <v>11</v>
      </c>
      <c r="M28" s="8" t="s">
        <v>12</v>
      </c>
      <c r="N28" s="8" t="s">
        <v>13</v>
      </c>
      <c r="O28" s="41"/>
    </row>
    <row r="29" spans="1:19" ht="14.5" x14ac:dyDescent="0.3">
      <c r="A29" s="40" t="s">
        <v>139</v>
      </c>
      <c r="B29" s="8" t="s">
        <v>140</v>
      </c>
      <c r="C29" s="8" t="s">
        <v>47</v>
      </c>
      <c r="D29" s="8" t="s">
        <v>141</v>
      </c>
      <c r="E29" s="17">
        <v>104335.03999999999</v>
      </c>
      <c r="F29" s="18">
        <v>43874</v>
      </c>
      <c r="G29" s="8">
        <v>1</v>
      </c>
      <c r="H29" s="8" t="s">
        <v>35</v>
      </c>
      <c r="I29" s="41" t="s">
        <v>58</v>
      </c>
      <c r="K29" s="8" t="s">
        <v>14</v>
      </c>
      <c r="L29" s="8" t="s">
        <v>15</v>
      </c>
      <c r="M29" s="8" t="s">
        <v>16</v>
      </c>
      <c r="N29" s="8" t="s">
        <v>17</v>
      </c>
      <c r="O29" s="41"/>
    </row>
    <row r="30" spans="1:19" ht="14.5" x14ac:dyDescent="0.3">
      <c r="A30" s="40" t="s">
        <v>547</v>
      </c>
      <c r="B30" s="8" t="s">
        <v>548</v>
      </c>
      <c r="C30" s="8" t="s">
        <v>47</v>
      </c>
      <c r="D30" s="8" t="s">
        <v>99</v>
      </c>
      <c r="E30" s="17">
        <v>52246.29</v>
      </c>
      <c r="F30" s="18" t="s">
        <v>549</v>
      </c>
      <c r="G30" s="8">
        <v>1</v>
      </c>
      <c r="H30" s="8" t="s">
        <v>525</v>
      </c>
      <c r="I30" s="41" t="s">
        <v>82</v>
      </c>
      <c r="K30" s="8"/>
      <c r="L30" s="8" t="s">
        <v>18</v>
      </c>
      <c r="M30" s="8" t="s">
        <v>19</v>
      </c>
      <c r="N30" s="8" t="s">
        <v>21</v>
      </c>
      <c r="O30" s="41" t="s">
        <v>20</v>
      </c>
    </row>
    <row r="31" spans="1:19" ht="14.5" x14ac:dyDescent="0.3">
      <c r="A31" s="40" t="s">
        <v>550</v>
      </c>
      <c r="B31" s="8" t="s">
        <v>551</v>
      </c>
      <c r="C31" s="8" t="s">
        <v>47</v>
      </c>
      <c r="D31" s="8" t="s">
        <v>1064</v>
      </c>
      <c r="E31" s="17">
        <v>90697.67</v>
      </c>
      <c r="F31" s="18">
        <v>44221</v>
      </c>
      <c r="G31" s="8">
        <v>0.8</v>
      </c>
      <c r="H31" s="8" t="s">
        <v>35</v>
      </c>
      <c r="I31" s="41" t="s">
        <v>136</v>
      </c>
      <c r="K31" s="8" t="s">
        <v>109</v>
      </c>
      <c r="L31" s="8"/>
      <c r="M31" s="8" t="s">
        <v>110</v>
      </c>
      <c r="N31" s="8" t="s">
        <v>111</v>
      </c>
      <c r="O31" s="41"/>
    </row>
    <row r="32" spans="1:19" ht="14.5" x14ac:dyDescent="0.3">
      <c r="A32" s="40" t="s">
        <v>552</v>
      </c>
      <c r="B32" s="8" t="s">
        <v>553</v>
      </c>
      <c r="C32" s="8" t="s">
        <v>47</v>
      </c>
      <c r="D32" s="8" t="s">
        <v>57</v>
      </c>
      <c r="E32" s="17">
        <v>90884.32</v>
      </c>
      <c r="F32" s="18" t="s">
        <v>554</v>
      </c>
      <c r="G32" s="8">
        <v>1</v>
      </c>
      <c r="H32" s="8" t="s">
        <v>35</v>
      </c>
      <c r="I32" s="41" t="s">
        <v>58</v>
      </c>
    </row>
    <row r="33" spans="1:19" ht="14.5" x14ac:dyDescent="0.3">
      <c r="A33" s="40" t="s">
        <v>555</v>
      </c>
      <c r="B33" s="8" t="s">
        <v>556</v>
      </c>
      <c r="C33" s="8" t="s">
        <v>47</v>
      </c>
      <c r="D33" s="8" t="s">
        <v>85</v>
      </c>
      <c r="E33" s="17">
        <v>76320.44</v>
      </c>
      <c r="F33" s="18">
        <v>44383</v>
      </c>
      <c r="G33" s="8">
        <v>0.8</v>
      </c>
      <c r="H33" s="8" t="s">
        <v>525</v>
      </c>
      <c r="I33" s="41" t="s">
        <v>36</v>
      </c>
      <c r="L33" s="65"/>
    </row>
    <row r="34" spans="1:19" ht="14.5" x14ac:dyDescent="0.3">
      <c r="A34" s="40" t="s">
        <v>557</v>
      </c>
      <c r="B34" s="8" t="s">
        <v>558</v>
      </c>
      <c r="C34" s="8" t="s">
        <v>47</v>
      </c>
      <c r="D34" s="8" t="s">
        <v>57</v>
      </c>
      <c r="E34" s="17">
        <v>73360.38</v>
      </c>
      <c r="F34" s="18">
        <v>43972</v>
      </c>
      <c r="G34" s="8">
        <v>1</v>
      </c>
      <c r="H34" s="8" t="s">
        <v>525</v>
      </c>
      <c r="I34" s="41" t="s">
        <v>36</v>
      </c>
      <c r="K34" s="78" t="s">
        <v>1010</v>
      </c>
    </row>
    <row r="35" spans="1:19" ht="14.5" x14ac:dyDescent="0.3">
      <c r="A35" s="40" t="s">
        <v>550</v>
      </c>
      <c r="B35" s="8" t="s">
        <v>551</v>
      </c>
      <c r="C35" s="8" t="s">
        <v>47</v>
      </c>
      <c r="D35" s="8" t="s">
        <v>1064</v>
      </c>
      <c r="E35" s="17">
        <v>90697.67</v>
      </c>
      <c r="F35" s="18">
        <v>44221</v>
      </c>
      <c r="G35" s="8">
        <v>0.8</v>
      </c>
      <c r="H35" s="8" t="s">
        <v>35</v>
      </c>
      <c r="I35" s="41" t="s">
        <v>136</v>
      </c>
      <c r="K35" s="67" t="str" cm="1">
        <f t="array" ref="K35:S35">Table3[#Headers]</f>
        <v>Emp ID</v>
      </c>
      <c r="L35" s="67" t="str">
        <v>Name</v>
      </c>
      <c r="M35" s="67" t="str">
        <v>Gender</v>
      </c>
      <c r="N35" s="67" t="str">
        <v>Department</v>
      </c>
      <c r="O35" s="67" t="str">
        <v>Salary</v>
      </c>
      <c r="P35" s="109" t="str">
        <v>Start Date</v>
      </c>
      <c r="Q35" s="67" t="str">
        <v>FTE</v>
      </c>
      <c r="R35" s="68" t="str">
        <v>Employee type</v>
      </c>
      <c r="S35" s="68" t="str">
        <v>Work location</v>
      </c>
    </row>
    <row r="36" spans="1:19" ht="14.5" x14ac:dyDescent="0.3">
      <c r="A36" s="40" t="s">
        <v>171</v>
      </c>
      <c r="B36" s="8" t="s">
        <v>172</v>
      </c>
      <c r="C36" s="8" t="s">
        <v>33</v>
      </c>
      <c r="D36" s="8" t="s">
        <v>76</v>
      </c>
      <c r="E36" s="17">
        <v>50449.46</v>
      </c>
      <c r="F36" s="18" t="s">
        <v>561</v>
      </c>
      <c r="G36" s="8">
        <v>0.8</v>
      </c>
      <c r="H36" s="8" t="s">
        <v>35</v>
      </c>
      <c r="I36" s="41" t="s">
        <v>71</v>
      </c>
      <c r="K36" s="8" t="str" cm="1">
        <f t="array" ref="K36:S77">_xlfn._xlws.FILTER(Table3[],Table3[Salary]&gt;100000)</f>
        <v>SQ04612</v>
      </c>
      <c r="L36" s="8" t="str">
        <v>Mick Spraberry</v>
      </c>
      <c r="M36" s="8" t="str">
        <v>Female</v>
      </c>
      <c r="N36" s="8" t="str">
        <v>Services</v>
      </c>
      <c r="O36" s="8">
        <v>120000</v>
      </c>
      <c r="P36" s="18">
        <v>43893</v>
      </c>
      <c r="Q36" s="8">
        <v>0.9</v>
      </c>
      <c r="R36" s="9" t="str">
        <v>Permanent</v>
      </c>
      <c r="S36" s="9" t="str">
        <v>Remote</v>
      </c>
    </row>
    <row r="37" spans="1:19" ht="14.5" x14ac:dyDescent="0.3">
      <c r="A37" s="40" t="s">
        <v>562</v>
      </c>
      <c r="B37" s="8" t="s">
        <v>563</v>
      </c>
      <c r="C37" s="8" t="s">
        <v>47</v>
      </c>
      <c r="D37" s="8" t="s">
        <v>81</v>
      </c>
      <c r="E37" s="17">
        <v>53949.26</v>
      </c>
      <c r="F37" s="18">
        <v>43808</v>
      </c>
      <c r="G37" s="8">
        <v>1</v>
      </c>
      <c r="H37" s="8" t="s">
        <v>525</v>
      </c>
      <c r="I37" s="41" t="s">
        <v>58</v>
      </c>
      <c r="K37" s="8" t="str">
        <v>SQ00144</v>
      </c>
      <c r="L37" s="8" t="str">
        <v>Collen Dunbleton</v>
      </c>
      <c r="M37" s="8" t="str">
        <v>Male</v>
      </c>
      <c r="N37" s="8" t="str">
        <v>Engineering</v>
      </c>
      <c r="O37" s="8">
        <v>118976.16</v>
      </c>
      <c r="P37" s="18" t="str">
        <v>Oct 16, 2020</v>
      </c>
      <c r="Q37" s="8">
        <v>1</v>
      </c>
      <c r="R37" s="9" t="str">
        <v>Permanent</v>
      </c>
      <c r="S37" s="9" t="str">
        <v>Wellington, New Zealand</v>
      </c>
    </row>
    <row r="38" spans="1:19" ht="14.5" x14ac:dyDescent="0.3">
      <c r="A38" s="40" t="s">
        <v>564</v>
      </c>
      <c r="B38" s="8" t="s">
        <v>565</v>
      </c>
      <c r="C38" s="8" t="s">
        <v>47</v>
      </c>
      <c r="D38" s="8" t="s">
        <v>1064</v>
      </c>
      <c r="E38" s="17">
        <v>113616.23</v>
      </c>
      <c r="F38" s="18">
        <v>43255</v>
      </c>
      <c r="G38" s="8">
        <v>1</v>
      </c>
      <c r="H38" s="8" t="s">
        <v>35</v>
      </c>
      <c r="I38" s="41" t="s">
        <v>36</v>
      </c>
      <c r="K38" s="8" t="str">
        <v>PR04601</v>
      </c>
      <c r="L38" s="8" t="str">
        <v>Yedukondalu Panditula</v>
      </c>
      <c r="M38" s="8">
        <v>0</v>
      </c>
      <c r="N38" s="8" t="str">
        <v>Support</v>
      </c>
      <c r="O38" s="8">
        <v>104802.63</v>
      </c>
      <c r="P38" s="18">
        <v>44502</v>
      </c>
      <c r="Q38" s="8">
        <v>1</v>
      </c>
      <c r="R38" s="9" t="str">
        <v>Permanent</v>
      </c>
      <c r="S38" s="9" t="str">
        <v>Hyderabad, India</v>
      </c>
    </row>
    <row r="39" spans="1:19" ht="14.5" x14ac:dyDescent="0.3">
      <c r="A39" s="40" t="s">
        <v>566</v>
      </c>
      <c r="B39" s="8" t="s">
        <v>567</v>
      </c>
      <c r="C39" s="8" t="s">
        <v>33</v>
      </c>
      <c r="D39" s="8" t="s">
        <v>141</v>
      </c>
      <c r="E39" s="17">
        <v>110906.35</v>
      </c>
      <c r="F39" s="18" t="s">
        <v>568</v>
      </c>
      <c r="G39" s="8">
        <v>1</v>
      </c>
      <c r="H39" s="8" t="s">
        <v>525</v>
      </c>
      <c r="I39" s="41" t="s">
        <v>82</v>
      </c>
      <c r="K39" s="8" t="str">
        <v>TN01281</v>
      </c>
      <c r="L39" s="8" t="str">
        <v xml:space="preserve">Cletus McGarahan </v>
      </c>
      <c r="M39" s="8" t="str">
        <v>Female</v>
      </c>
      <c r="N39" s="8" t="str">
        <v>Engineering</v>
      </c>
      <c r="O39" s="8">
        <v>114425.19</v>
      </c>
      <c r="P39" s="18" t="str">
        <v>27-Jan-20</v>
      </c>
      <c r="Q39" s="8">
        <v>1</v>
      </c>
      <c r="R39" s="9" t="str">
        <v>Permanent</v>
      </c>
      <c r="S39" s="9" t="str">
        <v>Wellington, New Zealand</v>
      </c>
    </row>
    <row r="40" spans="1:19" ht="14.5" x14ac:dyDescent="0.3">
      <c r="A40" s="40" t="s">
        <v>569</v>
      </c>
      <c r="B40" s="8" t="s">
        <v>570</v>
      </c>
      <c r="C40" s="8" t="s">
        <v>33</v>
      </c>
      <c r="D40" s="8" t="s">
        <v>34</v>
      </c>
      <c r="E40" s="17">
        <v>100371.31</v>
      </c>
      <c r="F40" s="18">
        <v>44067</v>
      </c>
      <c r="G40" s="8">
        <v>0.8</v>
      </c>
      <c r="H40" s="8" t="s">
        <v>504</v>
      </c>
      <c r="I40" s="41" t="s">
        <v>71</v>
      </c>
      <c r="K40" s="8" t="str">
        <v>PR02288</v>
      </c>
      <c r="L40" s="8" t="str">
        <v>Althea  Bronger</v>
      </c>
      <c r="M40" s="8" t="str">
        <v>Male</v>
      </c>
      <c r="N40" s="8" t="str">
        <v>Product Management</v>
      </c>
      <c r="O40" s="8">
        <v>104335.03999999999</v>
      </c>
      <c r="P40" s="18">
        <v>43874</v>
      </c>
      <c r="Q40" s="8">
        <v>1</v>
      </c>
      <c r="R40" s="9" t="str">
        <v>Permanent</v>
      </c>
      <c r="S40" s="9" t="str">
        <v>Columbus, USA</v>
      </c>
    </row>
    <row r="41" spans="1:19" ht="14.5" x14ac:dyDescent="0.3">
      <c r="A41" s="40" t="s">
        <v>571</v>
      </c>
      <c r="B41" s="8" t="s">
        <v>572</v>
      </c>
      <c r="C41" s="8" t="s">
        <v>33</v>
      </c>
      <c r="D41" s="8" t="s">
        <v>99</v>
      </c>
      <c r="E41" s="17">
        <v>69163.39</v>
      </c>
      <c r="F41" s="18">
        <v>43397</v>
      </c>
      <c r="G41" s="8">
        <v>1</v>
      </c>
      <c r="H41" s="8" t="s">
        <v>35</v>
      </c>
      <c r="I41" s="41" t="s">
        <v>36</v>
      </c>
      <c r="K41" s="8" t="str">
        <v>SQ01620</v>
      </c>
      <c r="L41" s="8" t="str">
        <v>Westbrook Brandino</v>
      </c>
      <c r="M41" s="8" t="str">
        <v>Male</v>
      </c>
      <c r="N41" s="8" t="str">
        <v>CLEANING</v>
      </c>
      <c r="O41" s="8">
        <v>113616.23</v>
      </c>
      <c r="P41" s="18">
        <v>43255</v>
      </c>
      <c r="Q41" s="8">
        <v>1</v>
      </c>
      <c r="R41" s="9" t="str">
        <v>Permanent</v>
      </c>
      <c r="S41" s="9" t="str">
        <v>Remote</v>
      </c>
    </row>
    <row r="42" spans="1:19" ht="14.5" x14ac:dyDescent="0.3">
      <c r="A42" s="40" t="s">
        <v>573</v>
      </c>
      <c r="B42" s="8" t="s">
        <v>574</v>
      </c>
      <c r="C42" s="8" t="s">
        <v>47</v>
      </c>
      <c r="D42" s="8" t="s">
        <v>81</v>
      </c>
      <c r="E42" s="17">
        <v>114691.03</v>
      </c>
      <c r="F42" s="18" t="s">
        <v>575</v>
      </c>
      <c r="G42" s="8">
        <v>1</v>
      </c>
      <c r="H42" s="8" t="s">
        <v>525</v>
      </c>
      <c r="I42" s="41" t="s">
        <v>82</v>
      </c>
      <c r="K42" s="8" t="str">
        <v>VT04681</v>
      </c>
      <c r="L42" s="8" t="str">
        <v>Nickolai  Artin</v>
      </c>
      <c r="M42" s="8" t="str">
        <v>Female</v>
      </c>
      <c r="N42" s="8" t="str">
        <v>Product Management</v>
      </c>
      <c r="O42" s="8">
        <v>110906.35</v>
      </c>
      <c r="P42" s="18" t="str">
        <v>Nov 30, 2018</v>
      </c>
      <c r="Q42" s="8">
        <v>1</v>
      </c>
      <c r="R42" s="9" t="str">
        <v>Temporary</v>
      </c>
      <c r="S42" s="9" t="str">
        <v>Wellington, New Zealand</v>
      </c>
    </row>
    <row r="43" spans="1:19" ht="14.5" x14ac:dyDescent="0.3">
      <c r="A43" s="40" t="s">
        <v>576</v>
      </c>
      <c r="B43" s="8" t="s">
        <v>577</v>
      </c>
      <c r="C43" s="8" t="s">
        <v>47</v>
      </c>
      <c r="D43" s="8" t="s">
        <v>85</v>
      </c>
      <c r="E43" s="17">
        <v>86556.96</v>
      </c>
      <c r="F43" s="18" t="s">
        <v>578</v>
      </c>
      <c r="G43" s="8">
        <v>1</v>
      </c>
      <c r="H43" s="8" t="s">
        <v>35</v>
      </c>
      <c r="I43" s="41" t="s">
        <v>102</v>
      </c>
      <c r="K43" s="8" t="str">
        <v>TN04246</v>
      </c>
      <c r="L43" s="8" t="str">
        <v xml:space="preserve">Shaylyn Ransbury </v>
      </c>
      <c r="M43" s="8" t="str">
        <v>Female</v>
      </c>
      <c r="N43" s="8" t="str">
        <v>Support</v>
      </c>
      <c r="O43" s="8">
        <v>100371.31</v>
      </c>
      <c r="P43" s="18">
        <v>44067</v>
      </c>
      <c r="Q43" s="8">
        <v>0.8</v>
      </c>
      <c r="R43" s="9" t="str">
        <v>Fixed Term</v>
      </c>
      <c r="S43" s="9" t="str">
        <v>Auckland, New Zealand</v>
      </c>
    </row>
    <row r="44" spans="1:19" ht="14.5" x14ac:dyDescent="0.3">
      <c r="A44" s="40" t="s">
        <v>579</v>
      </c>
      <c r="B44" s="8" t="s">
        <v>580</v>
      </c>
      <c r="C44" s="8" t="s">
        <v>33</v>
      </c>
      <c r="D44" s="8" t="s">
        <v>48</v>
      </c>
      <c r="E44" s="17">
        <v>31172.77</v>
      </c>
      <c r="F44" s="18" t="s">
        <v>581</v>
      </c>
      <c r="G44" s="8">
        <v>1</v>
      </c>
      <c r="H44" s="8" t="s">
        <v>504</v>
      </c>
      <c r="I44" s="41" t="s">
        <v>36</v>
      </c>
      <c r="K44" s="8" t="str">
        <v>VT02801</v>
      </c>
      <c r="L44" s="8" t="str">
        <v>Shellysheldon Mahady</v>
      </c>
      <c r="M44" s="8" t="str">
        <v>Male</v>
      </c>
      <c r="N44" s="8" t="str">
        <v>Training</v>
      </c>
      <c r="O44" s="8">
        <v>114691.03</v>
      </c>
      <c r="P44" s="18" t="str">
        <v>27-Jul-20</v>
      </c>
      <c r="Q44" s="8">
        <v>1</v>
      </c>
      <c r="R44" s="9" t="str">
        <v>Temporary</v>
      </c>
      <c r="S44" s="9" t="str">
        <v>Wellington, New Zealand</v>
      </c>
    </row>
    <row r="45" spans="1:19" ht="14.5" x14ac:dyDescent="0.3">
      <c r="A45" s="40" t="s">
        <v>582</v>
      </c>
      <c r="B45" s="8" t="s">
        <v>583</v>
      </c>
      <c r="C45" s="8" t="s">
        <v>47</v>
      </c>
      <c r="D45" s="8" t="s">
        <v>57</v>
      </c>
      <c r="E45" s="17">
        <v>80169.42</v>
      </c>
      <c r="F45" s="18" t="s">
        <v>584</v>
      </c>
      <c r="G45" s="8">
        <v>1</v>
      </c>
      <c r="H45" s="8" t="s">
        <v>35</v>
      </c>
      <c r="I45" s="41" t="s">
        <v>71</v>
      </c>
      <c r="K45" s="8" t="str">
        <v>PR02208</v>
      </c>
      <c r="L45" s="8" t="str">
        <v>Gowri Sankar Chakrala</v>
      </c>
      <c r="M45" s="8" t="str">
        <v>Female</v>
      </c>
      <c r="N45" s="8" t="str">
        <v>Training</v>
      </c>
      <c r="O45" s="8">
        <v>102934.09</v>
      </c>
      <c r="P45" s="18" t="str">
        <v>29-Apr-21</v>
      </c>
      <c r="Q45" s="8">
        <v>1</v>
      </c>
      <c r="R45" s="9" t="str">
        <v>Permanent</v>
      </c>
      <c r="S45" s="9" t="str">
        <v>Hyderabad, India</v>
      </c>
    </row>
    <row r="46" spans="1:19" ht="14.5" x14ac:dyDescent="0.3">
      <c r="A46" s="40" t="s">
        <v>562</v>
      </c>
      <c r="B46" s="8" t="s">
        <v>563</v>
      </c>
      <c r="C46" s="8" t="s">
        <v>47</v>
      </c>
      <c r="D46" s="8" t="s">
        <v>81</v>
      </c>
      <c r="E46" s="17">
        <v>53949.26</v>
      </c>
      <c r="F46" s="18">
        <v>43808</v>
      </c>
      <c r="G46" s="8">
        <v>1</v>
      </c>
      <c r="H46" s="8" t="s">
        <v>525</v>
      </c>
      <c r="I46" s="41" t="s">
        <v>58</v>
      </c>
      <c r="K46" s="8" t="str">
        <v>VT04093</v>
      </c>
      <c r="L46" s="8" t="str">
        <v>Prasanna Lakshmi Payasam</v>
      </c>
      <c r="M46" s="8" t="str">
        <v>Female</v>
      </c>
      <c r="N46" s="8" t="str">
        <v>Training</v>
      </c>
      <c r="O46" s="8">
        <v>116767.63</v>
      </c>
      <c r="P46" s="18">
        <v>43949</v>
      </c>
      <c r="Q46" s="8">
        <v>0.4</v>
      </c>
      <c r="R46" s="9" t="str">
        <v>Temporary</v>
      </c>
      <c r="S46" s="9" t="str">
        <v>Chennai, India</v>
      </c>
    </row>
    <row r="47" spans="1:19" ht="14.5" x14ac:dyDescent="0.3">
      <c r="A47" s="40" t="s">
        <v>585</v>
      </c>
      <c r="B47" s="8" t="s">
        <v>586</v>
      </c>
      <c r="C47" s="8" t="s">
        <v>33</v>
      </c>
      <c r="D47" s="8" t="s">
        <v>34</v>
      </c>
      <c r="E47" s="17">
        <v>58935.92</v>
      </c>
      <c r="F47" s="18" t="s">
        <v>587</v>
      </c>
      <c r="G47" s="8">
        <v>1</v>
      </c>
      <c r="H47" s="8" t="s">
        <v>525</v>
      </c>
      <c r="I47" s="41" t="s">
        <v>102</v>
      </c>
      <c r="K47" s="8" t="str">
        <v>VT03421</v>
      </c>
      <c r="L47" s="8" t="str">
        <v>Alic Bagg</v>
      </c>
      <c r="M47" s="8" t="str">
        <v>Male</v>
      </c>
      <c r="N47" s="8" t="str">
        <v>CLEANING</v>
      </c>
      <c r="O47" s="8">
        <v>113747.56</v>
      </c>
      <c r="P47" s="18" t="str">
        <v>15-Mar-21</v>
      </c>
      <c r="Q47" s="8">
        <v>0.7</v>
      </c>
      <c r="R47" s="9" t="str">
        <v>Temporary</v>
      </c>
      <c r="S47" s="9" t="str">
        <v>Columbus, USA</v>
      </c>
    </row>
    <row r="48" spans="1:19" ht="14.5" x14ac:dyDescent="0.3">
      <c r="A48" s="40" t="s">
        <v>588</v>
      </c>
      <c r="B48" s="8" t="s">
        <v>589</v>
      </c>
      <c r="C48" s="8" t="s">
        <v>33</v>
      </c>
      <c r="D48" s="8" t="s">
        <v>34</v>
      </c>
      <c r="E48" s="17">
        <v>63555.73</v>
      </c>
      <c r="F48" s="18" t="s">
        <v>590</v>
      </c>
      <c r="G48" s="8">
        <v>1</v>
      </c>
      <c r="H48" s="8" t="s">
        <v>35</v>
      </c>
      <c r="I48" s="41" t="s">
        <v>49</v>
      </c>
      <c r="K48" s="8" t="str">
        <v>VT02491</v>
      </c>
      <c r="L48" s="8" t="str">
        <v>Alexis Gotfrey</v>
      </c>
      <c r="M48" s="8" t="str">
        <v>Male</v>
      </c>
      <c r="N48" s="8" t="str">
        <v>Engineering</v>
      </c>
      <c r="O48" s="8">
        <v>114465.93</v>
      </c>
      <c r="P48" s="18">
        <v>43291</v>
      </c>
      <c r="Q48" s="8">
        <v>1</v>
      </c>
      <c r="R48" s="9" t="str">
        <v>Temporary</v>
      </c>
      <c r="S48" s="9" t="str">
        <v>Wellington, New Zealand</v>
      </c>
    </row>
    <row r="49" spans="1:19" ht="14.5" x14ac:dyDescent="0.3">
      <c r="A49" s="40" t="s">
        <v>591</v>
      </c>
      <c r="B49" s="8" t="s">
        <v>592</v>
      </c>
      <c r="C49" s="8" t="s">
        <v>47</v>
      </c>
      <c r="D49" s="8" t="s">
        <v>99</v>
      </c>
      <c r="E49" s="17">
        <v>57419.35</v>
      </c>
      <c r="F49" s="18">
        <v>43305</v>
      </c>
      <c r="G49" s="8">
        <v>1</v>
      </c>
      <c r="H49" s="8" t="s">
        <v>504</v>
      </c>
      <c r="I49" s="41" t="s">
        <v>71</v>
      </c>
      <c r="K49" s="8" t="str">
        <v>TN04058</v>
      </c>
      <c r="L49" s="8" t="str">
        <v>Subbarao Malladi</v>
      </c>
      <c r="M49" s="8" t="str">
        <v>Male</v>
      </c>
      <c r="N49" s="8" t="str">
        <v>Product Management</v>
      </c>
      <c r="O49" s="8">
        <v>106775.14</v>
      </c>
      <c r="P49" s="18">
        <v>43563</v>
      </c>
      <c r="Q49" s="8">
        <v>1</v>
      </c>
      <c r="R49" s="9" t="str">
        <v>Fixed Term</v>
      </c>
      <c r="S49" s="9" t="str">
        <v>Hyderabad, India</v>
      </c>
    </row>
    <row r="50" spans="1:19" ht="14.5" x14ac:dyDescent="0.3">
      <c r="A50" s="40" t="s">
        <v>593</v>
      </c>
      <c r="B50" s="8" t="s">
        <v>594</v>
      </c>
      <c r="C50" s="8" t="s">
        <v>33</v>
      </c>
      <c r="D50" s="8" t="s">
        <v>141</v>
      </c>
      <c r="E50" s="17">
        <v>67818.14</v>
      </c>
      <c r="F50" s="18" t="s">
        <v>595</v>
      </c>
      <c r="G50" s="8">
        <v>0.6</v>
      </c>
      <c r="H50" s="8" t="s">
        <v>504</v>
      </c>
      <c r="I50" s="41" t="s">
        <v>36</v>
      </c>
      <c r="K50" s="8" t="str">
        <v>SQ03476</v>
      </c>
      <c r="L50" s="8" t="str">
        <v>Ramalingam Kothapeta</v>
      </c>
      <c r="M50" s="8">
        <v>0</v>
      </c>
      <c r="N50" s="8" t="str">
        <v>Accounting</v>
      </c>
      <c r="O50" s="8">
        <v>107107.6</v>
      </c>
      <c r="P50" s="18" t="str">
        <v>13-Aug-18</v>
      </c>
      <c r="Q50" s="8">
        <v>0.9</v>
      </c>
      <c r="R50" s="9" t="str">
        <v>Permanent</v>
      </c>
      <c r="S50" s="9" t="str">
        <v>Chennai, India</v>
      </c>
    </row>
    <row r="51" spans="1:19" ht="14.5" x14ac:dyDescent="0.3">
      <c r="A51" s="40" t="s">
        <v>550</v>
      </c>
      <c r="B51" s="8" t="s">
        <v>551</v>
      </c>
      <c r="C51" s="8" t="s">
        <v>47</v>
      </c>
      <c r="D51" s="8" t="s">
        <v>1064</v>
      </c>
      <c r="E51" s="17">
        <v>90697.67</v>
      </c>
      <c r="F51" s="18">
        <v>44221</v>
      </c>
      <c r="G51" s="8">
        <v>0.8</v>
      </c>
      <c r="H51" s="8" t="s">
        <v>35</v>
      </c>
      <c r="I51" s="41" t="s">
        <v>136</v>
      </c>
      <c r="K51" s="8" t="str">
        <v>VT01684</v>
      </c>
      <c r="L51" s="8" t="str">
        <v>Audry Yu</v>
      </c>
      <c r="M51" s="8" t="str">
        <v>Female</v>
      </c>
      <c r="N51" s="8" t="str">
        <v>Training</v>
      </c>
      <c r="O51" s="8">
        <v>101187.36</v>
      </c>
      <c r="P51" s="18">
        <v>43258</v>
      </c>
      <c r="Q51" s="8">
        <v>1</v>
      </c>
      <c r="R51" s="9" t="str">
        <v>Fixed Term</v>
      </c>
      <c r="S51" s="9" t="str">
        <v>Columbus, USA</v>
      </c>
    </row>
    <row r="52" spans="1:19" ht="14.5" x14ac:dyDescent="0.3">
      <c r="A52" s="40" t="s">
        <v>597</v>
      </c>
      <c r="B52" s="8" t="s">
        <v>598</v>
      </c>
      <c r="C52" s="8" t="s">
        <v>47</v>
      </c>
      <c r="D52" s="8" t="s">
        <v>92</v>
      </c>
      <c r="E52" s="17">
        <v>40753.54</v>
      </c>
      <c r="F52" s="18">
        <v>43152</v>
      </c>
      <c r="G52" s="8">
        <v>0.6</v>
      </c>
      <c r="H52" s="8" t="s">
        <v>35</v>
      </c>
      <c r="I52" s="41" t="s">
        <v>82</v>
      </c>
      <c r="K52" s="8" t="str">
        <v>TN04740</v>
      </c>
      <c r="L52" s="8" t="str">
        <v>Tristam Cuming</v>
      </c>
      <c r="M52" s="8" t="str">
        <v>Female</v>
      </c>
      <c r="N52" s="8" t="str">
        <v>Support</v>
      </c>
      <c r="O52" s="8">
        <v>104038.9</v>
      </c>
      <c r="P52" s="18">
        <v>43815</v>
      </c>
      <c r="Q52" s="8">
        <v>1</v>
      </c>
      <c r="R52" s="9" t="str">
        <v>Fixed Term</v>
      </c>
      <c r="S52" s="9" t="str">
        <v>Remote</v>
      </c>
    </row>
    <row r="53" spans="1:19" ht="14.5" x14ac:dyDescent="0.3">
      <c r="A53" s="40" t="s">
        <v>137</v>
      </c>
      <c r="B53" s="8" t="s">
        <v>138</v>
      </c>
      <c r="C53" s="8" t="s">
        <v>33</v>
      </c>
      <c r="D53" s="8" t="s">
        <v>81</v>
      </c>
      <c r="E53" s="17">
        <v>102934.09</v>
      </c>
      <c r="F53" s="18" t="s">
        <v>599</v>
      </c>
      <c r="G53" s="8">
        <v>1</v>
      </c>
      <c r="H53" s="8" t="s">
        <v>35</v>
      </c>
      <c r="I53" s="41" t="s">
        <v>102</v>
      </c>
      <c r="K53" s="8" t="str">
        <v>VT01893</v>
      </c>
      <c r="L53" s="8" t="str">
        <v>Lindy Guillet</v>
      </c>
      <c r="M53" s="8" t="str">
        <v>Male</v>
      </c>
      <c r="N53" s="8" t="str">
        <v>Training</v>
      </c>
      <c r="O53" s="8">
        <v>112778.28</v>
      </c>
      <c r="P53" s="18">
        <v>43250</v>
      </c>
      <c r="Q53" s="8">
        <v>1</v>
      </c>
      <c r="R53" s="9" t="str">
        <v>Fixed Term</v>
      </c>
      <c r="S53" s="9" t="str">
        <v>Remote</v>
      </c>
    </row>
    <row r="54" spans="1:19" ht="14.5" x14ac:dyDescent="0.3">
      <c r="A54" s="40" t="s">
        <v>600</v>
      </c>
      <c r="B54" s="8" t="s">
        <v>601</v>
      </c>
      <c r="C54" s="8" t="s">
        <v>47</v>
      </c>
      <c r="D54" s="8" t="s">
        <v>42</v>
      </c>
      <c r="E54" s="17">
        <v>68860.399999999994</v>
      </c>
      <c r="F54" s="18">
        <v>43508</v>
      </c>
      <c r="G54" s="8">
        <v>0.4</v>
      </c>
      <c r="H54" s="8" t="s">
        <v>35</v>
      </c>
      <c r="I54" s="41" t="s">
        <v>58</v>
      </c>
      <c r="K54" s="8" t="str">
        <v>PR02010</v>
      </c>
      <c r="L54" s="8" t="str">
        <v>Prerana Nishita</v>
      </c>
      <c r="M54" s="8" t="str">
        <v>Male</v>
      </c>
      <c r="N54" s="8" t="str">
        <v>Product Management</v>
      </c>
      <c r="O54" s="8">
        <v>115191.38</v>
      </c>
      <c r="P54" s="18">
        <v>44004</v>
      </c>
      <c r="Q54" s="8">
        <v>1</v>
      </c>
      <c r="R54" s="9" t="str">
        <v>Permanent</v>
      </c>
      <c r="S54" s="9" t="str">
        <v>Hyderabad, India</v>
      </c>
    </row>
    <row r="55" spans="1:19" ht="14.5" x14ac:dyDescent="0.3">
      <c r="A55" s="40" t="s">
        <v>602</v>
      </c>
      <c r="B55" s="8" t="s">
        <v>603</v>
      </c>
      <c r="C55" s="8" t="s">
        <v>47</v>
      </c>
      <c r="D55" s="8" t="s">
        <v>81</v>
      </c>
      <c r="E55" s="17">
        <v>79567.69</v>
      </c>
      <c r="F55" s="18">
        <v>43272</v>
      </c>
      <c r="G55" s="8">
        <v>1</v>
      </c>
      <c r="H55" s="8" t="s">
        <v>504</v>
      </c>
      <c r="I55" s="41" t="s">
        <v>49</v>
      </c>
      <c r="K55" s="8" t="str">
        <v>SQ00498</v>
      </c>
      <c r="L55" s="8" t="str">
        <v>Amery Ofer</v>
      </c>
      <c r="M55" s="8" t="str">
        <v>Female</v>
      </c>
      <c r="N55" s="8" t="str">
        <v>CLEANING</v>
      </c>
      <c r="O55" s="8">
        <v>111049.84</v>
      </c>
      <c r="P55" s="18">
        <v>44393</v>
      </c>
      <c r="Q55" s="8">
        <v>1</v>
      </c>
      <c r="R55" s="9" t="str">
        <v>Permanent</v>
      </c>
      <c r="S55" s="9" t="str">
        <v>Wellington, New Zealand</v>
      </c>
    </row>
    <row r="56" spans="1:19" ht="14.5" x14ac:dyDescent="0.3">
      <c r="A56" s="40" t="s">
        <v>179</v>
      </c>
      <c r="B56" s="8" t="s">
        <v>180</v>
      </c>
      <c r="C56" s="8" t="s">
        <v>33</v>
      </c>
      <c r="D56" s="8" t="s">
        <v>85</v>
      </c>
      <c r="E56" s="17">
        <v>35943.620000000003</v>
      </c>
      <c r="F56" s="18">
        <v>44078</v>
      </c>
      <c r="G56" s="8">
        <v>1</v>
      </c>
      <c r="H56" s="8" t="s">
        <v>35</v>
      </c>
      <c r="I56" s="41" t="s">
        <v>58</v>
      </c>
      <c r="K56" s="8" t="str">
        <v>TN04058</v>
      </c>
      <c r="L56" s="8" t="str">
        <v>Vasu Nandin</v>
      </c>
      <c r="M56" s="8" t="str">
        <v>Male</v>
      </c>
      <c r="N56" s="8" t="str">
        <v>Product Management</v>
      </c>
      <c r="O56" s="8">
        <v>106775.14</v>
      </c>
      <c r="P56" s="18">
        <v>43563</v>
      </c>
      <c r="Q56" s="8">
        <v>1</v>
      </c>
      <c r="R56" s="9" t="str">
        <v>Fixed Term</v>
      </c>
      <c r="S56" s="9" t="str">
        <v>Hyderabad, India</v>
      </c>
    </row>
    <row r="57" spans="1:19" ht="14.5" x14ac:dyDescent="0.3">
      <c r="A57" s="40" t="s">
        <v>604</v>
      </c>
      <c r="B57" s="8" t="s">
        <v>605</v>
      </c>
      <c r="C57" s="8" t="s">
        <v>33</v>
      </c>
      <c r="D57" s="8" t="s">
        <v>81</v>
      </c>
      <c r="E57" s="17">
        <v>116767.63</v>
      </c>
      <c r="F57" s="18">
        <v>43949</v>
      </c>
      <c r="G57" s="8">
        <v>0.4</v>
      </c>
      <c r="H57" s="8" t="s">
        <v>525</v>
      </c>
      <c r="I57" s="41" t="s">
        <v>49</v>
      </c>
      <c r="K57" s="8" t="str">
        <v>SQ04603</v>
      </c>
      <c r="L57" s="8" t="str">
        <v>Natalee Craiker</v>
      </c>
      <c r="M57" s="8" t="str">
        <v>Male</v>
      </c>
      <c r="N57" s="8" t="str">
        <v>Product Management</v>
      </c>
      <c r="O57" s="8">
        <v>111229.47</v>
      </c>
      <c r="P57" s="18" t="str">
        <v>29-Oct-18</v>
      </c>
      <c r="Q57" s="8">
        <v>1</v>
      </c>
      <c r="R57" s="9" t="str">
        <v>Permanent</v>
      </c>
      <c r="S57" s="9" t="str">
        <v>Remote</v>
      </c>
    </row>
    <row r="58" spans="1:19" ht="14.5" x14ac:dyDescent="0.3">
      <c r="A58" s="40" t="s">
        <v>606</v>
      </c>
      <c r="B58" s="8" t="s">
        <v>607</v>
      </c>
      <c r="C58" s="8" t="s">
        <v>47</v>
      </c>
      <c r="D58" s="8" t="s">
        <v>76</v>
      </c>
      <c r="E58" s="17">
        <v>85455.53</v>
      </c>
      <c r="F58" s="18">
        <v>43839</v>
      </c>
      <c r="G58" s="8">
        <v>1</v>
      </c>
      <c r="H58" s="8" t="s">
        <v>35</v>
      </c>
      <c r="I58" s="41" t="s">
        <v>82</v>
      </c>
      <c r="K58" s="8" t="str">
        <v>VT04028</v>
      </c>
      <c r="L58" s="8" t="str">
        <v>Michale Rolf</v>
      </c>
      <c r="M58" s="8" t="str">
        <v>Male</v>
      </c>
      <c r="N58" s="8" t="str">
        <v>Services</v>
      </c>
      <c r="O58" s="8">
        <v>111815.49</v>
      </c>
      <c r="P58" s="18">
        <v>43895</v>
      </c>
      <c r="Q58" s="8">
        <v>0.7</v>
      </c>
      <c r="R58" s="9" t="str">
        <v>Temporary</v>
      </c>
      <c r="S58" s="9" t="str">
        <v>Remote</v>
      </c>
    </row>
    <row r="59" spans="1:19" ht="14.5" x14ac:dyDescent="0.3">
      <c r="A59" s="40" t="s">
        <v>608</v>
      </c>
      <c r="B59" s="8" t="s">
        <v>609</v>
      </c>
      <c r="C59" s="8" t="s">
        <v>33</v>
      </c>
      <c r="D59" s="8" t="s">
        <v>76</v>
      </c>
      <c r="E59" s="17">
        <v>39700.82</v>
      </c>
      <c r="F59" s="18">
        <v>44203</v>
      </c>
      <c r="G59" s="8">
        <v>0.8</v>
      </c>
      <c r="H59" s="8" t="s">
        <v>35</v>
      </c>
      <c r="I59" s="41" t="s">
        <v>49</v>
      </c>
      <c r="K59" s="8" t="str">
        <v>VT04028</v>
      </c>
      <c r="L59" s="8" t="str">
        <v>Michale Rolf</v>
      </c>
      <c r="M59" s="8" t="str">
        <v>Male</v>
      </c>
      <c r="N59" s="8" t="str">
        <v>Services</v>
      </c>
      <c r="O59" s="8">
        <v>111815.49</v>
      </c>
      <c r="P59" s="18">
        <v>43895</v>
      </c>
      <c r="Q59" s="8">
        <v>0.7</v>
      </c>
      <c r="R59" s="9" t="str">
        <v>Temporary</v>
      </c>
      <c r="S59" s="9" t="str">
        <v>Remote</v>
      </c>
    </row>
    <row r="60" spans="1:19" ht="14.5" x14ac:dyDescent="0.3">
      <c r="A60" s="40" t="s">
        <v>610</v>
      </c>
      <c r="B60" s="8" t="s">
        <v>611</v>
      </c>
      <c r="C60" s="8" t="s">
        <v>33</v>
      </c>
      <c r="D60" s="8" t="s">
        <v>141</v>
      </c>
      <c r="E60" s="17">
        <v>38438.239999999998</v>
      </c>
      <c r="F60" s="18" t="s">
        <v>612</v>
      </c>
      <c r="G60" s="8">
        <v>1</v>
      </c>
      <c r="H60" s="8" t="s">
        <v>35</v>
      </c>
      <c r="I60" s="41" t="s">
        <v>49</v>
      </c>
      <c r="K60" s="8" t="str">
        <v>SQ00022</v>
      </c>
      <c r="L60" s="8" t="str">
        <v>Carlin Demke</v>
      </c>
      <c r="M60" s="8" t="str">
        <v>Male</v>
      </c>
      <c r="N60" s="8" t="str">
        <v>Business Development</v>
      </c>
      <c r="O60" s="8">
        <v>110042.37</v>
      </c>
      <c r="P60" s="18">
        <v>43914</v>
      </c>
      <c r="Q60" s="8">
        <v>1</v>
      </c>
      <c r="R60" s="9" t="str">
        <v>Permanent</v>
      </c>
      <c r="S60" s="9" t="str">
        <v>Columbus, USA</v>
      </c>
    </row>
    <row r="61" spans="1:19" ht="14.5" x14ac:dyDescent="0.3">
      <c r="A61" s="40" t="s">
        <v>613</v>
      </c>
      <c r="B61" s="8" t="s">
        <v>614</v>
      </c>
      <c r="C61" s="8" t="s">
        <v>47</v>
      </c>
      <c r="D61" s="8" t="s">
        <v>53</v>
      </c>
      <c r="E61" s="17">
        <v>50855.53</v>
      </c>
      <c r="F61" s="18" t="s">
        <v>615</v>
      </c>
      <c r="G61" s="8">
        <v>1</v>
      </c>
      <c r="H61" s="8" t="s">
        <v>35</v>
      </c>
      <c r="I61" s="41" t="s">
        <v>82</v>
      </c>
      <c r="K61" s="8" t="str">
        <v>SQ03116</v>
      </c>
      <c r="L61" s="8" t="str">
        <v>Syd Fearn</v>
      </c>
      <c r="M61" s="8" t="str">
        <v>Male</v>
      </c>
      <c r="N61" s="8" t="str">
        <v>Engineering</v>
      </c>
      <c r="O61" s="8">
        <v>108872.77</v>
      </c>
      <c r="P61" s="18">
        <v>43521</v>
      </c>
      <c r="Q61" s="8">
        <v>1</v>
      </c>
      <c r="R61" s="9" t="str">
        <v>Permanent</v>
      </c>
      <c r="S61" s="9" t="str">
        <v>Remote</v>
      </c>
    </row>
    <row r="62" spans="1:19" ht="14.5" x14ac:dyDescent="0.3">
      <c r="A62" s="40" t="s">
        <v>550</v>
      </c>
      <c r="B62" s="8" t="s">
        <v>551</v>
      </c>
      <c r="C62" s="8" t="s">
        <v>47</v>
      </c>
      <c r="D62" s="8" t="s">
        <v>1064</v>
      </c>
      <c r="E62" s="17">
        <v>90697.67</v>
      </c>
      <c r="F62" s="18">
        <v>44221</v>
      </c>
      <c r="G62" s="8">
        <v>0.8</v>
      </c>
      <c r="H62" s="8" t="s">
        <v>35</v>
      </c>
      <c r="I62" s="41" t="s">
        <v>136</v>
      </c>
      <c r="K62" s="8" t="str">
        <v>VT04552</v>
      </c>
      <c r="L62" s="8" t="str">
        <v>Theresita Chasmer</v>
      </c>
      <c r="M62" s="8" t="str">
        <v>Female</v>
      </c>
      <c r="N62" s="8" t="str">
        <v>Product Management</v>
      </c>
      <c r="O62" s="8">
        <v>106665.67</v>
      </c>
      <c r="P62" s="18">
        <v>43311</v>
      </c>
      <c r="Q62" s="8">
        <v>1</v>
      </c>
      <c r="R62" s="9" t="str">
        <v>Temporary</v>
      </c>
      <c r="S62" s="9" t="str">
        <v>Columbus, USA</v>
      </c>
    </row>
    <row r="63" spans="1:19" ht="14.5" x14ac:dyDescent="0.3">
      <c r="A63" s="40" t="s">
        <v>105</v>
      </c>
      <c r="B63" s="8" t="s">
        <v>106</v>
      </c>
      <c r="C63" s="8" t="s">
        <v>47</v>
      </c>
      <c r="D63" s="8" t="s">
        <v>92</v>
      </c>
      <c r="E63" s="17">
        <v>37362.300000000003</v>
      </c>
      <c r="F63" s="18" t="s">
        <v>619</v>
      </c>
      <c r="G63" s="8">
        <v>1</v>
      </c>
      <c r="H63" s="8" t="s">
        <v>35</v>
      </c>
      <c r="I63" s="41" t="s">
        <v>71</v>
      </c>
      <c r="K63" s="8" t="str">
        <v>SQ04665</v>
      </c>
      <c r="L63" s="8" t="str">
        <v>Collin Jagson</v>
      </c>
      <c r="M63" s="8" t="str">
        <v>Male</v>
      </c>
      <c r="N63" s="8" t="str">
        <v>Services</v>
      </c>
      <c r="O63" s="8">
        <v>100424.23</v>
      </c>
      <c r="P63" s="18">
        <v>43801</v>
      </c>
      <c r="Q63" s="8">
        <v>1</v>
      </c>
      <c r="R63" s="9" t="str">
        <v>Permanent</v>
      </c>
      <c r="S63" s="9" t="str">
        <v>Auckland, New Zealand</v>
      </c>
    </row>
    <row r="64" spans="1:19" ht="14.5" x14ac:dyDescent="0.3">
      <c r="A64" s="40" t="s">
        <v>620</v>
      </c>
      <c r="B64" s="8" t="s">
        <v>84</v>
      </c>
      <c r="C64" s="8" t="s">
        <v>47</v>
      </c>
      <c r="D64" s="8" t="s">
        <v>85</v>
      </c>
      <c r="E64" s="17">
        <v>72876.91</v>
      </c>
      <c r="F64" s="18" t="s">
        <v>621</v>
      </c>
      <c r="G64" s="8">
        <v>0.4</v>
      </c>
      <c r="H64" s="8" t="s">
        <v>504</v>
      </c>
      <c r="I64" s="41" t="s">
        <v>71</v>
      </c>
      <c r="K64" s="8" t="str">
        <v>VT01893</v>
      </c>
      <c r="L64" s="8" t="str">
        <v>Lindy Guillet</v>
      </c>
      <c r="M64" s="8" t="str">
        <v>Male</v>
      </c>
      <c r="N64" s="8" t="str">
        <v>Training</v>
      </c>
      <c r="O64" s="8">
        <v>112778.28</v>
      </c>
      <c r="P64" s="18">
        <v>43250</v>
      </c>
      <c r="Q64" s="8">
        <v>1</v>
      </c>
      <c r="R64" s="9" t="str">
        <v>Fixed Term</v>
      </c>
      <c r="S64" s="9" t="str">
        <v>Remote</v>
      </c>
    </row>
    <row r="65" spans="1:19" ht="14.5" x14ac:dyDescent="0.3">
      <c r="A65" s="40" t="s">
        <v>622</v>
      </c>
      <c r="B65" s="8" t="s">
        <v>623</v>
      </c>
      <c r="C65" s="8" t="s">
        <v>33</v>
      </c>
      <c r="D65" s="8" t="s">
        <v>1064</v>
      </c>
      <c r="E65" s="17">
        <v>31042.51</v>
      </c>
      <c r="F65" s="18">
        <v>44473</v>
      </c>
      <c r="G65" s="8">
        <v>0.3</v>
      </c>
      <c r="H65" s="8" t="s">
        <v>504</v>
      </c>
      <c r="I65" s="41" t="s">
        <v>36</v>
      </c>
      <c r="K65" s="8" t="str">
        <v>PR03886</v>
      </c>
      <c r="L65" s="8" t="str">
        <v>Edd  MacKnockiter</v>
      </c>
      <c r="M65" s="8" t="str">
        <v>Male</v>
      </c>
      <c r="N65" s="8" t="str">
        <v>Accounting</v>
      </c>
      <c r="O65" s="8">
        <v>119022.49</v>
      </c>
      <c r="P65" s="18">
        <v>44431</v>
      </c>
      <c r="Q65" s="8">
        <v>1</v>
      </c>
      <c r="R65" s="9" t="str">
        <v>Permanent</v>
      </c>
      <c r="S65" s="9" t="str">
        <v>Auckland, New Zealand</v>
      </c>
    </row>
    <row r="66" spans="1:19" ht="14.5" x14ac:dyDescent="0.3">
      <c r="A66" s="40" t="s">
        <v>165</v>
      </c>
      <c r="B66" s="8" t="s">
        <v>166</v>
      </c>
      <c r="C66" s="8" t="s">
        <v>33</v>
      </c>
      <c r="D66" s="8" t="s">
        <v>1064</v>
      </c>
      <c r="E66" s="17">
        <v>63705.4</v>
      </c>
      <c r="F66" s="18">
        <v>43682</v>
      </c>
      <c r="G66" s="8">
        <v>1</v>
      </c>
      <c r="H66" s="8" t="s">
        <v>35</v>
      </c>
      <c r="I66" s="41" t="s">
        <v>102</v>
      </c>
      <c r="K66" s="8" t="str">
        <v>PR00746</v>
      </c>
      <c r="L66" s="8" t="str">
        <v>Hogan Iles</v>
      </c>
      <c r="M66" s="8" t="str">
        <v>Female</v>
      </c>
      <c r="N66" s="8" t="str">
        <v>Accounting</v>
      </c>
      <c r="O66" s="8">
        <v>114177.23</v>
      </c>
      <c r="P66" s="18" t="str">
        <v>18-Mar-20</v>
      </c>
      <c r="Q66" s="8">
        <v>1</v>
      </c>
      <c r="R66" s="9" t="str">
        <v>Permanent</v>
      </c>
      <c r="S66" s="9" t="str">
        <v>Wellington, New Zealand</v>
      </c>
    </row>
    <row r="67" spans="1:19" ht="14.5" x14ac:dyDescent="0.3">
      <c r="A67" s="40" t="s">
        <v>624</v>
      </c>
      <c r="B67" s="8" t="s">
        <v>625</v>
      </c>
      <c r="C67" s="8" t="s">
        <v>33</v>
      </c>
      <c r="D67" s="8" t="s">
        <v>76</v>
      </c>
      <c r="E67" s="17">
        <v>59434.18</v>
      </c>
      <c r="F67" s="18" t="s">
        <v>626</v>
      </c>
      <c r="G67" s="8">
        <v>1</v>
      </c>
      <c r="H67" s="8" t="s">
        <v>525</v>
      </c>
      <c r="I67" s="41" t="s">
        <v>136</v>
      </c>
      <c r="K67" s="8" t="str">
        <v>SQ03387</v>
      </c>
      <c r="L67" s="8" t="str">
        <v>Robinia Scholling</v>
      </c>
      <c r="M67" s="8" t="str">
        <v>Female</v>
      </c>
      <c r="N67" s="8" t="str">
        <v>Human Resources</v>
      </c>
      <c r="O67" s="8">
        <v>100731.95</v>
      </c>
      <c r="P67" s="18" t="str">
        <v>Apr 15, 2020</v>
      </c>
      <c r="Q67" s="8">
        <v>1</v>
      </c>
      <c r="R67" s="9" t="str">
        <v>Permanent</v>
      </c>
      <c r="S67" s="9" t="str">
        <v>Auckland, New Zealand</v>
      </c>
    </row>
    <row r="68" spans="1:19" ht="14.5" x14ac:dyDescent="0.3">
      <c r="A68" s="40" t="s">
        <v>627</v>
      </c>
      <c r="B68" s="8" t="s">
        <v>628</v>
      </c>
      <c r="C68" s="8" t="s">
        <v>33</v>
      </c>
      <c r="D68" s="8" t="s">
        <v>42</v>
      </c>
      <c r="E68" s="17">
        <v>84762.76</v>
      </c>
      <c r="F68" s="18">
        <v>43332</v>
      </c>
      <c r="G68" s="8">
        <v>1</v>
      </c>
      <c r="H68" s="8" t="s">
        <v>35</v>
      </c>
      <c r="I68" s="41" t="s">
        <v>102</v>
      </c>
      <c r="K68" s="8" t="str">
        <v>SQ02703</v>
      </c>
      <c r="L68" s="8" t="str">
        <v>Deepit Ranjana</v>
      </c>
      <c r="M68" s="8" t="str">
        <v>Female</v>
      </c>
      <c r="N68" s="8" t="str">
        <v>Marketing</v>
      </c>
      <c r="O68" s="8">
        <v>104903.79</v>
      </c>
      <c r="P68" s="18" t="str">
        <v>3-Jul-19</v>
      </c>
      <c r="Q68" s="8">
        <v>1</v>
      </c>
      <c r="R68" s="9" t="str">
        <v>Permanent</v>
      </c>
      <c r="S68" s="9" t="str">
        <v>Chennai, India</v>
      </c>
    </row>
    <row r="69" spans="1:19" ht="14.5" x14ac:dyDescent="0.3">
      <c r="A69" s="40" t="s">
        <v>629</v>
      </c>
      <c r="B69" s="8" t="s">
        <v>630</v>
      </c>
      <c r="C69" s="8" t="s">
        <v>33</v>
      </c>
      <c r="D69" s="8" t="s">
        <v>48</v>
      </c>
      <c r="E69" s="17">
        <v>69057.320000000007</v>
      </c>
      <c r="F69" s="18">
        <v>43390</v>
      </c>
      <c r="G69" s="8">
        <v>1</v>
      </c>
      <c r="H69" s="8" t="s">
        <v>35</v>
      </c>
      <c r="I69" s="41" t="s">
        <v>82</v>
      </c>
      <c r="K69" s="8" t="str">
        <v>TN00579</v>
      </c>
      <c r="L69" s="8" t="str">
        <v xml:space="preserve">Rafaelita Blaksland </v>
      </c>
      <c r="M69" s="8" t="str">
        <v>Female</v>
      </c>
      <c r="N69" s="8" t="str">
        <v>Services</v>
      </c>
      <c r="O69" s="8">
        <v>109163.39</v>
      </c>
      <c r="P69" s="18">
        <v>44019</v>
      </c>
      <c r="Q69" s="8">
        <v>0.8</v>
      </c>
      <c r="R69" s="9" t="str">
        <v>Permanent</v>
      </c>
      <c r="S69" s="9" t="str">
        <v>Seattle, USA</v>
      </c>
    </row>
    <row r="70" spans="1:19" ht="14.5" x14ac:dyDescent="0.3">
      <c r="A70" s="40" t="s">
        <v>631</v>
      </c>
      <c r="B70" s="8" t="s">
        <v>632</v>
      </c>
      <c r="C70" s="8"/>
      <c r="D70" s="8" t="s">
        <v>85</v>
      </c>
      <c r="E70" s="17">
        <v>99448.78</v>
      </c>
      <c r="F70" s="18" t="s">
        <v>633</v>
      </c>
      <c r="G70" s="8">
        <v>1</v>
      </c>
      <c r="H70" s="8" t="s">
        <v>504</v>
      </c>
      <c r="I70" s="41" t="s">
        <v>82</v>
      </c>
      <c r="K70" s="8" t="str">
        <v>VT01762</v>
      </c>
      <c r="L70" s="8" t="str">
        <v>Geena Raghavanpillai</v>
      </c>
      <c r="M70" s="8" t="str">
        <v>Male</v>
      </c>
      <c r="N70" s="8" t="str">
        <v>Accounting</v>
      </c>
      <c r="O70" s="8">
        <v>102515.81</v>
      </c>
      <c r="P70" s="18">
        <v>43902</v>
      </c>
      <c r="Q70" s="8">
        <v>1</v>
      </c>
      <c r="R70" s="9" t="str">
        <v>Fixed Term</v>
      </c>
      <c r="S70" s="9" t="str">
        <v>Chennai, India</v>
      </c>
    </row>
    <row r="71" spans="1:19" ht="14.5" x14ac:dyDescent="0.3">
      <c r="A71" s="40" t="s">
        <v>634</v>
      </c>
      <c r="B71" s="8" t="s">
        <v>635</v>
      </c>
      <c r="C71" s="8" t="s">
        <v>33</v>
      </c>
      <c r="D71" s="8" t="s">
        <v>141</v>
      </c>
      <c r="E71" s="17">
        <v>66865.490000000005</v>
      </c>
      <c r="F71" s="18" t="s">
        <v>636</v>
      </c>
      <c r="G71" s="8">
        <v>1</v>
      </c>
      <c r="H71" s="8" t="s">
        <v>35</v>
      </c>
      <c r="I71" s="41" t="s">
        <v>136</v>
      </c>
      <c r="K71" s="8" t="str">
        <v>VT04093</v>
      </c>
      <c r="L71" s="8" t="str">
        <v>Baruna Ogale</v>
      </c>
      <c r="M71" s="8" t="str">
        <v>Female</v>
      </c>
      <c r="N71" s="8" t="str">
        <v>Training</v>
      </c>
      <c r="O71" s="8">
        <v>116767.63</v>
      </c>
      <c r="P71" s="18">
        <v>43949</v>
      </c>
      <c r="Q71" s="8">
        <v>0.4</v>
      </c>
      <c r="R71" s="9" t="str">
        <v>Temporary</v>
      </c>
      <c r="S71" s="9" t="str">
        <v>Chennai, India</v>
      </c>
    </row>
    <row r="72" spans="1:19" ht="14.5" x14ac:dyDescent="0.3">
      <c r="A72" s="40" t="s">
        <v>637</v>
      </c>
      <c r="B72" s="8" t="s">
        <v>638</v>
      </c>
      <c r="C72" s="8" t="s">
        <v>47</v>
      </c>
      <c r="D72" s="8" t="s">
        <v>1064</v>
      </c>
      <c r="E72" s="17">
        <v>113747.56</v>
      </c>
      <c r="F72" s="18" t="s">
        <v>639</v>
      </c>
      <c r="G72" s="8">
        <v>0.7</v>
      </c>
      <c r="H72" s="8" t="s">
        <v>525</v>
      </c>
      <c r="I72" s="41" t="s">
        <v>58</v>
      </c>
      <c r="K72" s="8" t="str">
        <v>SQ03491</v>
      </c>
      <c r="L72" s="8" t="str">
        <v>Freda Legan</v>
      </c>
      <c r="M72" s="8" t="str">
        <v>Female</v>
      </c>
      <c r="N72" s="8" t="str">
        <v>Sales</v>
      </c>
      <c r="O72" s="8">
        <v>102129.37</v>
      </c>
      <c r="P72" s="18" t="str">
        <v>19-Jul-21</v>
      </c>
      <c r="Q72" s="8">
        <v>1</v>
      </c>
      <c r="R72" s="9" t="str">
        <v>Permanent</v>
      </c>
      <c r="S72" s="9" t="str">
        <v>Columbus, USA</v>
      </c>
    </row>
    <row r="73" spans="1:19" ht="14.5" x14ac:dyDescent="0.3">
      <c r="A73" s="40" t="s">
        <v>120</v>
      </c>
      <c r="B73" s="8" t="s">
        <v>121</v>
      </c>
      <c r="C73" s="8" t="s">
        <v>47</v>
      </c>
      <c r="D73" s="8" t="s">
        <v>57</v>
      </c>
      <c r="E73" s="17">
        <v>85918.61</v>
      </c>
      <c r="F73" s="18" t="s">
        <v>640</v>
      </c>
      <c r="G73" s="8">
        <v>1</v>
      </c>
      <c r="H73" s="8" t="s">
        <v>35</v>
      </c>
      <c r="I73" s="41" t="s">
        <v>58</v>
      </c>
      <c r="K73" s="8" t="str">
        <v>VT04350</v>
      </c>
      <c r="L73" s="8" t="str">
        <v>Kulbhushan Moorthy</v>
      </c>
      <c r="M73" s="8" t="str">
        <v>Male</v>
      </c>
      <c r="N73" s="8" t="str">
        <v>Business Development</v>
      </c>
      <c r="O73" s="8">
        <v>106400.02</v>
      </c>
      <c r="P73" s="72" t="str">
        <v>9-Jul-20</v>
      </c>
      <c r="Q73" s="8">
        <v>1</v>
      </c>
      <c r="R73" s="9" t="str">
        <v>Temporary</v>
      </c>
      <c r="S73" s="9" t="str">
        <v>Chennai, India</v>
      </c>
    </row>
    <row r="74" spans="1:19" ht="14.5" x14ac:dyDescent="0.3">
      <c r="A74" s="40" t="s">
        <v>550</v>
      </c>
      <c r="B74" s="8" t="s">
        <v>551</v>
      </c>
      <c r="C74" s="8" t="s">
        <v>47</v>
      </c>
      <c r="D74" s="8" t="s">
        <v>1064</v>
      </c>
      <c r="E74" s="17">
        <v>90697.67</v>
      </c>
      <c r="F74" s="18">
        <v>44221</v>
      </c>
      <c r="G74" s="8">
        <v>0.8</v>
      </c>
      <c r="H74" s="8" t="s">
        <v>35</v>
      </c>
      <c r="I74" s="41" t="s">
        <v>136</v>
      </c>
      <c r="K74" s="8" t="str">
        <v>SQ02035</v>
      </c>
      <c r="L74" s="8" t="str">
        <v>Anni Izzard</v>
      </c>
      <c r="M74" s="8" t="str">
        <v>Male</v>
      </c>
      <c r="N74" s="8" t="str">
        <v>Human Resources</v>
      </c>
      <c r="O74" s="8">
        <v>103494.94</v>
      </c>
      <c r="P74" s="72" t="str">
        <v>Jun 5, 2018</v>
      </c>
      <c r="Q74" s="8">
        <v>1</v>
      </c>
      <c r="R74" s="9" t="str">
        <v>Permanent</v>
      </c>
      <c r="S74" s="9" t="str">
        <v>Remote</v>
      </c>
    </row>
    <row r="75" spans="1:19" ht="14.5" x14ac:dyDescent="0.3">
      <c r="A75" s="40" t="s">
        <v>643</v>
      </c>
      <c r="B75" s="8" t="s">
        <v>644</v>
      </c>
      <c r="C75" s="8" t="s">
        <v>33</v>
      </c>
      <c r="D75" s="8" t="s">
        <v>1064</v>
      </c>
      <c r="E75" s="17"/>
      <c r="F75" s="18">
        <v>44011</v>
      </c>
      <c r="G75" s="8">
        <v>1</v>
      </c>
      <c r="H75" s="8" t="s">
        <v>35</v>
      </c>
      <c r="I75" s="41" t="s">
        <v>82</v>
      </c>
      <c r="K75" s="8" t="str">
        <v>SQ02035</v>
      </c>
      <c r="L75" s="8" t="str">
        <v>Anni Izzard</v>
      </c>
      <c r="M75" s="8" t="str">
        <v>Male</v>
      </c>
      <c r="N75" s="8" t="str">
        <v>Human Resources</v>
      </c>
      <c r="O75" s="8">
        <v>103494.94</v>
      </c>
      <c r="P75" s="72" t="str">
        <v>Jun 5, 2018</v>
      </c>
      <c r="Q75" s="8">
        <v>1</v>
      </c>
      <c r="R75" s="9" t="str">
        <v>Permanent</v>
      </c>
      <c r="S75" s="9" t="str">
        <v>Remote</v>
      </c>
    </row>
    <row r="76" spans="1:19" ht="14.5" x14ac:dyDescent="0.3">
      <c r="A76" s="40" t="s">
        <v>645</v>
      </c>
      <c r="B76" s="8" t="s">
        <v>646</v>
      </c>
      <c r="C76" s="8"/>
      <c r="D76" s="8" t="s">
        <v>85</v>
      </c>
      <c r="E76" s="17">
        <v>67957.899999999994</v>
      </c>
      <c r="F76" s="18">
        <v>43430</v>
      </c>
      <c r="G76" s="8">
        <v>1</v>
      </c>
      <c r="H76" s="8" t="s">
        <v>35</v>
      </c>
      <c r="I76" s="41" t="s">
        <v>49</v>
      </c>
      <c r="K76" s="8" t="str">
        <v>VT04350</v>
      </c>
      <c r="L76" s="8" t="str">
        <v>Lalit Kothari</v>
      </c>
      <c r="M76" s="8" t="str">
        <v>Male</v>
      </c>
      <c r="N76" s="8" t="str">
        <v>Business Development</v>
      </c>
      <c r="O76" s="8">
        <v>106400.02</v>
      </c>
      <c r="P76" s="72" t="str">
        <v>9-Jul-20</v>
      </c>
      <c r="Q76" s="8">
        <v>1</v>
      </c>
      <c r="R76" s="9" t="str">
        <v>Temporary</v>
      </c>
      <c r="S76" s="9" t="str">
        <v>Chennai, India</v>
      </c>
    </row>
    <row r="77" spans="1:19" ht="14.5" x14ac:dyDescent="0.3">
      <c r="A77" s="40" t="s">
        <v>647</v>
      </c>
      <c r="B77" s="8" t="s">
        <v>648</v>
      </c>
      <c r="C77" s="8" t="s">
        <v>47</v>
      </c>
      <c r="D77" s="8" t="s">
        <v>53</v>
      </c>
      <c r="E77" s="17">
        <v>114465.93</v>
      </c>
      <c r="F77" s="18">
        <v>43291</v>
      </c>
      <c r="G77" s="8">
        <v>1</v>
      </c>
      <c r="H77" s="8" t="s">
        <v>525</v>
      </c>
      <c r="I77" s="41" t="s">
        <v>82</v>
      </c>
      <c r="K77" s="43" t="str">
        <v>VT03421</v>
      </c>
      <c r="L77" s="43" t="str">
        <v>Alic Bagg</v>
      </c>
      <c r="M77" s="43" t="str">
        <v>Male</v>
      </c>
      <c r="N77" s="43" t="str">
        <v>Legal</v>
      </c>
      <c r="O77" s="43">
        <v>113747.56</v>
      </c>
      <c r="P77" s="72" t="str">
        <v>15-Mar-21</v>
      </c>
      <c r="Q77" s="8">
        <v>0.7</v>
      </c>
      <c r="R77" s="9" t="str">
        <v>Temporary</v>
      </c>
      <c r="S77" s="9" t="str">
        <v>Columbus, USA</v>
      </c>
    </row>
    <row r="78" spans="1:19" ht="14.5" x14ac:dyDescent="0.3">
      <c r="A78" s="40" t="s">
        <v>90</v>
      </c>
      <c r="B78" s="8" t="s">
        <v>91</v>
      </c>
      <c r="C78" s="8" t="s">
        <v>47</v>
      </c>
      <c r="D78" s="8" t="s">
        <v>92</v>
      </c>
      <c r="E78" s="17">
        <v>65699.02</v>
      </c>
      <c r="F78" s="18" t="s">
        <v>649</v>
      </c>
      <c r="G78" s="8">
        <v>1</v>
      </c>
      <c r="H78" s="8" t="s">
        <v>35</v>
      </c>
      <c r="I78" s="41" t="s">
        <v>58</v>
      </c>
    </row>
    <row r="79" spans="1:19" ht="14.5" x14ac:dyDescent="0.3">
      <c r="A79" s="40" t="s">
        <v>650</v>
      </c>
      <c r="B79" s="8" t="s">
        <v>651</v>
      </c>
      <c r="C79" s="8" t="s">
        <v>47</v>
      </c>
      <c r="D79" s="8" t="s">
        <v>42</v>
      </c>
      <c r="E79" s="17">
        <v>83191.95</v>
      </c>
      <c r="F79" s="18">
        <v>43700</v>
      </c>
      <c r="G79" s="8">
        <v>0.6</v>
      </c>
      <c r="H79" s="8" t="s">
        <v>525</v>
      </c>
      <c r="I79" s="41" t="s">
        <v>36</v>
      </c>
      <c r="J79" s="80" t="s">
        <v>1009</v>
      </c>
    </row>
    <row r="80" spans="1:19" ht="28.8" x14ac:dyDescent="0.3">
      <c r="A80" s="40" t="s">
        <v>652</v>
      </c>
      <c r="B80" s="8" t="s">
        <v>653</v>
      </c>
      <c r="C80" s="8" t="s">
        <v>47</v>
      </c>
      <c r="D80" s="8" t="s">
        <v>141</v>
      </c>
      <c r="E80" s="17">
        <v>106775.14</v>
      </c>
      <c r="F80" s="18">
        <v>43563</v>
      </c>
      <c r="G80" s="8">
        <v>1</v>
      </c>
      <c r="H80" s="8" t="s">
        <v>504</v>
      </c>
      <c r="I80" s="41" t="s">
        <v>102</v>
      </c>
      <c r="J80" s="80" t="s">
        <v>1005</v>
      </c>
      <c r="K80" s="78" t="s">
        <v>1011</v>
      </c>
      <c r="M80" s="69">
        <v>115000</v>
      </c>
      <c r="N80" s="79" t="s">
        <v>997</v>
      </c>
      <c r="O80" s="69" t="s">
        <v>33</v>
      </c>
    </row>
    <row r="81" spans="1:19" ht="14.5" x14ac:dyDescent="0.3">
      <c r="A81" s="40" t="s">
        <v>654</v>
      </c>
      <c r="B81" s="8" t="s">
        <v>655</v>
      </c>
      <c r="C81" s="8" t="s">
        <v>47</v>
      </c>
      <c r="D81" s="8" t="s">
        <v>85</v>
      </c>
      <c r="E81" s="17">
        <v>83396.5</v>
      </c>
      <c r="F81" s="18" t="s">
        <v>656</v>
      </c>
      <c r="G81" s="8">
        <v>1</v>
      </c>
      <c r="H81" s="8" t="s">
        <v>525</v>
      </c>
      <c r="I81" s="41" t="s">
        <v>71</v>
      </c>
    </row>
    <row r="82" spans="1:19" ht="14.5" x14ac:dyDescent="0.3">
      <c r="A82" s="40" t="s">
        <v>657</v>
      </c>
      <c r="B82" s="8" t="s">
        <v>658</v>
      </c>
      <c r="C82" s="8" t="s">
        <v>47</v>
      </c>
      <c r="D82" s="8" t="s">
        <v>1064</v>
      </c>
      <c r="E82" s="17">
        <v>28481.16</v>
      </c>
      <c r="F82" s="18" t="s">
        <v>659</v>
      </c>
      <c r="G82" s="8">
        <v>1</v>
      </c>
      <c r="H82" s="8" t="s">
        <v>525</v>
      </c>
      <c r="I82" s="41" t="s">
        <v>49</v>
      </c>
    </row>
    <row r="83" spans="1:19" ht="14.5" x14ac:dyDescent="0.3">
      <c r="A83" s="40" t="s">
        <v>116</v>
      </c>
      <c r="B83" s="8" t="s">
        <v>117</v>
      </c>
      <c r="C83" s="8" t="s">
        <v>47</v>
      </c>
      <c r="D83" s="8" t="s">
        <v>42</v>
      </c>
      <c r="E83" s="17">
        <v>32192.15</v>
      </c>
      <c r="F83" s="18" t="s">
        <v>660</v>
      </c>
      <c r="G83" s="8">
        <v>1</v>
      </c>
      <c r="H83" s="8" t="s">
        <v>35</v>
      </c>
      <c r="I83" s="41" t="s">
        <v>102</v>
      </c>
      <c r="K83" s="71" t="str" cm="1">
        <f t="array" ref="K83:S83">Table3[#Headers]</f>
        <v>Emp ID</v>
      </c>
      <c r="L83" s="71" t="str">
        <v>Name</v>
      </c>
      <c r="M83" s="71" t="str">
        <v>Gender</v>
      </c>
      <c r="N83" s="71" t="str">
        <v>Department</v>
      </c>
      <c r="O83" s="73" t="str">
        <v>Salary</v>
      </c>
      <c r="P83" s="72" t="str">
        <v>Start Date</v>
      </c>
      <c r="Q83" s="1" t="str">
        <v>FTE</v>
      </c>
      <c r="R83" s="5" t="str">
        <v>Employee type</v>
      </c>
      <c r="S83" s="5" t="str">
        <v>Work location</v>
      </c>
    </row>
    <row r="84" spans="1:19" ht="14.5" x14ac:dyDescent="0.3">
      <c r="A84" s="40" t="s">
        <v>550</v>
      </c>
      <c r="B84" s="8" t="s">
        <v>551</v>
      </c>
      <c r="C84" s="8" t="s">
        <v>47</v>
      </c>
      <c r="D84" s="8" t="s">
        <v>1064</v>
      </c>
      <c r="E84" s="17">
        <v>90697.67</v>
      </c>
      <c r="F84" s="18">
        <v>44221</v>
      </c>
      <c r="G84" s="8">
        <v>0.8</v>
      </c>
      <c r="H84" s="8" t="s">
        <v>35</v>
      </c>
      <c r="I84" s="41" t="s">
        <v>136</v>
      </c>
      <c r="K84" s="1" t="str" cm="1">
        <f t="array" ref="K84:S89">_xlfn._xlws.FILTER(Table3[],Table3[Salary]&gt;M80)</f>
        <v>SQ04612</v>
      </c>
      <c r="L84" s="1" t="str">
        <v>Mick Spraberry</v>
      </c>
      <c r="M84" s="1" t="str">
        <v>Female</v>
      </c>
      <c r="N84" s="1" t="str">
        <v>Services</v>
      </c>
      <c r="O84" s="74">
        <v>120000</v>
      </c>
      <c r="P84" s="72">
        <v>43893</v>
      </c>
      <c r="Q84" s="1">
        <v>0.9</v>
      </c>
      <c r="R84" s="5" t="str">
        <v>Permanent</v>
      </c>
      <c r="S84" s="5" t="str">
        <v>Remote</v>
      </c>
    </row>
    <row r="85" spans="1:19" ht="14.5" x14ac:dyDescent="0.3">
      <c r="A85" s="40" t="s">
        <v>662</v>
      </c>
      <c r="B85" s="8" t="s">
        <v>663</v>
      </c>
      <c r="C85" s="8"/>
      <c r="D85" s="8" t="s">
        <v>99</v>
      </c>
      <c r="E85" s="17">
        <v>107107.6</v>
      </c>
      <c r="F85" s="18" t="s">
        <v>664</v>
      </c>
      <c r="G85" s="8">
        <v>0.9</v>
      </c>
      <c r="H85" s="8" t="s">
        <v>35</v>
      </c>
      <c r="I85" s="41" t="s">
        <v>49</v>
      </c>
      <c r="K85" s="1" t="str">
        <v>SQ00144</v>
      </c>
      <c r="L85" s="1" t="str">
        <v>Collen Dunbleton</v>
      </c>
      <c r="M85" s="1" t="str">
        <v>Male</v>
      </c>
      <c r="N85" s="1" t="str">
        <v>Engineering</v>
      </c>
      <c r="O85" s="74">
        <v>118976.16</v>
      </c>
      <c r="P85" s="72" t="str">
        <v>Oct 16, 2020</v>
      </c>
      <c r="Q85" s="1">
        <v>1</v>
      </c>
      <c r="R85" s="5" t="str">
        <v>Permanent</v>
      </c>
      <c r="S85" s="5" t="str">
        <v>Wellington, New Zealand</v>
      </c>
    </row>
    <row r="86" spans="1:19" ht="14.5" x14ac:dyDescent="0.3">
      <c r="A86" s="40" t="s">
        <v>66</v>
      </c>
      <c r="B86" s="8" t="s">
        <v>56</v>
      </c>
      <c r="C86" s="8" t="s">
        <v>33</v>
      </c>
      <c r="D86" s="8" t="s">
        <v>57</v>
      </c>
      <c r="E86" s="17">
        <v>80695.740000000005</v>
      </c>
      <c r="F86" s="18" t="s">
        <v>665</v>
      </c>
      <c r="G86" s="8">
        <v>0.8</v>
      </c>
      <c r="H86" s="8" t="s">
        <v>35</v>
      </c>
      <c r="I86" s="41" t="s">
        <v>58</v>
      </c>
      <c r="K86" s="1" t="str">
        <v>VT04093</v>
      </c>
      <c r="L86" s="1" t="str">
        <v>Prasanna Lakshmi Payasam</v>
      </c>
      <c r="M86" s="1" t="str">
        <v>Female</v>
      </c>
      <c r="N86" s="1" t="str">
        <v>Training</v>
      </c>
      <c r="O86" s="74">
        <v>116767.63</v>
      </c>
      <c r="P86" s="72">
        <v>43949</v>
      </c>
      <c r="Q86" s="1">
        <v>0.4</v>
      </c>
      <c r="R86" s="5" t="str">
        <v>Temporary</v>
      </c>
      <c r="S86" s="5" t="str">
        <v>Chennai, India</v>
      </c>
    </row>
    <row r="87" spans="1:19" ht="14.5" x14ac:dyDescent="0.3">
      <c r="A87" s="40" t="s">
        <v>666</v>
      </c>
      <c r="B87" s="8" t="s">
        <v>667</v>
      </c>
      <c r="C87" s="8" t="s">
        <v>33</v>
      </c>
      <c r="D87" s="8" t="s">
        <v>141</v>
      </c>
      <c r="E87" s="17">
        <v>75475.929999999993</v>
      </c>
      <c r="F87" s="18" t="s">
        <v>668</v>
      </c>
      <c r="G87" s="8">
        <v>1</v>
      </c>
      <c r="H87" s="8" t="s">
        <v>35</v>
      </c>
      <c r="I87" s="41" t="s">
        <v>36</v>
      </c>
      <c r="K87" s="1" t="str">
        <v>PR02010</v>
      </c>
      <c r="L87" s="1" t="str">
        <v>Prerana Nishita</v>
      </c>
      <c r="M87" s="1" t="str">
        <v>Male</v>
      </c>
      <c r="N87" s="1" t="str">
        <v>Product Management</v>
      </c>
      <c r="O87" s="74">
        <v>115191.38</v>
      </c>
      <c r="P87" s="72">
        <v>44004</v>
      </c>
      <c r="Q87" s="1">
        <v>1</v>
      </c>
      <c r="R87" s="5" t="str">
        <v>Permanent</v>
      </c>
      <c r="S87" s="5" t="str">
        <v>Hyderabad, India</v>
      </c>
    </row>
    <row r="88" spans="1:19" ht="14.5" x14ac:dyDescent="0.3">
      <c r="A88" s="40" t="s">
        <v>669</v>
      </c>
      <c r="B88" s="8" t="s">
        <v>670</v>
      </c>
      <c r="C88" s="8" t="s">
        <v>33</v>
      </c>
      <c r="D88" s="8" t="s">
        <v>57</v>
      </c>
      <c r="E88" s="17">
        <v>86558.58</v>
      </c>
      <c r="F88" s="18" t="s">
        <v>671</v>
      </c>
      <c r="G88" s="8">
        <v>1</v>
      </c>
      <c r="H88" s="8" t="s">
        <v>504</v>
      </c>
      <c r="I88" s="41" t="s">
        <v>36</v>
      </c>
      <c r="K88" s="1" t="str">
        <v>PR03886</v>
      </c>
      <c r="L88" s="1" t="str">
        <v>Edd  MacKnockiter</v>
      </c>
      <c r="M88" s="1" t="str">
        <v>Male</v>
      </c>
      <c r="N88" s="1" t="str">
        <v>Accounting</v>
      </c>
      <c r="O88" s="74">
        <v>119022.49</v>
      </c>
      <c r="P88" s="72">
        <v>44431</v>
      </c>
      <c r="Q88" s="1">
        <v>1</v>
      </c>
      <c r="R88" s="5" t="str">
        <v>Permanent</v>
      </c>
      <c r="S88" s="5" t="str">
        <v>Auckland, New Zealand</v>
      </c>
    </row>
    <row r="89" spans="1:19" ht="14.5" x14ac:dyDescent="0.3">
      <c r="A89" s="40" t="s">
        <v>74</v>
      </c>
      <c r="B89" s="8" t="s">
        <v>75</v>
      </c>
      <c r="C89" s="8" t="s">
        <v>33</v>
      </c>
      <c r="D89" s="8" t="s">
        <v>76</v>
      </c>
      <c r="E89" s="17">
        <v>84309.95</v>
      </c>
      <c r="F89" s="18">
        <v>44501</v>
      </c>
      <c r="G89" s="8">
        <v>1</v>
      </c>
      <c r="H89" s="8" t="s">
        <v>35</v>
      </c>
      <c r="I89" s="41" t="s">
        <v>36</v>
      </c>
      <c r="K89" s="1" t="str">
        <v>VT04093</v>
      </c>
      <c r="L89" s="1" t="str">
        <v>Baruna Ogale</v>
      </c>
      <c r="M89" s="1" t="str">
        <v>Female</v>
      </c>
      <c r="N89" s="1" t="str">
        <v>Training</v>
      </c>
      <c r="O89" s="74">
        <v>116767.63</v>
      </c>
      <c r="P89" s="72">
        <v>43949</v>
      </c>
      <c r="Q89" s="1">
        <v>0.4</v>
      </c>
      <c r="R89" s="5" t="str">
        <v>Temporary</v>
      </c>
      <c r="S89" s="5" t="str">
        <v>Chennai, India</v>
      </c>
    </row>
    <row r="90" spans="1:19" ht="28.8" x14ac:dyDescent="0.3">
      <c r="A90" s="40" t="s">
        <v>124</v>
      </c>
      <c r="B90" s="8" t="s">
        <v>125</v>
      </c>
      <c r="C90" s="8" t="s">
        <v>47</v>
      </c>
      <c r="D90" s="8" t="s">
        <v>99</v>
      </c>
      <c r="E90" s="17">
        <v>91645.04</v>
      </c>
      <c r="F90" s="18">
        <v>44223</v>
      </c>
      <c r="G90" s="8">
        <v>1</v>
      </c>
      <c r="H90" s="8" t="s">
        <v>35</v>
      </c>
      <c r="I90" s="41" t="s">
        <v>71</v>
      </c>
      <c r="J90" s="80" t="s">
        <v>1013</v>
      </c>
      <c r="O90" s="74"/>
    </row>
    <row r="91" spans="1:19" ht="28.8" x14ac:dyDescent="0.3">
      <c r="A91" s="40" t="s">
        <v>672</v>
      </c>
      <c r="B91" s="8" t="s">
        <v>673</v>
      </c>
      <c r="C91" s="8" t="s">
        <v>33</v>
      </c>
      <c r="D91" s="8" t="s">
        <v>81</v>
      </c>
      <c r="E91" s="17">
        <v>101187.36</v>
      </c>
      <c r="F91" s="18">
        <v>43258</v>
      </c>
      <c r="G91" s="8">
        <v>1</v>
      </c>
      <c r="H91" s="8" t="s">
        <v>504</v>
      </c>
      <c r="I91" s="41" t="s">
        <v>58</v>
      </c>
      <c r="J91" s="80" t="s">
        <v>1012</v>
      </c>
      <c r="O91" s="74"/>
    </row>
    <row r="92" spans="1:19" ht="14.5" x14ac:dyDescent="0.3">
      <c r="A92" s="40" t="s">
        <v>582</v>
      </c>
      <c r="B92" s="8" t="s">
        <v>583</v>
      </c>
      <c r="C92" s="8" t="s">
        <v>47</v>
      </c>
      <c r="D92" s="8" t="s">
        <v>57</v>
      </c>
      <c r="E92" s="17">
        <v>80169.42</v>
      </c>
      <c r="F92" s="18" t="s">
        <v>584</v>
      </c>
      <c r="G92" s="8">
        <v>1</v>
      </c>
      <c r="H92" s="8" t="s">
        <v>35</v>
      </c>
      <c r="I92" s="41" t="s">
        <v>71</v>
      </c>
      <c r="K92" s="78" t="s">
        <v>1011</v>
      </c>
    </row>
    <row r="93" spans="1:19" ht="14.5" x14ac:dyDescent="0.3">
      <c r="A93" s="40" t="s">
        <v>674</v>
      </c>
      <c r="B93" s="8" t="s">
        <v>675</v>
      </c>
      <c r="C93" s="8" t="s">
        <v>33</v>
      </c>
      <c r="D93" s="8" t="s">
        <v>34</v>
      </c>
      <c r="E93" s="17">
        <v>104038.9</v>
      </c>
      <c r="F93" s="18">
        <v>43815</v>
      </c>
      <c r="G93" s="8">
        <v>1</v>
      </c>
      <c r="H93" s="8" t="s">
        <v>504</v>
      </c>
      <c r="I93" s="41" t="s">
        <v>36</v>
      </c>
      <c r="K93" s="1" t="s">
        <v>1003</v>
      </c>
    </row>
    <row r="94" spans="1:19" ht="14.5" x14ac:dyDescent="0.3">
      <c r="A94" s="40" t="s">
        <v>676</v>
      </c>
      <c r="B94" s="8" t="s">
        <v>677</v>
      </c>
      <c r="C94" s="8" t="s">
        <v>33</v>
      </c>
      <c r="D94" s="8" t="s">
        <v>76</v>
      </c>
      <c r="E94" s="17">
        <v>99683.67</v>
      </c>
      <c r="F94" s="18" t="s">
        <v>678</v>
      </c>
      <c r="G94" s="8">
        <v>1</v>
      </c>
      <c r="H94" s="8" t="s">
        <v>504</v>
      </c>
      <c r="I94" s="41" t="s">
        <v>136</v>
      </c>
      <c r="K94" s="67" t="str" cm="1">
        <f t="array" ref="K94:O94">_xlfn.CHOOSECOLS(Table3[#Headers],1,2,4,5,8)</f>
        <v>Emp ID</v>
      </c>
      <c r="L94" s="67" t="str">
        <v>Name</v>
      </c>
      <c r="M94" s="67" t="str">
        <v>Department</v>
      </c>
      <c r="N94" s="76" t="str">
        <v>Salary</v>
      </c>
      <c r="O94" s="67" t="str">
        <v>Employee type</v>
      </c>
    </row>
    <row r="95" spans="1:19" ht="14.5" x14ac:dyDescent="0.3">
      <c r="A95" s="40" t="s">
        <v>679</v>
      </c>
      <c r="B95" s="8" t="s">
        <v>680</v>
      </c>
      <c r="C95" s="8" t="s">
        <v>47</v>
      </c>
      <c r="D95" s="8" t="s">
        <v>53</v>
      </c>
      <c r="E95" s="17">
        <v>47362.62</v>
      </c>
      <c r="F95" s="18" t="s">
        <v>681</v>
      </c>
      <c r="G95" s="8">
        <v>1</v>
      </c>
      <c r="H95" s="8" t="s">
        <v>525</v>
      </c>
      <c r="I95" s="41" t="s">
        <v>36</v>
      </c>
      <c r="K95" s="8" t="str" cm="1">
        <f t="array" ref="K95:O100">_xlfn.CHOOSECOLS(_xlfn._xlws.FILTER(Table3[],Table3[Salary]&gt;M80),1,2,4,5,8)</f>
        <v>SQ04612</v>
      </c>
      <c r="L95" s="8" t="str">
        <v>Mick Spraberry</v>
      </c>
      <c r="M95" s="8" t="str">
        <v>Services</v>
      </c>
      <c r="N95" s="60">
        <v>120000</v>
      </c>
      <c r="O95" s="8" t="str">
        <v>Permanent</v>
      </c>
    </row>
    <row r="96" spans="1:19" ht="14.5" x14ac:dyDescent="0.3">
      <c r="A96" s="40" t="s">
        <v>157</v>
      </c>
      <c r="B96" s="8" t="s">
        <v>158</v>
      </c>
      <c r="C96" s="8" t="s">
        <v>33</v>
      </c>
      <c r="D96" s="8" t="s">
        <v>57</v>
      </c>
      <c r="E96" s="17">
        <v>70649.460000000006</v>
      </c>
      <c r="F96" s="18" t="s">
        <v>682</v>
      </c>
      <c r="G96" s="8">
        <v>1</v>
      </c>
      <c r="H96" s="8" t="s">
        <v>35</v>
      </c>
      <c r="I96" s="41" t="s">
        <v>102</v>
      </c>
      <c r="K96" s="8" t="str">
        <v>SQ00144</v>
      </c>
      <c r="L96" s="8" t="str">
        <v>Collen Dunbleton</v>
      </c>
      <c r="M96" s="8" t="str">
        <v>Engineering</v>
      </c>
      <c r="N96" s="60">
        <v>118976.16</v>
      </c>
      <c r="O96" s="8" t="str">
        <v>Permanent</v>
      </c>
    </row>
    <row r="97" spans="1:19" ht="14.5" x14ac:dyDescent="0.3">
      <c r="A97" s="40" t="s">
        <v>683</v>
      </c>
      <c r="B97" s="8" t="s">
        <v>684</v>
      </c>
      <c r="C97" s="8" t="s">
        <v>33</v>
      </c>
      <c r="D97" s="8" t="s">
        <v>1064</v>
      </c>
      <c r="E97" s="17">
        <v>75733.740000000005</v>
      </c>
      <c r="F97" s="18" t="s">
        <v>685</v>
      </c>
      <c r="G97" s="8">
        <v>1</v>
      </c>
      <c r="H97" s="8" t="s">
        <v>35</v>
      </c>
      <c r="I97" s="41" t="s">
        <v>102</v>
      </c>
      <c r="K97" s="8" t="str">
        <v>VT04093</v>
      </c>
      <c r="L97" s="8" t="str">
        <v>Prasanna Lakshmi Payasam</v>
      </c>
      <c r="M97" s="8" t="str">
        <v>Training</v>
      </c>
      <c r="N97" s="60">
        <v>116767.63</v>
      </c>
      <c r="O97" s="8" t="str">
        <v>Temporary</v>
      </c>
    </row>
    <row r="98" spans="1:19" ht="14.5" x14ac:dyDescent="0.3">
      <c r="A98" s="40" t="s">
        <v>686</v>
      </c>
      <c r="B98" s="8" t="s">
        <v>687</v>
      </c>
      <c r="C98" s="8" t="s">
        <v>33</v>
      </c>
      <c r="D98" s="8" t="s">
        <v>99</v>
      </c>
      <c r="E98" s="17">
        <v>71823.56</v>
      </c>
      <c r="F98" s="18" t="s">
        <v>688</v>
      </c>
      <c r="G98" s="8">
        <v>0.3</v>
      </c>
      <c r="H98" s="8" t="s">
        <v>525</v>
      </c>
      <c r="I98" s="41" t="s">
        <v>36</v>
      </c>
      <c r="K98" s="8" t="str">
        <v>PR02010</v>
      </c>
      <c r="L98" s="8" t="str">
        <v>Prerana Nishita</v>
      </c>
      <c r="M98" s="8" t="str">
        <v>Product Management</v>
      </c>
      <c r="N98" s="60">
        <v>115191.38</v>
      </c>
      <c r="O98" s="8" t="str">
        <v>Permanent</v>
      </c>
    </row>
    <row r="99" spans="1:19" ht="14.5" x14ac:dyDescent="0.3">
      <c r="A99" s="40" t="s">
        <v>689</v>
      </c>
      <c r="B99" s="8" t="s">
        <v>690</v>
      </c>
      <c r="C99" s="8" t="s">
        <v>33</v>
      </c>
      <c r="D99" s="8" t="s">
        <v>42</v>
      </c>
      <c r="E99" s="17">
        <v>41934.71</v>
      </c>
      <c r="F99" s="18">
        <v>43943</v>
      </c>
      <c r="G99" s="8">
        <v>1</v>
      </c>
      <c r="H99" s="8" t="s">
        <v>35</v>
      </c>
      <c r="I99" s="41" t="s">
        <v>36</v>
      </c>
      <c r="K99" s="8" t="str">
        <v>PR03886</v>
      </c>
      <c r="L99" s="8" t="str">
        <v>Edd  MacKnockiter</v>
      </c>
      <c r="M99" s="8" t="str">
        <v>Accounting</v>
      </c>
      <c r="N99" s="60">
        <v>119022.49</v>
      </c>
      <c r="O99" s="8" t="str">
        <v>Permanent</v>
      </c>
    </row>
    <row r="100" spans="1:19" ht="14.5" x14ac:dyDescent="0.3">
      <c r="A100" s="40" t="s">
        <v>86</v>
      </c>
      <c r="B100" s="8" t="s">
        <v>87</v>
      </c>
      <c r="C100" s="8" t="s">
        <v>47</v>
      </c>
      <c r="D100" s="8" t="s">
        <v>1064</v>
      </c>
      <c r="E100" s="17">
        <v>66572.58</v>
      </c>
      <c r="F100" s="18" t="s">
        <v>691</v>
      </c>
      <c r="G100" s="8">
        <v>1</v>
      </c>
      <c r="H100" s="8" t="s">
        <v>35</v>
      </c>
      <c r="I100" s="41" t="s">
        <v>49</v>
      </c>
      <c r="K100" s="8" t="str">
        <v>VT04093</v>
      </c>
      <c r="L100" s="8" t="str">
        <v>Baruna Ogale</v>
      </c>
      <c r="M100" s="8" t="str">
        <v>Training</v>
      </c>
      <c r="N100" s="60">
        <v>116767.63</v>
      </c>
      <c r="O100" s="8" t="str">
        <v>Temporary</v>
      </c>
    </row>
    <row r="101" spans="1:19" ht="14.5" x14ac:dyDescent="0.3">
      <c r="A101" s="40" t="s">
        <v>692</v>
      </c>
      <c r="B101" s="8" t="s">
        <v>693</v>
      </c>
      <c r="C101" s="8" t="s">
        <v>47</v>
      </c>
      <c r="D101" s="8" t="s">
        <v>92</v>
      </c>
      <c r="E101" s="17">
        <v>76932.600000000006</v>
      </c>
      <c r="F101" s="18" t="s">
        <v>694</v>
      </c>
      <c r="G101" s="8">
        <v>1</v>
      </c>
      <c r="H101" s="8" t="s">
        <v>35</v>
      </c>
      <c r="I101" s="41" t="s">
        <v>102</v>
      </c>
      <c r="K101" s="8"/>
      <c r="L101" s="8"/>
      <c r="M101" s="8"/>
      <c r="N101" s="60"/>
      <c r="O101" s="8"/>
    </row>
    <row r="102" spans="1:19" ht="14.5" x14ac:dyDescent="0.3">
      <c r="A102" s="40" t="s">
        <v>695</v>
      </c>
      <c r="B102" s="8" t="s">
        <v>696</v>
      </c>
      <c r="C102" s="8" t="s">
        <v>47</v>
      </c>
      <c r="D102" s="8" t="s">
        <v>34</v>
      </c>
      <c r="E102" s="17">
        <v>59258.19</v>
      </c>
      <c r="F102" s="18">
        <v>43452</v>
      </c>
      <c r="G102" s="8">
        <v>0.8</v>
      </c>
      <c r="H102" s="8" t="s">
        <v>35</v>
      </c>
      <c r="I102" s="41" t="s">
        <v>136</v>
      </c>
      <c r="K102" s="8"/>
      <c r="L102" s="8"/>
      <c r="M102" s="8"/>
      <c r="N102" s="60"/>
      <c r="O102" s="8"/>
    </row>
    <row r="103" spans="1:19" ht="14.5" x14ac:dyDescent="0.3">
      <c r="A103" s="40" t="s">
        <v>697</v>
      </c>
      <c r="B103" s="8" t="s">
        <v>698</v>
      </c>
      <c r="C103" s="8" t="s">
        <v>47</v>
      </c>
      <c r="D103" s="8" t="s">
        <v>81</v>
      </c>
      <c r="E103" s="17">
        <v>112778.28</v>
      </c>
      <c r="F103" s="18">
        <v>43250</v>
      </c>
      <c r="G103" s="8">
        <v>1</v>
      </c>
      <c r="H103" s="8" t="s">
        <v>504</v>
      </c>
      <c r="I103" s="41" t="s">
        <v>36</v>
      </c>
    </row>
    <row r="104" spans="1:19" ht="14.5" x14ac:dyDescent="0.3">
      <c r="A104" s="40" t="s">
        <v>699</v>
      </c>
      <c r="B104" s="8" t="s">
        <v>700</v>
      </c>
      <c r="C104" s="8" t="s">
        <v>33</v>
      </c>
      <c r="D104" s="8" t="s">
        <v>99</v>
      </c>
      <c r="E104" s="17">
        <v>44845.33</v>
      </c>
      <c r="F104" s="18" t="s">
        <v>701</v>
      </c>
      <c r="G104" s="8">
        <v>1</v>
      </c>
      <c r="H104" s="8" t="s">
        <v>35</v>
      </c>
      <c r="I104" s="41" t="s">
        <v>136</v>
      </c>
    </row>
    <row r="105" spans="1:19" ht="43.25" x14ac:dyDescent="0.3">
      <c r="A105" s="40" t="s">
        <v>151</v>
      </c>
      <c r="B105" s="8" t="s">
        <v>152</v>
      </c>
      <c r="C105" s="8" t="s">
        <v>47</v>
      </c>
      <c r="D105" s="8" t="s">
        <v>141</v>
      </c>
      <c r="E105" s="17">
        <v>115191.38</v>
      </c>
      <c r="F105" s="18">
        <v>44004</v>
      </c>
      <c r="G105" s="8">
        <v>1</v>
      </c>
      <c r="H105" s="8" t="s">
        <v>35</v>
      </c>
      <c r="I105" s="41" t="s">
        <v>102</v>
      </c>
      <c r="J105" s="80" t="s">
        <v>1008</v>
      </c>
    </row>
    <row r="106" spans="1:19" ht="14.5" x14ac:dyDescent="0.3">
      <c r="A106" s="40" t="s">
        <v>702</v>
      </c>
      <c r="B106" s="8" t="s">
        <v>703</v>
      </c>
      <c r="C106" s="8" t="s">
        <v>33</v>
      </c>
      <c r="D106" s="8" t="s">
        <v>1064</v>
      </c>
      <c r="E106" s="17">
        <v>111049.84</v>
      </c>
      <c r="F106" s="18">
        <v>44393</v>
      </c>
      <c r="G106" s="8">
        <v>1</v>
      </c>
      <c r="H106" s="8" t="s">
        <v>35</v>
      </c>
      <c r="I106" s="41" t="s">
        <v>82</v>
      </c>
      <c r="J106" s="2"/>
      <c r="K106" s="78" t="s">
        <v>1004</v>
      </c>
    </row>
    <row r="107" spans="1:19" ht="14.5" x14ac:dyDescent="0.3">
      <c r="A107" s="40" t="s">
        <v>31</v>
      </c>
      <c r="B107" s="8" t="s">
        <v>32</v>
      </c>
      <c r="C107" s="8" t="s">
        <v>33</v>
      </c>
      <c r="D107" s="8" t="s">
        <v>34</v>
      </c>
      <c r="E107" s="17">
        <v>75974.990000000005</v>
      </c>
      <c r="F107" s="18" t="s">
        <v>704</v>
      </c>
      <c r="G107" s="8">
        <v>1</v>
      </c>
      <c r="H107" s="8" t="s">
        <v>35</v>
      </c>
      <c r="I107" s="41" t="s">
        <v>36</v>
      </c>
    </row>
    <row r="108" spans="1:19" ht="14.5" x14ac:dyDescent="0.3">
      <c r="A108" s="40" t="s">
        <v>705</v>
      </c>
      <c r="B108" s="8" t="s">
        <v>706</v>
      </c>
      <c r="C108" s="8" t="s">
        <v>33</v>
      </c>
      <c r="D108" s="8" t="s">
        <v>48</v>
      </c>
      <c r="E108" s="17">
        <v>42161.77</v>
      </c>
      <c r="F108" s="18" t="s">
        <v>707</v>
      </c>
      <c r="G108" s="8">
        <v>1</v>
      </c>
      <c r="H108" s="8" t="s">
        <v>35</v>
      </c>
      <c r="I108" s="41" t="s">
        <v>71</v>
      </c>
    </row>
    <row r="109" spans="1:19" ht="14.5" x14ac:dyDescent="0.3">
      <c r="A109" s="40" t="s">
        <v>708</v>
      </c>
      <c r="B109" s="8" t="s">
        <v>709</v>
      </c>
      <c r="C109" s="8" t="s">
        <v>47</v>
      </c>
      <c r="D109" s="8" t="s">
        <v>57</v>
      </c>
      <c r="E109" s="17">
        <v>71371.37</v>
      </c>
      <c r="F109" s="18">
        <v>43392</v>
      </c>
      <c r="G109" s="8">
        <v>1</v>
      </c>
      <c r="H109" s="8" t="s">
        <v>35</v>
      </c>
      <c r="I109" s="41" t="s">
        <v>102</v>
      </c>
      <c r="K109" s="1" t="str" cm="1">
        <f t="array" ref="K109:S111">_xlfn._xlws.FILTER(Table3[],(Table3[Salary]&gt;M80)*(Table3[Gender]="Female"))</f>
        <v>SQ04612</v>
      </c>
      <c r="L109" s="1" t="str">
        <v>Mick Spraberry</v>
      </c>
      <c r="M109" s="1" t="str">
        <v>Female</v>
      </c>
      <c r="N109" s="1" t="str">
        <v>Services</v>
      </c>
      <c r="O109" s="1">
        <v>120000</v>
      </c>
      <c r="P109" s="72">
        <v>43893</v>
      </c>
      <c r="Q109" s="1">
        <v>0.9</v>
      </c>
      <c r="R109" s="5" t="str">
        <v>Permanent</v>
      </c>
      <c r="S109" s="5" t="str">
        <v>Remote</v>
      </c>
    </row>
    <row r="110" spans="1:19" ht="14.5" x14ac:dyDescent="0.3">
      <c r="A110" s="40" t="s">
        <v>710</v>
      </c>
      <c r="B110" s="8" t="s">
        <v>711</v>
      </c>
      <c r="C110" s="8" t="s">
        <v>47</v>
      </c>
      <c r="D110" s="8" t="s">
        <v>99</v>
      </c>
      <c r="E110" s="17">
        <v>49915.14</v>
      </c>
      <c r="F110" s="18" t="s">
        <v>712</v>
      </c>
      <c r="G110" s="8">
        <v>1</v>
      </c>
      <c r="H110" s="8" t="s">
        <v>35</v>
      </c>
      <c r="I110" s="41" t="s">
        <v>36</v>
      </c>
      <c r="K110" s="1" t="str">
        <v>VT04093</v>
      </c>
      <c r="L110" s="1" t="str">
        <v>Prasanna Lakshmi Payasam</v>
      </c>
      <c r="M110" s="1" t="str">
        <v>Female</v>
      </c>
      <c r="N110" s="1" t="str">
        <v>Training</v>
      </c>
      <c r="O110" s="1">
        <v>116767.63</v>
      </c>
      <c r="P110" s="72">
        <v>43949</v>
      </c>
      <c r="Q110" s="1">
        <v>0.4</v>
      </c>
      <c r="R110" s="5" t="str">
        <v>Temporary</v>
      </c>
      <c r="S110" s="5" t="str">
        <v>Chennai, India</v>
      </c>
    </row>
    <row r="111" spans="1:19" ht="14.5" x14ac:dyDescent="0.3">
      <c r="A111" s="40" t="s">
        <v>550</v>
      </c>
      <c r="B111" s="8" t="s">
        <v>551</v>
      </c>
      <c r="C111" s="8" t="s">
        <v>47</v>
      </c>
      <c r="D111" s="8" t="s">
        <v>1064</v>
      </c>
      <c r="E111" s="17">
        <v>90697.67</v>
      </c>
      <c r="F111" s="18">
        <v>44221</v>
      </c>
      <c r="G111" s="8">
        <v>0.8</v>
      </c>
      <c r="H111" s="8" t="s">
        <v>35</v>
      </c>
      <c r="I111" s="41" t="s">
        <v>136</v>
      </c>
      <c r="K111" s="1" t="str">
        <v>VT04093</v>
      </c>
      <c r="L111" s="1" t="str">
        <v>Baruna Ogale</v>
      </c>
      <c r="M111" s="1" t="str">
        <v>Female</v>
      </c>
      <c r="N111" s="1" t="str">
        <v>Training</v>
      </c>
      <c r="O111" s="1">
        <v>116767.63</v>
      </c>
      <c r="P111" s="72">
        <v>43949</v>
      </c>
      <c r="Q111" s="1">
        <v>0.4</v>
      </c>
      <c r="R111" s="5" t="str">
        <v>Temporary</v>
      </c>
      <c r="S111" s="5" t="str">
        <v>Chennai, India</v>
      </c>
    </row>
    <row r="112" spans="1:19" ht="14.5" x14ac:dyDescent="0.3">
      <c r="A112" s="40" t="s">
        <v>713</v>
      </c>
      <c r="B112" s="8" t="s">
        <v>714</v>
      </c>
      <c r="C112" s="8" t="s">
        <v>47</v>
      </c>
      <c r="D112" s="8" t="s">
        <v>34</v>
      </c>
      <c r="E112" s="17">
        <v>37062.1</v>
      </c>
      <c r="F112" s="18">
        <v>44357</v>
      </c>
      <c r="G112" s="8">
        <v>1</v>
      </c>
      <c r="H112" s="8" t="s">
        <v>525</v>
      </c>
      <c r="I112" s="41" t="s">
        <v>49</v>
      </c>
    </row>
    <row r="113" spans="1:17" ht="14.5" x14ac:dyDescent="0.3">
      <c r="A113" s="40" t="s">
        <v>550</v>
      </c>
      <c r="B113" s="8" t="s">
        <v>551</v>
      </c>
      <c r="C113" s="8" t="s">
        <v>47</v>
      </c>
      <c r="D113" s="8" t="s">
        <v>1064</v>
      </c>
      <c r="E113" s="17">
        <v>90697.67</v>
      </c>
      <c r="F113" s="18">
        <v>44221</v>
      </c>
      <c r="G113" s="8">
        <v>0.8</v>
      </c>
      <c r="H113" s="8" t="s">
        <v>35</v>
      </c>
      <c r="I113" s="41" t="s">
        <v>136</v>
      </c>
    </row>
    <row r="114" spans="1:17" ht="14.5" x14ac:dyDescent="0.3">
      <c r="A114" s="40" t="s">
        <v>717</v>
      </c>
      <c r="B114" s="8" t="s">
        <v>718</v>
      </c>
      <c r="C114" s="8" t="s">
        <v>47</v>
      </c>
      <c r="D114" s="8" t="s">
        <v>99</v>
      </c>
      <c r="E114" s="17"/>
      <c r="F114" s="18">
        <v>44077</v>
      </c>
      <c r="G114" s="8">
        <v>1</v>
      </c>
      <c r="H114" s="8" t="s">
        <v>504</v>
      </c>
      <c r="I114" s="41" t="s">
        <v>58</v>
      </c>
      <c r="J114" s="2"/>
      <c r="K114" s="78" t="s">
        <v>1004</v>
      </c>
    </row>
    <row r="115" spans="1:17" ht="14.5" x14ac:dyDescent="0.3">
      <c r="A115" s="40" t="s">
        <v>552</v>
      </c>
      <c r="B115" s="8" t="s">
        <v>553</v>
      </c>
      <c r="C115" s="8" t="s">
        <v>47</v>
      </c>
      <c r="D115" s="8" t="s">
        <v>57</v>
      </c>
      <c r="E115" s="17">
        <v>90884.32</v>
      </c>
      <c r="F115" s="18" t="s">
        <v>554</v>
      </c>
      <c r="G115" s="8">
        <v>1</v>
      </c>
      <c r="H115" s="8" t="s">
        <v>35</v>
      </c>
      <c r="I115" s="41" t="s">
        <v>58</v>
      </c>
    </row>
    <row r="116" spans="1:17" x14ac:dyDescent="0.3">
      <c r="A116" s="40" t="s">
        <v>719</v>
      </c>
      <c r="B116" s="8" t="s">
        <v>720</v>
      </c>
      <c r="C116" s="8" t="s">
        <v>47</v>
      </c>
      <c r="D116" s="8" t="s">
        <v>88</v>
      </c>
      <c r="E116" s="17">
        <v>89838.77</v>
      </c>
      <c r="F116" s="18">
        <v>43602</v>
      </c>
      <c r="G116" s="8">
        <v>1</v>
      </c>
      <c r="H116" s="8" t="s">
        <v>35</v>
      </c>
      <c r="I116" s="41" t="s">
        <v>36</v>
      </c>
    </row>
    <row r="117" spans="1:17" ht="28.35" x14ac:dyDescent="0.3">
      <c r="A117" s="40" t="s">
        <v>550</v>
      </c>
      <c r="B117" s="8" t="s">
        <v>551</v>
      </c>
      <c r="C117" s="8" t="s">
        <v>47</v>
      </c>
      <c r="D117" s="8" t="s">
        <v>88</v>
      </c>
      <c r="E117" s="17">
        <v>90697.67</v>
      </c>
      <c r="F117" s="18">
        <v>44221</v>
      </c>
      <c r="G117" s="8">
        <v>0.8</v>
      </c>
      <c r="H117" s="8" t="s">
        <v>35</v>
      </c>
      <c r="I117" s="41" t="s">
        <v>136</v>
      </c>
      <c r="J117" s="80" t="s">
        <v>1013</v>
      </c>
      <c r="K117" s="1" t="str" cm="1">
        <f t="array" ref="K117:P117">_xlfn.CHOOSECOLS(Table3[#Headers],1,2,3,4,5,6)</f>
        <v>Emp ID</v>
      </c>
      <c r="L117" s="1" t="str">
        <v>Name</v>
      </c>
      <c r="M117" s="1" t="str">
        <v>Gender</v>
      </c>
      <c r="N117" s="1" t="str">
        <v>Department</v>
      </c>
      <c r="O117" s="1" t="str">
        <v>Salary</v>
      </c>
      <c r="P117" s="72" t="str">
        <v>Start Date</v>
      </c>
    </row>
    <row r="118" spans="1:17" ht="42.55" x14ac:dyDescent="0.3">
      <c r="A118" s="40" t="s">
        <v>723</v>
      </c>
      <c r="B118" s="8" t="s">
        <v>724</v>
      </c>
      <c r="C118" s="8" t="s">
        <v>33</v>
      </c>
      <c r="D118" s="8" t="s">
        <v>99</v>
      </c>
      <c r="E118" s="17">
        <v>68887.839999999997</v>
      </c>
      <c r="F118" s="18">
        <v>43297</v>
      </c>
      <c r="G118" s="8">
        <v>1</v>
      </c>
      <c r="H118" s="8" t="s">
        <v>35</v>
      </c>
      <c r="I118" s="41" t="s">
        <v>36</v>
      </c>
      <c r="J118" s="80" t="s">
        <v>1014</v>
      </c>
      <c r="K118" s="1" t="str" cm="1">
        <f t="array" ref="K118:P120">_xlfn._xlws.FILTER(Table3[[Emp ID]:[Start Date]],(Table3[Salary]&gt;M80)*(Table3[Gender]=O80))</f>
        <v>SQ04612</v>
      </c>
      <c r="L118" s="1" t="str">
        <v>Mick Spraberry</v>
      </c>
      <c r="M118" s="1" t="str">
        <v>Female</v>
      </c>
      <c r="N118" s="1" t="str">
        <v>Services</v>
      </c>
      <c r="O118" s="1">
        <v>120000</v>
      </c>
      <c r="P118" s="72">
        <v>43893</v>
      </c>
    </row>
    <row r="119" spans="1:17" x14ac:dyDescent="0.3">
      <c r="A119" s="40" t="s">
        <v>652</v>
      </c>
      <c r="B119" s="8" t="s">
        <v>725</v>
      </c>
      <c r="C119" s="8" t="s">
        <v>47</v>
      </c>
      <c r="D119" s="8" t="s">
        <v>141</v>
      </c>
      <c r="E119" s="17">
        <v>106775.14</v>
      </c>
      <c r="F119" s="18">
        <v>43563</v>
      </c>
      <c r="G119" s="8">
        <v>1</v>
      </c>
      <c r="H119" s="8" t="s">
        <v>504</v>
      </c>
      <c r="I119" s="41" t="s">
        <v>102</v>
      </c>
      <c r="K119" s="1" t="str">
        <v>VT04093</v>
      </c>
      <c r="L119" s="1" t="str">
        <v>Prasanna Lakshmi Payasam</v>
      </c>
      <c r="M119" s="1" t="str">
        <v>Female</v>
      </c>
      <c r="N119" s="1" t="str">
        <v>Training</v>
      </c>
      <c r="O119" s="1">
        <v>116767.63</v>
      </c>
      <c r="P119" s="72">
        <v>43949</v>
      </c>
    </row>
    <row r="120" spans="1:17" x14ac:dyDescent="0.3">
      <c r="A120" s="40" t="s">
        <v>726</v>
      </c>
      <c r="B120" s="8" t="s">
        <v>727</v>
      </c>
      <c r="C120" s="8" t="s">
        <v>33</v>
      </c>
      <c r="D120" s="8" t="s">
        <v>48</v>
      </c>
      <c r="E120" s="17">
        <v>89690.38</v>
      </c>
      <c r="F120" s="18" t="s">
        <v>728</v>
      </c>
      <c r="G120" s="8">
        <v>1</v>
      </c>
      <c r="H120" s="8" t="s">
        <v>35</v>
      </c>
      <c r="I120" s="41" t="s">
        <v>102</v>
      </c>
      <c r="K120" s="1" t="str">
        <v>VT04093</v>
      </c>
      <c r="L120" s="1" t="str">
        <v>Baruna Ogale</v>
      </c>
      <c r="M120" s="1" t="str">
        <v>Female</v>
      </c>
      <c r="N120" s="1" t="str">
        <v>Training</v>
      </c>
      <c r="O120" s="1">
        <v>116767.63</v>
      </c>
      <c r="P120" s="72">
        <v>43949</v>
      </c>
    </row>
    <row r="121" spans="1:17" x14ac:dyDescent="0.3">
      <c r="A121" s="40" t="s">
        <v>729</v>
      </c>
      <c r="B121" s="8" t="s">
        <v>730</v>
      </c>
      <c r="C121" s="8" t="s">
        <v>47</v>
      </c>
      <c r="D121" s="8" t="s">
        <v>141</v>
      </c>
      <c r="E121" s="17">
        <v>111229.47</v>
      </c>
      <c r="F121" s="18" t="s">
        <v>731</v>
      </c>
      <c r="G121" s="8">
        <v>1</v>
      </c>
      <c r="H121" s="8" t="s">
        <v>35</v>
      </c>
      <c r="I121" s="41" t="s">
        <v>36</v>
      </c>
      <c r="Q121" s="72"/>
    </row>
    <row r="122" spans="1:17" x14ac:dyDescent="0.3">
      <c r="A122" s="40" t="s">
        <v>732</v>
      </c>
      <c r="B122" s="8" t="s">
        <v>733</v>
      </c>
      <c r="C122" s="8" t="s">
        <v>47</v>
      </c>
      <c r="D122" s="8" t="s">
        <v>99</v>
      </c>
      <c r="E122" s="17">
        <v>67633.850000000006</v>
      </c>
      <c r="F122" s="18">
        <v>43340</v>
      </c>
      <c r="G122" s="8">
        <v>1</v>
      </c>
      <c r="H122" s="8" t="s">
        <v>35</v>
      </c>
      <c r="I122" s="41" t="s">
        <v>58</v>
      </c>
      <c r="Q122" s="72"/>
    </row>
    <row r="123" spans="1:17" x14ac:dyDescent="0.3">
      <c r="A123" s="40" t="s">
        <v>734</v>
      </c>
      <c r="B123" s="8" t="s">
        <v>735</v>
      </c>
      <c r="C123" s="8" t="s">
        <v>47</v>
      </c>
      <c r="D123" s="8" t="s">
        <v>48</v>
      </c>
      <c r="E123" s="17">
        <v>111815.49</v>
      </c>
      <c r="F123" s="18">
        <v>43895</v>
      </c>
      <c r="G123" s="8">
        <v>0.7</v>
      </c>
      <c r="H123" s="8" t="s">
        <v>525</v>
      </c>
      <c r="I123" s="41" t="s">
        <v>36</v>
      </c>
      <c r="Q123" s="72"/>
    </row>
    <row r="124" spans="1:17" x14ac:dyDescent="0.3">
      <c r="A124" s="40" t="s">
        <v>736</v>
      </c>
      <c r="B124" s="8" t="s">
        <v>737</v>
      </c>
      <c r="C124" s="8" t="s">
        <v>47</v>
      </c>
      <c r="D124" s="8" t="s">
        <v>57</v>
      </c>
      <c r="E124" s="17">
        <v>39784.239999999998</v>
      </c>
      <c r="F124" s="18" t="s">
        <v>738</v>
      </c>
      <c r="G124" s="8">
        <v>1</v>
      </c>
      <c r="H124" s="8" t="s">
        <v>504</v>
      </c>
      <c r="I124" s="41" t="s">
        <v>49</v>
      </c>
      <c r="K124" s="78" t="s">
        <v>1016</v>
      </c>
      <c r="Q124" s="72"/>
    </row>
    <row r="125" spans="1:17" x14ac:dyDescent="0.3">
      <c r="A125" s="40" t="s">
        <v>739</v>
      </c>
      <c r="B125" s="8" t="s">
        <v>740</v>
      </c>
      <c r="C125" s="8" t="s">
        <v>33</v>
      </c>
      <c r="D125" s="8" t="s">
        <v>141</v>
      </c>
      <c r="E125" s="17">
        <v>89829.33</v>
      </c>
      <c r="F125" s="18">
        <v>43794</v>
      </c>
      <c r="G125" s="8">
        <v>1</v>
      </c>
      <c r="H125" s="8" t="s">
        <v>525</v>
      </c>
      <c r="I125" s="41" t="s">
        <v>49</v>
      </c>
    </row>
    <row r="126" spans="1:17" x14ac:dyDescent="0.3">
      <c r="A126" s="40" t="s">
        <v>734</v>
      </c>
      <c r="B126" s="8" t="s">
        <v>735</v>
      </c>
      <c r="C126" s="8" t="s">
        <v>47</v>
      </c>
      <c r="D126" s="8" t="s">
        <v>48</v>
      </c>
      <c r="E126" s="17">
        <v>111815.49</v>
      </c>
      <c r="F126" s="18">
        <v>43895</v>
      </c>
      <c r="G126" s="8">
        <v>0.7</v>
      </c>
      <c r="H126" s="8" t="s">
        <v>525</v>
      </c>
      <c r="I126" s="41" t="s">
        <v>36</v>
      </c>
      <c r="K126" s="1" t="str" cm="1">
        <f t="array" ref="K126:P126">_xlfn.CHOOSECOLS(Table3[#Headers],1,2,3,4,5,6)</f>
        <v>Emp ID</v>
      </c>
      <c r="L126" s="1" t="str">
        <v>Name</v>
      </c>
      <c r="M126" s="1" t="str">
        <v>Gender</v>
      </c>
      <c r="N126" s="1" t="str">
        <v>Department</v>
      </c>
      <c r="O126" s="1" t="str">
        <v>Salary</v>
      </c>
      <c r="P126" s="72" t="str">
        <v>Start Date</v>
      </c>
    </row>
    <row r="127" spans="1:17" x14ac:dyDescent="0.3">
      <c r="A127" s="40" t="s">
        <v>741</v>
      </c>
      <c r="B127" s="8" t="s">
        <v>742</v>
      </c>
      <c r="C127" s="8" t="s">
        <v>47</v>
      </c>
      <c r="D127" s="8" t="s">
        <v>88</v>
      </c>
      <c r="E127" s="17">
        <v>72843.23</v>
      </c>
      <c r="F127" s="18">
        <v>43280</v>
      </c>
      <c r="G127" s="8">
        <v>1</v>
      </c>
      <c r="H127" s="8" t="s">
        <v>504</v>
      </c>
      <c r="I127" s="41" t="s">
        <v>82</v>
      </c>
      <c r="K127" s="1" t="str" cm="1">
        <f t="array" ref="K127:P129">_xlfn._xlws.FILTER(Table3[[Emp ID]:[Start Date]],(Table3[Salary]&gt;M80)*(Table3[Gender]="MAle")*(Table3[Start Date]&gt;=2020))</f>
        <v>SQ00144</v>
      </c>
      <c r="L127" s="1" t="str">
        <v>Collen Dunbleton</v>
      </c>
      <c r="M127" s="1" t="str">
        <v>Male</v>
      </c>
      <c r="N127" s="1" t="str">
        <v>Engineering</v>
      </c>
      <c r="O127" s="1">
        <v>118976.16</v>
      </c>
      <c r="P127" s="72" t="str">
        <v>Oct 16, 2020</v>
      </c>
    </row>
    <row r="128" spans="1:17" x14ac:dyDescent="0.3">
      <c r="A128" s="40" t="s">
        <v>686</v>
      </c>
      <c r="B128" s="8" t="s">
        <v>687</v>
      </c>
      <c r="C128" s="8" t="s">
        <v>33</v>
      </c>
      <c r="D128" s="8" t="s">
        <v>99</v>
      </c>
      <c r="E128" s="17">
        <v>71823.56</v>
      </c>
      <c r="F128" s="18" t="s">
        <v>688</v>
      </c>
      <c r="G128" s="8">
        <v>0.3</v>
      </c>
      <c r="H128" s="8" t="s">
        <v>525</v>
      </c>
      <c r="I128" s="41" t="s">
        <v>36</v>
      </c>
      <c r="K128" s="1" t="str">
        <v>PR02010</v>
      </c>
      <c r="L128" s="1" t="str">
        <v>Prerana Nishita</v>
      </c>
      <c r="M128" s="1" t="str">
        <v>Male</v>
      </c>
      <c r="N128" s="1" t="str">
        <v>Product Management</v>
      </c>
      <c r="O128" s="1">
        <v>115191.38</v>
      </c>
      <c r="P128" s="72">
        <v>44004</v>
      </c>
    </row>
    <row r="129" spans="1:19" x14ac:dyDescent="0.3">
      <c r="A129" s="40" t="s">
        <v>743</v>
      </c>
      <c r="B129" s="8" t="s">
        <v>744</v>
      </c>
      <c r="C129" s="8" t="s">
        <v>47</v>
      </c>
      <c r="D129" s="8" t="s">
        <v>57</v>
      </c>
      <c r="E129" s="17">
        <v>88511.17</v>
      </c>
      <c r="F129" s="18" t="s">
        <v>745</v>
      </c>
      <c r="G129" s="8">
        <v>1</v>
      </c>
      <c r="H129" s="8" t="s">
        <v>35</v>
      </c>
      <c r="I129" s="41" t="s">
        <v>58</v>
      </c>
      <c r="K129" s="1" t="str">
        <v>PR03886</v>
      </c>
      <c r="L129" s="1" t="str">
        <v>Edd  MacKnockiter</v>
      </c>
      <c r="M129" s="1" t="str">
        <v>Male</v>
      </c>
      <c r="N129" s="1" t="str">
        <v>Accounting</v>
      </c>
      <c r="O129" s="1">
        <v>119022.49</v>
      </c>
      <c r="P129" s="72">
        <v>44431</v>
      </c>
    </row>
    <row r="130" spans="1:19" x14ac:dyDescent="0.3">
      <c r="A130" s="40" t="s">
        <v>112</v>
      </c>
      <c r="B130" s="8" t="s">
        <v>113</v>
      </c>
      <c r="C130" s="8" t="s">
        <v>47</v>
      </c>
      <c r="D130" s="8" t="s">
        <v>99</v>
      </c>
      <c r="E130" s="17">
        <v>36547.58</v>
      </c>
      <c r="F130" s="18">
        <v>43416</v>
      </c>
      <c r="G130" s="8">
        <v>1</v>
      </c>
      <c r="H130" s="8" t="s">
        <v>35</v>
      </c>
      <c r="I130" s="41" t="s">
        <v>36</v>
      </c>
    </row>
    <row r="131" spans="1:19" x14ac:dyDescent="0.3">
      <c r="A131" s="40" t="s">
        <v>128</v>
      </c>
      <c r="B131" s="8" t="s">
        <v>129</v>
      </c>
      <c r="C131" s="8" t="s">
        <v>47</v>
      </c>
      <c r="D131" s="8" t="s">
        <v>99</v>
      </c>
      <c r="E131" s="17">
        <v>95954.02</v>
      </c>
      <c r="F131" s="18">
        <v>43567</v>
      </c>
      <c r="G131" s="8">
        <v>0.3</v>
      </c>
      <c r="H131" s="8" t="s">
        <v>35</v>
      </c>
      <c r="I131" s="41" t="s">
        <v>102</v>
      </c>
    </row>
    <row r="132" spans="1:19" x14ac:dyDescent="0.3">
      <c r="A132" s="40" t="s">
        <v>746</v>
      </c>
      <c r="B132" s="8" t="s">
        <v>747</v>
      </c>
      <c r="C132" s="8" t="s">
        <v>33</v>
      </c>
      <c r="D132" s="8" t="s">
        <v>81</v>
      </c>
      <c r="E132" s="17">
        <v>95677.9</v>
      </c>
      <c r="F132" s="18" t="s">
        <v>748</v>
      </c>
      <c r="G132" s="8">
        <v>0.3</v>
      </c>
      <c r="H132" s="8" t="s">
        <v>35</v>
      </c>
      <c r="I132" s="41" t="s">
        <v>49</v>
      </c>
      <c r="K132" s="78" t="s">
        <v>1525</v>
      </c>
    </row>
    <row r="133" spans="1:19" x14ac:dyDescent="0.3">
      <c r="A133" s="40" t="s">
        <v>749</v>
      </c>
      <c r="B133" s="8" t="s">
        <v>750</v>
      </c>
      <c r="C133" s="8" t="s">
        <v>33</v>
      </c>
      <c r="D133" s="8" t="s">
        <v>99</v>
      </c>
      <c r="E133" s="17">
        <v>76303.820000000007</v>
      </c>
      <c r="F133" s="18">
        <v>43458</v>
      </c>
      <c r="G133" s="8">
        <v>1</v>
      </c>
      <c r="H133" s="8" t="s">
        <v>504</v>
      </c>
      <c r="I133" s="41" t="s">
        <v>102</v>
      </c>
    </row>
    <row r="134" spans="1:19" x14ac:dyDescent="0.3">
      <c r="A134" s="40" t="s">
        <v>751</v>
      </c>
      <c r="B134" s="8" t="s">
        <v>752</v>
      </c>
      <c r="C134" s="8" t="s">
        <v>33</v>
      </c>
      <c r="D134" s="8" t="s">
        <v>76</v>
      </c>
      <c r="E134" s="17"/>
      <c r="F134" s="18">
        <v>43538</v>
      </c>
      <c r="G134" s="8">
        <v>1</v>
      </c>
      <c r="H134" s="8" t="s">
        <v>35</v>
      </c>
      <c r="I134" s="41" t="s">
        <v>71</v>
      </c>
      <c r="K134" s="1" t="str" cm="1">
        <f t="array" ref="K134:S134">_xlfn._xlws.FILTER(Table3[],Table3[Name]= "Billi Fellgate")</f>
        <v>PR00419</v>
      </c>
      <c r="L134" s="1" t="str">
        <v>Billi Fellgate</v>
      </c>
      <c r="M134" s="1" t="str">
        <v>Female</v>
      </c>
      <c r="N134" s="1" t="str">
        <v>Business Development</v>
      </c>
      <c r="O134" s="1">
        <v>68980.52</v>
      </c>
      <c r="P134" s="72">
        <v>43494</v>
      </c>
      <c r="Q134" s="1">
        <v>0.8</v>
      </c>
      <c r="R134" s="5" t="str">
        <v>Permanent</v>
      </c>
      <c r="S134" s="5" t="str">
        <v>Remote</v>
      </c>
    </row>
    <row r="135" spans="1:19" x14ac:dyDescent="0.3">
      <c r="A135" s="40" t="s">
        <v>753</v>
      </c>
      <c r="B135" s="8" t="s">
        <v>754</v>
      </c>
      <c r="C135" s="8" t="s">
        <v>47</v>
      </c>
      <c r="D135" s="8" t="s">
        <v>88</v>
      </c>
      <c r="E135" s="17">
        <v>99460.78</v>
      </c>
      <c r="F135" s="18" t="s">
        <v>755</v>
      </c>
      <c r="G135" s="8">
        <v>1</v>
      </c>
      <c r="H135" s="8" t="s">
        <v>35</v>
      </c>
      <c r="I135" s="41" t="s">
        <v>36</v>
      </c>
    </row>
    <row r="136" spans="1:19" x14ac:dyDescent="0.3">
      <c r="A136" s="40" t="s">
        <v>756</v>
      </c>
      <c r="B136" s="8" t="s">
        <v>757</v>
      </c>
      <c r="C136" s="8" t="s">
        <v>33</v>
      </c>
      <c r="D136" s="8" t="s">
        <v>34</v>
      </c>
      <c r="E136" s="17">
        <v>88034.67</v>
      </c>
      <c r="F136" s="18">
        <v>43669</v>
      </c>
      <c r="G136" s="8">
        <v>1</v>
      </c>
      <c r="H136" s="8" t="s">
        <v>35</v>
      </c>
      <c r="I136" s="41" t="s">
        <v>36</v>
      </c>
      <c r="K136" s="78" t="s">
        <v>1522</v>
      </c>
    </row>
    <row r="137" spans="1:19" x14ac:dyDescent="0.3">
      <c r="A137" s="40" t="s">
        <v>758</v>
      </c>
      <c r="B137" s="8" t="s">
        <v>759</v>
      </c>
      <c r="C137" s="8" t="s">
        <v>33</v>
      </c>
      <c r="D137" s="8" t="s">
        <v>76</v>
      </c>
      <c r="E137" s="17">
        <v>44447.26</v>
      </c>
      <c r="F137" s="18">
        <v>43846</v>
      </c>
      <c r="G137" s="8">
        <v>0.4</v>
      </c>
      <c r="H137" s="8" t="s">
        <v>35</v>
      </c>
      <c r="I137" s="41" t="s">
        <v>136</v>
      </c>
    </row>
    <row r="138" spans="1:19" x14ac:dyDescent="0.3">
      <c r="A138" s="40" t="s">
        <v>760</v>
      </c>
      <c r="B138" s="8" t="s">
        <v>761</v>
      </c>
      <c r="C138" s="8" t="s">
        <v>47</v>
      </c>
      <c r="D138" s="8" t="s">
        <v>141</v>
      </c>
      <c r="E138" s="17">
        <v>40445.29</v>
      </c>
      <c r="F138" s="18">
        <v>44393</v>
      </c>
      <c r="G138" s="8">
        <v>1</v>
      </c>
      <c r="H138" s="8" t="s">
        <v>35</v>
      </c>
      <c r="I138" s="41" t="s">
        <v>49</v>
      </c>
      <c r="K138" s="1" t="str" cm="1">
        <f t="array" ref="K138:S149">_xlfn._xlws.FILTER(Table3[],LEFT(Table3[Name],1)="b")</f>
        <v>PR00419</v>
      </c>
      <c r="L138" s="1" t="str">
        <v>Billi Fellgate</v>
      </c>
      <c r="M138" s="1" t="str">
        <v>Female</v>
      </c>
      <c r="N138" s="1" t="str">
        <v>Business Development</v>
      </c>
      <c r="O138" s="1">
        <v>68980.52</v>
      </c>
      <c r="P138" s="72">
        <v>43494</v>
      </c>
      <c r="Q138" s="1">
        <v>0.8</v>
      </c>
      <c r="R138" s="5" t="str">
        <v>Permanent</v>
      </c>
      <c r="S138" s="5" t="str">
        <v>Remote</v>
      </c>
    </row>
    <row r="139" spans="1:19" x14ac:dyDescent="0.3">
      <c r="A139" s="40" t="s">
        <v>126</v>
      </c>
      <c r="B139" s="8" t="s">
        <v>127</v>
      </c>
      <c r="C139" s="8" t="s">
        <v>33</v>
      </c>
      <c r="D139" s="8" t="s">
        <v>76</v>
      </c>
      <c r="E139" s="17">
        <v>92336.08</v>
      </c>
      <c r="F139" s="18">
        <v>44431</v>
      </c>
      <c r="G139" s="8">
        <v>1</v>
      </c>
      <c r="H139" s="8" t="s">
        <v>35</v>
      </c>
      <c r="I139" s="41" t="s">
        <v>102</v>
      </c>
      <c r="K139" s="1" t="str">
        <v>PR03844</v>
      </c>
      <c r="L139" s="1" t="str">
        <v>Brose MacCorkell</v>
      </c>
      <c r="M139" s="1" t="str">
        <v>Female</v>
      </c>
      <c r="N139" s="1" t="str">
        <v>Human Resources</v>
      </c>
      <c r="O139" s="1">
        <v>35943.620000000003</v>
      </c>
      <c r="P139" s="72">
        <v>44078</v>
      </c>
      <c r="Q139" s="1">
        <v>1</v>
      </c>
      <c r="R139" s="5" t="str">
        <v>Permanent</v>
      </c>
      <c r="S139" s="5" t="str">
        <v>Columbus, USA</v>
      </c>
    </row>
    <row r="140" spans="1:19" x14ac:dyDescent="0.3">
      <c r="A140" s="40" t="s">
        <v>762</v>
      </c>
      <c r="B140" s="8" t="s">
        <v>763</v>
      </c>
      <c r="C140" s="8" t="s">
        <v>33</v>
      </c>
      <c r="D140" s="8" t="s">
        <v>92</v>
      </c>
      <c r="E140" s="17">
        <v>68008.55</v>
      </c>
      <c r="F140" s="18">
        <v>44062</v>
      </c>
      <c r="G140" s="8">
        <v>1</v>
      </c>
      <c r="H140" s="8" t="s">
        <v>35</v>
      </c>
      <c r="I140" s="41" t="s">
        <v>71</v>
      </c>
      <c r="K140" s="1" t="str">
        <v>VT01249</v>
      </c>
      <c r="L140" s="1" t="str">
        <v>Brendan  Edgeller</v>
      </c>
      <c r="M140" s="1" t="str">
        <v>Female</v>
      </c>
      <c r="N140" s="1" t="str">
        <v>CLEANING</v>
      </c>
      <c r="O140" s="1">
        <v>31042.51</v>
      </c>
      <c r="P140" s="72">
        <v>44473</v>
      </c>
      <c r="Q140" s="1">
        <v>0.3</v>
      </c>
      <c r="R140" s="5" t="str">
        <v>Fixed Term</v>
      </c>
      <c r="S140" s="5" t="str">
        <v>Remote</v>
      </c>
    </row>
    <row r="141" spans="1:19" x14ac:dyDescent="0.3">
      <c r="A141" s="40" t="s">
        <v>764</v>
      </c>
      <c r="B141" s="8" t="s">
        <v>765</v>
      </c>
      <c r="C141" s="8" t="s">
        <v>47</v>
      </c>
      <c r="D141" s="8" t="s">
        <v>141</v>
      </c>
      <c r="E141" s="17">
        <v>74924.649999999994</v>
      </c>
      <c r="F141" s="18" t="s">
        <v>766</v>
      </c>
      <c r="G141" s="8">
        <v>1</v>
      </c>
      <c r="H141" s="8" t="s">
        <v>35</v>
      </c>
      <c r="I141" s="41" t="s">
        <v>102</v>
      </c>
      <c r="K141" s="1" t="str">
        <v>PR02113</v>
      </c>
      <c r="L141" s="1" t="str">
        <v>Beverie Moffet</v>
      </c>
      <c r="M141" s="1" t="str">
        <v>Female</v>
      </c>
      <c r="N141" s="1" t="str">
        <v>Support</v>
      </c>
      <c r="O141" s="1">
        <v>75974.990000000005</v>
      </c>
      <c r="P141" s="72" t="str">
        <v>7-Dec-20</v>
      </c>
      <c r="Q141" s="1">
        <v>1</v>
      </c>
      <c r="R141" s="5" t="str">
        <v>Permanent</v>
      </c>
      <c r="S141" s="5" t="str">
        <v>Remote</v>
      </c>
    </row>
    <row r="142" spans="1:19" x14ac:dyDescent="0.3">
      <c r="A142" s="40" t="s">
        <v>616</v>
      </c>
      <c r="B142" s="8" t="s">
        <v>617</v>
      </c>
      <c r="C142" s="8" t="s">
        <v>47</v>
      </c>
      <c r="D142" s="8" t="s">
        <v>34</v>
      </c>
      <c r="E142" s="17"/>
      <c r="F142" s="18" t="s">
        <v>618</v>
      </c>
      <c r="G142" s="8">
        <v>0.2</v>
      </c>
      <c r="H142" s="8" t="s">
        <v>35</v>
      </c>
      <c r="I142" s="41" t="s">
        <v>71</v>
      </c>
      <c r="K142" s="1" t="str">
        <v>SQ00841</v>
      </c>
      <c r="L142" s="1" t="str">
        <v>Bhuvan Pals</v>
      </c>
      <c r="M142" s="1" t="str">
        <v>Female</v>
      </c>
      <c r="N142" s="1" t="str">
        <v>Services</v>
      </c>
      <c r="O142" s="1">
        <v>89690.38</v>
      </c>
      <c r="P142" s="72" t="str">
        <v>23-Apr-18</v>
      </c>
      <c r="Q142" s="1">
        <v>1</v>
      </c>
      <c r="R142" s="5" t="str">
        <v>Permanent</v>
      </c>
      <c r="S142" s="5" t="str">
        <v>Hyderabad, India</v>
      </c>
    </row>
    <row r="143" spans="1:19" x14ac:dyDescent="0.3">
      <c r="A143" s="40" t="s">
        <v>767</v>
      </c>
      <c r="B143" s="8" t="s">
        <v>768</v>
      </c>
      <c r="C143" s="8" t="s">
        <v>47</v>
      </c>
      <c r="D143" s="8" t="s">
        <v>48</v>
      </c>
      <c r="E143" s="17">
        <v>88689.09</v>
      </c>
      <c r="F143" s="18" t="s">
        <v>769</v>
      </c>
      <c r="G143" s="8">
        <v>1</v>
      </c>
      <c r="H143" s="8" t="s">
        <v>35</v>
      </c>
      <c r="I143" s="41" t="s">
        <v>136</v>
      </c>
      <c r="K143" s="1" t="str">
        <v>TN00698</v>
      </c>
      <c r="L143" s="1" t="str">
        <v>Barbara-anne Kenchington</v>
      </c>
      <c r="M143" s="1" t="str">
        <v>Female</v>
      </c>
      <c r="N143" s="1" t="str">
        <v>Support</v>
      </c>
      <c r="O143" s="1">
        <v>88034.67</v>
      </c>
      <c r="P143" s="72">
        <v>43669</v>
      </c>
      <c r="Q143" s="1">
        <v>1</v>
      </c>
      <c r="R143" s="5" t="str">
        <v>Permanent</v>
      </c>
      <c r="S143" s="5" t="str">
        <v>Remote</v>
      </c>
    </row>
    <row r="144" spans="1:19" x14ac:dyDescent="0.3">
      <c r="A144" s="40" t="s">
        <v>770</v>
      </c>
      <c r="B144" s="8" t="s">
        <v>771</v>
      </c>
      <c r="C144" s="8" t="s">
        <v>33</v>
      </c>
      <c r="D144" s="8" t="s">
        <v>76</v>
      </c>
      <c r="E144" s="17">
        <v>96555.53</v>
      </c>
      <c r="F144" s="18">
        <v>43489</v>
      </c>
      <c r="G144" s="8">
        <v>0.2</v>
      </c>
      <c r="H144" s="8" t="s">
        <v>525</v>
      </c>
      <c r="I144" s="41" t="s">
        <v>102</v>
      </c>
      <c r="K144" s="1" t="str">
        <v>SQ01283</v>
      </c>
      <c r="L144" s="1" t="str">
        <v>Barr Faughny</v>
      </c>
      <c r="M144" s="1" t="str">
        <v>Female</v>
      </c>
      <c r="N144" s="1" t="str">
        <v>Marketing</v>
      </c>
      <c r="O144" s="1">
        <v>68008.55</v>
      </c>
      <c r="P144" s="72">
        <v>44062</v>
      </c>
      <c r="Q144" s="1">
        <v>1</v>
      </c>
      <c r="R144" s="5" t="str">
        <v>Permanent</v>
      </c>
      <c r="S144" s="5" t="str">
        <v>Auckland, New Zealand</v>
      </c>
    </row>
    <row r="145" spans="1:19" x14ac:dyDescent="0.3">
      <c r="A145" s="40" t="s">
        <v>772</v>
      </c>
      <c r="B145" s="8" t="s">
        <v>773</v>
      </c>
      <c r="C145" s="8" t="s">
        <v>33</v>
      </c>
      <c r="D145" s="8" t="s">
        <v>34</v>
      </c>
      <c r="E145" s="17">
        <v>71924.850000000006</v>
      </c>
      <c r="F145" s="18">
        <v>43822</v>
      </c>
      <c r="G145" s="8">
        <v>1</v>
      </c>
      <c r="H145" s="8" t="s">
        <v>35</v>
      </c>
      <c r="I145" s="41" t="s">
        <v>49</v>
      </c>
      <c r="K145" s="1" t="str">
        <v>TN03097</v>
      </c>
      <c r="L145" s="1" t="str">
        <v>Bendite  Bloan</v>
      </c>
      <c r="M145" s="1" t="str">
        <v>Male</v>
      </c>
      <c r="N145" s="1" t="str">
        <v>Marketing</v>
      </c>
      <c r="O145" s="1">
        <v>31816.57</v>
      </c>
      <c r="P145" s="72" t="str">
        <v>1-Feb-19</v>
      </c>
      <c r="Q145" s="1">
        <v>0.3</v>
      </c>
      <c r="R145" s="5" t="str">
        <v>Fixed Term</v>
      </c>
      <c r="S145" s="5" t="str">
        <v>Remote</v>
      </c>
    </row>
    <row r="146" spans="1:19" x14ac:dyDescent="0.3">
      <c r="A146" s="40" t="s">
        <v>774</v>
      </c>
      <c r="B146" s="8" t="s">
        <v>775</v>
      </c>
      <c r="C146" s="8" t="s">
        <v>47</v>
      </c>
      <c r="D146" s="8" t="s">
        <v>141</v>
      </c>
      <c r="E146" s="17">
        <v>31241.24</v>
      </c>
      <c r="F146" s="18">
        <v>43725</v>
      </c>
      <c r="G146" s="8">
        <v>1</v>
      </c>
      <c r="H146" s="8" t="s">
        <v>35</v>
      </c>
      <c r="I146" s="41" t="s">
        <v>36</v>
      </c>
      <c r="K146" s="1" t="str">
        <v>PR00770</v>
      </c>
      <c r="L146" s="1" t="str">
        <v>Beryl Burnsyde</v>
      </c>
      <c r="M146" s="1" t="str">
        <v>Male</v>
      </c>
      <c r="N146" s="1" t="str">
        <v>Legal</v>
      </c>
      <c r="O146" s="1">
        <v>29774.76</v>
      </c>
      <c r="P146" s="72" t="str">
        <v>1-Oct-20</v>
      </c>
      <c r="Q146" s="1">
        <v>1</v>
      </c>
      <c r="R146" s="5" t="str">
        <v>Permanent</v>
      </c>
      <c r="S146" s="5" t="str">
        <v>Wellington, New Zealand</v>
      </c>
    </row>
    <row r="147" spans="1:19" x14ac:dyDescent="0.3">
      <c r="A147" s="40" t="s">
        <v>144</v>
      </c>
      <c r="B147" s="8" t="s">
        <v>145</v>
      </c>
      <c r="C147" s="8" t="s">
        <v>47</v>
      </c>
      <c r="D147" s="8" t="s">
        <v>57</v>
      </c>
      <c r="E147" s="17">
        <v>110042.37</v>
      </c>
      <c r="F147" s="18">
        <v>43914</v>
      </c>
      <c r="G147" s="8">
        <v>1</v>
      </c>
      <c r="H147" s="8" t="s">
        <v>35</v>
      </c>
      <c r="I147" s="41" t="s">
        <v>58</v>
      </c>
      <c r="K147" s="1" t="str">
        <v>VT04273</v>
      </c>
      <c r="L147" s="1" t="str">
        <v>Brad Gumb</v>
      </c>
      <c r="M147" s="1" t="str">
        <v>Male</v>
      </c>
      <c r="N147" s="1" t="str">
        <v>Accounting</v>
      </c>
      <c r="O147" s="1">
        <v>38825.18</v>
      </c>
      <c r="P147" s="72">
        <v>43696</v>
      </c>
      <c r="Q147" s="1">
        <v>1</v>
      </c>
      <c r="R147" s="5" t="str">
        <v>Temporary</v>
      </c>
      <c r="S147" s="5" t="str">
        <v>Remote</v>
      </c>
    </row>
    <row r="148" spans="1:19" x14ac:dyDescent="0.3">
      <c r="A148" s="40" t="s">
        <v>529</v>
      </c>
      <c r="B148" s="8" t="s">
        <v>776</v>
      </c>
      <c r="C148" s="8" t="s">
        <v>33</v>
      </c>
      <c r="D148" s="8" t="s">
        <v>81</v>
      </c>
      <c r="E148" s="17">
        <v>37902.35</v>
      </c>
      <c r="F148" s="18" t="s">
        <v>531</v>
      </c>
      <c r="G148" s="8">
        <v>1</v>
      </c>
      <c r="H148" s="8" t="s">
        <v>35</v>
      </c>
      <c r="I148" s="41" t="s">
        <v>49</v>
      </c>
      <c r="K148" s="1" t="str">
        <v>VT04093</v>
      </c>
      <c r="L148" s="1" t="str">
        <v>Baruna Ogale</v>
      </c>
      <c r="M148" s="1" t="str">
        <v>Female</v>
      </c>
      <c r="N148" s="1" t="str">
        <v>Training</v>
      </c>
      <c r="O148" s="1">
        <v>116767.63</v>
      </c>
      <c r="P148" s="72">
        <v>43949</v>
      </c>
      <c r="Q148" s="1">
        <v>0.4</v>
      </c>
      <c r="R148" s="5" t="str">
        <v>Temporary</v>
      </c>
      <c r="S148" s="5" t="str">
        <v>Chennai, India</v>
      </c>
    </row>
    <row r="149" spans="1:19" x14ac:dyDescent="0.3">
      <c r="A149" s="40" t="s">
        <v>777</v>
      </c>
      <c r="B149" s="8" t="s">
        <v>778</v>
      </c>
      <c r="C149" s="8" t="s">
        <v>33</v>
      </c>
      <c r="D149" s="8" t="s">
        <v>57</v>
      </c>
      <c r="E149" s="17">
        <v>33031.26</v>
      </c>
      <c r="F149" s="18" t="s">
        <v>779</v>
      </c>
      <c r="G149" s="8">
        <v>0.4</v>
      </c>
      <c r="H149" s="8" t="s">
        <v>35</v>
      </c>
      <c r="I149" s="41" t="s">
        <v>102</v>
      </c>
      <c r="K149" s="1" t="str">
        <v>SQ02465</v>
      </c>
      <c r="L149" s="1" t="str">
        <v>Bernie Gorges</v>
      </c>
      <c r="M149" s="1" t="str">
        <v>Female</v>
      </c>
      <c r="N149" s="1" t="str">
        <v>Training</v>
      </c>
      <c r="O149" s="1">
        <v>99965.97</v>
      </c>
      <c r="P149" s="72" t="str">
        <v>2-Feb-18</v>
      </c>
      <c r="Q149" s="1">
        <v>1</v>
      </c>
      <c r="R149" s="5" t="str">
        <v>Permanent</v>
      </c>
      <c r="S149" s="5" t="str">
        <v>Remote</v>
      </c>
    </row>
    <row r="150" spans="1:19" x14ac:dyDescent="0.3">
      <c r="A150" s="40" t="s">
        <v>780</v>
      </c>
      <c r="B150" s="8" t="s">
        <v>781</v>
      </c>
      <c r="C150" s="8" t="s">
        <v>33</v>
      </c>
      <c r="D150" s="8" t="s">
        <v>88</v>
      </c>
      <c r="E150" s="17">
        <v>32496.880000000001</v>
      </c>
      <c r="F150" s="18">
        <v>43234</v>
      </c>
      <c r="G150" s="8">
        <v>1</v>
      </c>
      <c r="H150" s="8" t="s">
        <v>525</v>
      </c>
      <c r="I150" s="41" t="s">
        <v>36</v>
      </c>
    </row>
    <row r="151" spans="1:19" x14ac:dyDescent="0.3">
      <c r="A151" s="40" t="s">
        <v>69</v>
      </c>
      <c r="B151" s="8" t="s">
        <v>70</v>
      </c>
      <c r="C151" s="8" t="s">
        <v>33</v>
      </c>
      <c r="D151" s="8" t="s">
        <v>48</v>
      </c>
      <c r="E151" s="17">
        <v>81897.789999999994</v>
      </c>
      <c r="F151" s="18">
        <v>43146</v>
      </c>
      <c r="G151" s="8">
        <v>1</v>
      </c>
      <c r="H151" s="8" t="s">
        <v>35</v>
      </c>
      <c r="I151" s="41" t="s">
        <v>71</v>
      </c>
      <c r="K151" s="1" t="s">
        <v>1526</v>
      </c>
    </row>
    <row r="152" spans="1:19" x14ac:dyDescent="0.3">
      <c r="A152" s="40" t="s">
        <v>782</v>
      </c>
      <c r="B152" s="8" t="s">
        <v>783</v>
      </c>
      <c r="C152" s="8" t="s">
        <v>47</v>
      </c>
      <c r="D152" s="8" t="s">
        <v>53</v>
      </c>
      <c r="E152" s="17">
        <v>108872.77</v>
      </c>
      <c r="F152" s="18">
        <v>43521</v>
      </c>
      <c r="G152" s="8">
        <v>1</v>
      </c>
      <c r="H152" s="8" t="s">
        <v>35</v>
      </c>
      <c r="I152" s="41" t="s">
        <v>36</v>
      </c>
    </row>
    <row r="153" spans="1:19" x14ac:dyDescent="0.3">
      <c r="A153" s="40" t="s">
        <v>784</v>
      </c>
      <c r="B153" s="8" t="s">
        <v>785</v>
      </c>
      <c r="C153" s="8" t="s">
        <v>47</v>
      </c>
      <c r="D153" s="8" t="s">
        <v>92</v>
      </c>
      <c r="E153" s="17">
        <v>89605.13</v>
      </c>
      <c r="F153" s="18" t="s">
        <v>786</v>
      </c>
      <c r="G153" s="8">
        <v>1</v>
      </c>
      <c r="H153" s="8" t="s">
        <v>35</v>
      </c>
      <c r="I153" s="41" t="s">
        <v>136</v>
      </c>
      <c r="K153" s="1" t="str" cm="1">
        <f t="array" ref="K153:S351">_xlfn._xlws.FILTER(Table3[],Table3[Start Date]&gt;=DATE(2020,1,1))</f>
        <v>SQ01395</v>
      </c>
      <c r="L153" s="1" t="str">
        <v>Dennison Crosswaite</v>
      </c>
      <c r="M153" s="1" t="str">
        <v>Male</v>
      </c>
      <c r="N153" s="1" t="str">
        <v>CLEANING</v>
      </c>
      <c r="O153" s="1">
        <v>90697.67</v>
      </c>
      <c r="P153" s="72">
        <v>44221</v>
      </c>
      <c r="Q153" s="1">
        <v>0.8</v>
      </c>
      <c r="R153" s="5" t="str">
        <v>Permanent</v>
      </c>
      <c r="S153" s="5" t="str">
        <v>Seattle, USA</v>
      </c>
    </row>
    <row r="154" spans="1:19" x14ac:dyDescent="0.3">
      <c r="A154" s="40" t="s">
        <v>787</v>
      </c>
      <c r="B154" s="8" t="s">
        <v>788</v>
      </c>
      <c r="C154" s="8"/>
      <c r="D154" s="8" t="s">
        <v>88</v>
      </c>
      <c r="E154" s="17">
        <v>63447.07</v>
      </c>
      <c r="F154" s="18" t="s">
        <v>789</v>
      </c>
      <c r="G154" s="8">
        <v>1</v>
      </c>
      <c r="H154" s="8" t="s">
        <v>525</v>
      </c>
      <c r="I154" s="41" t="s">
        <v>82</v>
      </c>
      <c r="K154" s="1" t="str">
        <v>SQ04612</v>
      </c>
      <c r="L154" s="1" t="str">
        <v>Mick Spraberry</v>
      </c>
      <c r="M154" s="1" t="str">
        <v>Female</v>
      </c>
      <c r="N154" s="1" t="str">
        <v>Services</v>
      </c>
      <c r="O154" s="1">
        <v>120000</v>
      </c>
      <c r="P154" s="72">
        <v>43893</v>
      </c>
      <c r="Q154" s="1">
        <v>0.9</v>
      </c>
      <c r="R154" s="5" t="str">
        <v>Permanent</v>
      </c>
      <c r="S154" s="5" t="str">
        <v>Remote</v>
      </c>
    </row>
    <row r="155" spans="1:19" x14ac:dyDescent="0.3">
      <c r="A155" s="40" t="s">
        <v>790</v>
      </c>
      <c r="B155" s="8" t="s">
        <v>791</v>
      </c>
      <c r="C155" s="8" t="s">
        <v>33</v>
      </c>
      <c r="D155" s="8" t="s">
        <v>141</v>
      </c>
      <c r="E155" s="17">
        <v>106665.67</v>
      </c>
      <c r="F155" s="18">
        <v>43311</v>
      </c>
      <c r="G155" s="8">
        <v>1</v>
      </c>
      <c r="H155" s="8" t="s">
        <v>525</v>
      </c>
      <c r="I155" s="41" t="s">
        <v>58</v>
      </c>
      <c r="K155" s="1" t="str">
        <v>VT01803</v>
      </c>
      <c r="L155" s="1" t="str">
        <v>Freddy Linford</v>
      </c>
      <c r="M155" s="1" t="str">
        <v>Female</v>
      </c>
      <c r="N155" s="1" t="str">
        <v>Training</v>
      </c>
      <c r="O155" s="1">
        <v>93128.34</v>
      </c>
      <c r="P155" s="72">
        <v>43900</v>
      </c>
      <c r="Q155" s="1">
        <v>1</v>
      </c>
      <c r="R155" s="5" t="str">
        <v>Fixed Term</v>
      </c>
      <c r="S155" s="5" t="str">
        <v>Seattle, USA</v>
      </c>
    </row>
    <row r="156" spans="1:19" x14ac:dyDescent="0.3">
      <c r="A156" s="40" t="s">
        <v>792</v>
      </c>
      <c r="B156" s="8" t="s">
        <v>793</v>
      </c>
      <c r="C156" s="8" t="s">
        <v>47</v>
      </c>
      <c r="D156" s="8" t="s">
        <v>48</v>
      </c>
      <c r="E156" s="17">
        <v>100424.23</v>
      </c>
      <c r="F156" s="18">
        <v>43801</v>
      </c>
      <c r="G156" s="8">
        <v>1</v>
      </c>
      <c r="H156" s="8" t="s">
        <v>35</v>
      </c>
      <c r="I156" s="41" t="s">
        <v>71</v>
      </c>
      <c r="K156" s="1" t="str">
        <v>SQ00144</v>
      </c>
      <c r="L156" s="1" t="str">
        <v>Collen Dunbleton</v>
      </c>
      <c r="M156" s="1" t="str">
        <v>Male</v>
      </c>
      <c r="N156" s="1" t="str">
        <v>Engineering</v>
      </c>
      <c r="O156" s="1">
        <v>118976.16</v>
      </c>
      <c r="P156" s="72" t="str">
        <v>Oct 16, 2020</v>
      </c>
      <c r="Q156" s="1">
        <v>1</v>
      </c>
      <c r="R156" s="5" t="str">
        <v>Permanent</v>
      </c>
      <c r="S156" s="5" t="str">
        <v>Wellington, New Zealand</v>
      </c>
    </row>
    <row r="157" spans="1:19" x14ac:dyDescent="0.3">
      <c r="A157" s="40" t="s">
        <v>794</v>
      </c>
      <c r="B157" s="8" t="s">
        <v>795</v>
      </c>
      <c r="C157" s="8" t="s">
        <v>47</v>
      </c>
      <c r="D157" s="8" t="s">
        <v>48</v>
      </c>
      <c r="E157" s="17">
        <v>47646.95</v>
      </c>
      <c r="F157" s="18">
        <v>43791</v>
      </c>
      <c r="G157" s="8">
        <v>0.3</v>
      </c>
      <c r="H157" s="8" t="s">
        <v>504</v>
      </c>
      <c r="I157" s="41" t="s">
        <v>49</v>
      </c>
      <c r="K157" s="1" t="str">
        <v>PR04601</v>
      </c>
      <c r="L157" s="1" t="str">
        <v>Yedukondalu Panditula</v>
      </c>
      <c r="M157" s="1">
        <v>0</v>
      </c>
      <c r="N157" s="1" t="str">
        <v>Support</v>
      </c>
      <c r="O157" s="1">
        <v>104802.63</v>
      </c>
      <c r="P157" s="72">
        <v>44502</v>
      </c>
      <c r="Q157" s="1">
        <v>1</v>
      </c>
      <c r="R157" s="5" t="str">
        <v>Permanent</v>
      </c>
      <c r="S157" s="5" t="str">
        <v>Hyderabad, India</v>
      </c>
    </row>
    <row r="158" spans="1:19" x14ac:dyDescent="0.3">
      <c r="A158" s="40" t="s">
        <v>796</v>
      </c>
      <c r="B158" s="8" t="s">
        <v>797</v>
      </c>
      <c r="C158" s="8" t="s">
        <v>47</v>
      </c>
      <c r="D158" s="8" t="s">
        <v>88</v>
      </c>
      <c r="E158" s="17">
        <v>28481.16</v>
      </c>
      <c r="F158" s="18">
        <v>43916</v>
      </c>
      <c r="G158" s="8">
        <v>1</v>
      </c>
      <c r="H158" s="8" t="s">
        <v>35</v>
      </c>
      <c r="I158" s="41" t="s">
        <v>102</v>
      </c>
      <c r="K158" s="1" t="str">
        <v>VT00578</v>
      </c>
      <c r="L158" s="1" t="str">
        <v>Magnum Locksley</v>
      </c>
      <c r="M158" s="1" t="str">
        <v>Female</v>
      </c>
      <c r="N158" s="1" t="str">
        <v>Services</v>
      </c>
      <c r="O158" s="1">
        <v>42314.39</v>
      </c>
      <c r="P158" s="72" t="str">
        <v>Oct 18, 2021</v>
      </c>
      <c r="Q158" s="1">
        <v>1</v>
      </c>
      <c r="R158" s="5" t="str">
        <v>Fixed Term</v>
      </c>
      <c r="S158" s="5" t="str">
        <v>Remote</v>
      </c>
    </row>
    <row r="159" spans="1:19" x14ac:dyDescent="0.3">
      <c r="A159" s="40" t="s">
        <v>715</v>
      </c>
      <c r="B159" s="8" t="s">
        <v>716</v>
      </c>
      <c r="C159" s="8" t="s">
        <v>33</v>
      </c>
      <c r="D159" s="8" t="s">
        <v>76</v>
      </c>
      <c r="E159" s="17"/>
      <c r="F159" s="18">
        <v>43504</v>
      </c>
      <c r="G159" s="8">
        <v>1</v>
      </c>
      <c r="H159" s="8" t="s">
        <v>35</v>
      </c>
      <c r="I159" s="41" t="s">
        <v>36</v>
      </c>
      <c r="K159" s="1" t="str">
        <v>TN01281</v>
      </c>
      <c r="L159" s="1" t="str">
        <v xml:space="preserve">Cletus McGarahan </v>
      </c>
      <c r="M159" s="1" t="str">
        <v>Female</v>
      </c>
      <c r="N159" s="1" t="str">
        <v>Engineering</v>
      </c>
      <c r="O159" s="1">
        <v>114425.19</v>
      </c>
      <c r="P159" s="72" t="str">
        <v>27-Jan-20</v>
      </c>
      <c r="Q159" s="1">
        <v>1</v>
      </c>
      <c r="R159" s="5" t="str">
        <v>Permanent</v>
      </c>
      <c r="S159" s="5" t="str">
        <v>Wellington, New Zealand</v>
      </c>
    </row>
    <row r="160" spans="1:19" x14ac:dyDescent="0.3">
      <c r="A160" s="40" t="s">
        <v>177</v>
      </c>
      <c r="B160" s="8" t="s">
        <v>178</v>
      </c>
      <c r="C160" s="8" t="s">
        <v>33</v>
      </c>
      <c r="D160" s="8" t="s">
        <v>42</v>
      </c>
      <c r="E160" s="17">
        <v>39535.49</v>
      </c>
      <c r="F160" s="18">
        <v>43397</v>
      </c>
      <c r="G160" s="8">
        <v>0.3</v>
      </c>
      <c r="H160" s="8" t="s">
        <v>35</v>
      </c>
      <c r="I160" s="41" t="s">
        <v>36</v>
      </c>
      <c r="K160" s="1" t="str">
        <v>PR04473</v>
      </c>
      <c r="L160" s="1" t="str">
        <v xml:space="preserve"> Wyn Treadger</v>
      </c>
      <c r="M160" s="1" t="str">
        <v>Female</v>
      </c>
      <c r="N160" s="1" t="str">
        <v>Business Development</v>
      </c>
      <c r="O160" s="1">
        <v>69192.850000000006</v>
      </c>
      <c r="P160" s="72" t="str">
        <v>19-Apr-21</v>
      </c>
      <c r="Q160" s="1">
        <v>1</v>
      </c>
      <c r="R160" s="5" t="str">
        <v>Permanent</v>
      </c>
      <c r="S160" s="5" t="str">
        <v>Columbus, USA</v>
      </c>
    </row>
    <row r="161" spans="1:19" x14ac:dyDescent="0.3">
      <c r="A161" s="40" t="s">
        <v>798</v>
      </c>
      <c r="B161" s="8" t="s">
        <v>799</v>
      </c>
      <c r="C161" s="8" t="s">
        <v>47</v>
      </c>
      <c r="D161" s="8" t="s">
        <v>34</v>
      </c>
      <c r="E161" s="17">
        <v>95017.1</v>
      </c>
      <c r="F161" s="18">
        <v>43283</v>
      </c>
      <c r="G161" s="8">
        <v>1</v>
      </c>
      <c r="H161" s="8" t="s">
        <v>504</v>
      </c>
      <c r="I161" s="41" t="s">
        <v>136</v>
      </c>
      <c r="K161" s="1" t="str">
        <v>VT02417</v>
      </c>
      <c r="L161" s="1" t="str">
        <v>Evangelina Lergan</v>
      </c>
      <c r="M161" s="1" t="str">
        <v>Male</v>
      </c>
      <c r="N161" s="1" t="str">
        <v>Support</v>
      </c>
      <c r="O161" s="1">
        <v>61214.26</v>
      </c>
      <c r="P161" s="72" t="str">
        <v>12-Mar-18</v>
      </c>
      <c r="Q161" s="1">
        <v>1</v>
      </c>
      <c r="R161" s="5" t="str">
        <v>Temporary</v>
      </c>
      <c r="S161" s="5" t="str">
        <v>Auckland, New Zealand</v>
      </c>
    </row>
    <row r="162" spans="1:19" x14ac:dyDescent="0.3">
      <c r="A162" s="40" t="s">
        <v>800</v>
      </c>
      <c r="B162" s="8" t="s">
        <v>801</v>
      </c>
      <c r="C162" s="8" t="s">
        <v>47</v>
      </c>
      <c r="D162" s="8" t="s">
        <v>57</v>
      </c>
      <c r="E162" s="17">
        <v>69764.100000000006</v>
      </c>
      <c r="F162" s="18">
        <v>44195</v>
      </c>
      <c r="G162" s="8">
        <v>1</v>
      </c>
      <c r="H162" s="8" t="s">
        <v>504</v>
      </c>
      <c r="I162" s="41" t="s">
        <v>136</v>
      </c>
      <c r="K162" s="1" t="str">
        <v>SQ00691</v>
      </c>
      <c r="L162" s="1" t="str">
        <v>Verla Timmis</v>
      </c>
      <c r="M162" s="1" t="str">
        <v>Male</v>
      </c>
      <c r="N162" s="1" t="str">
        <v>Support</v>
      </c>
      <c r="O162" s="1">
        <v>54137.05</v>
      </c>
      <c r="P162" s="72" t="str">
        <v>25-Oct-19</v>
      </c>
      <c r="Q162" s="1">
        <v>1</v>
      </c>
      <c r="R162" s="5" t="str">
        <v>Permanent</v>
      </c>
      <c r="S162" s="5" t="str">
        <v>Remote</v>
      </c>
    </row>
    <row r="163" spans="1:19" x14ac:dyDescent="0.3">
      <c r="A163" s="40" t="s">
        <v>802</v>
      </c>
      <c r="B163" s="8" t="s">
        <v>803</v>
      </c>
      <c r="C163" s="8" t="s">
        <v>33</v>
      </c>
      <c r="D163" s="8" t="s">
        <v>42</v>
      </c>
      <c r="E163" s="17">
        <v>84598.88</v>
      </c>
      <c r="F163" s="18" t="s">
        <v>804</v>
      </c>
      <c r="G163" s="8">
        <v>1</v>
      </c>
      <c r="H163" s="8" t="s">
        <v>504</v>
      </c>
      <c r="I163" s="41" t="s">
        <v>136</v>
      </c>
      <c r="K163" s="1" t="str">
        <v>TN00214</v>
      </c>
      <c r="L163" s="1" t="str">
        <v>Devsena Veluvalapalli</v>
      </c>
      <c r="M163" s="1" t="str">
        <v>Female</v>
      </c>
      <c r="N163" s="1" t="str">
        <v>Training</v>
      </c>
      <c r="O163" s="1">
        <v>37902.35</v>
      </c>
      <c r="P163" s="72" t="str">
        <v>Dec 24, 2019</v>
      </c>
      <c r="Q163" s="1">
        <v>1</v>
      </c>
      <c r="R163" s="5" t="str">
        <v>Permanent</v>
      </c>
      <c r="S163" s="5" t="str">
        <v>Chennai, India</v>
      </c>
    </row>
    <row r="164" spans="1:19" x14ac:dyDescent="0.3">
      <c r="A164" s="40" t="s">
        <v>805</v>
      </c>
      <c r="B164" s="8" t="s">
        <v>806</v>
      </c>
      <c r="C164" s="8" t="s">
        <v>47</v>
      </c>
      <c r="D164" s="8" t="s">
        <v>53</v>
      </c>
      <c r="E164" s="17">
        <v>36536.26</v>
      </c>
      <c r="F164" s="18" t="s">
        <v>807</v>
      </c>
      <c r="G164" s="8">
        <v>1</v>
      </c>
      <c r="H164" s="8" t="s">
        <v>525</v>
      </c>
      <c r="I164" s="41" t="s">
        <v>102</v>
      </c>
      <c r="K164" s="1" t="str">
        <v>VT02539</v>
      </c>
      <c r="L164" s="1" t="str">
        <v>Devinne Tuny</v>
      </c>
      <c r="M164" s="1" t="str">
        <v>Male</v>
      </c>
      <c r="N164" s="1" t="str">
        <v>Engineering</v>
      </c>
      <c r="O164" s="1">
        <v>39969.72</v>
      </c>
      <c r="P164" s="72" t="str">
        <v>10-Dec-18</v>
      </c>
      <c r="Q164" s="1">
        <v>1</v>
      </c>
      <c r="R164" s="5" t="str">
        <v>Temporary</v>
      </c>
      <c r="S164" s="5" t="str">
        <v>Columbus, USA</v>
      </c>
    </row>
    <row r="165" spans="1:19" x14ac:dyDescent="0.3">
      <c r="A165" s="40" t="s">
        <v>808</v>
      </c>
      <c r="B165" s="8" t="s">
        <v>809</v>
      </c>
      <c r="C165" s="8" t="s">
        <v>33</v>
      </c>
      <c r="D165" s="8" t="s">
        <v>57</v>
      </c>
      <c r="E165" s="17">
        <v>61688.77</v>
      </c>
      <c r="F165" s="18" t="s">
        <v>810</v>
      </c>
      <c r="G165" s="8">
        <v>0.9</v>
      </c>
      <c r="H165" s="8" t="s">
        <v>35</v>
      </c>
      <c r="I165" s="41" t="s">
        <v>49</v>
      </c>
      <c r="K165" s="1" t="str">
        <v>TN00464</v>
      </c>
      <c r="L165" s="1" t="str">
        <v>Gopal Venkata</v>
      </c>
      <c r="M165" s="1" t="str">
        <v>Male</v>
      </c>
      <c r="N165" s="1" t="str">
        <v>Research and Development</v>
      </c>
      <c r="O165" s="1">
        <v>52748.63</v>
      </c>
      <c r="P165" s="72" t="str">
        <v>27-Jan-20</v>
      </c>
      <c r="Q165" s="1">
        <v>1</v>
      </c>
      <c r="R165" s="5" t="str">
        <v>Permanent</v>
      </c>
      <c r="S165" s="5" t="str">
        <v>Chennai, India</v>
      </c>
    </row>
    <row r="166" spans="1:19" x14ac:dyDescent="0.3">
      <c r="A166" s="40" t="s">
        <v>811</v>
      </c>
      <c r="B166" s="8" t="s">
        <v>812</v>
      </c>
      <c r="C166" s="8" t="s">
        <v>33</v>
      </c>
      <c r="D166" s="8" t="s">
        <v>141</v>
      </c>
      <c r="E166" s="17"/>
      <c r="F166" s="18" t="s">
        <v>813</v>
      </c>
      <c r="G166" s="8">
        <v>1</v>
      </c>
      <c r="H166" s="8" t="s">
        <v>35</v>
      </c>
      <c r="I166" s="41" t="s">
        <v>136</v>
      </c>
      <c r="K166" s="1" t="str">
        <v>PR00893</v>
      </c>
      <c r="L166" s="1" t="str">
        <v>Vasavi Veeravasarapu</v>
      </c>
      <c r="M166" s="1" t="str">
        <v>Male</v>
      </c>
      <c r="N166" s="1" t="str">
        <v>Human Resources</v>
      </c>
      <c r="O166" s="1">
        <v>50310.09</v>
      </c>
      <c r="P166" s="72">
        <v>44285</v>
      </c>
      <c r="Q166" s="1">
        <v>0.4</v>
      </c>
      <c r="R166" s="5" t="str">
        <v>Permanent</v>
      </c>
      <c r="S166" s="5" t="str">
        <v>Hyderabad, India</v>
      </c>
    </row>
    <row r="167" spans="1:19" x14ac:dyDescent="0.3">
      <c r="A167" s="40" t="s">
        <v>814</v>
      </c>
      <c r="B167" s="8" t="s">
        <v>815</v>
      </c>
      <c r="C167" s="8" t="s">
        <v>33</v>
      </c>
      <c r="D167" s="8" t="s">
        <v>53</v>
      </c>
      <c r="E167" s="17">
        <v>88425.08</v>
      </c>
      <c r="F167" s="18" t="s">
        <v>816</v>
      </c>
      <c r="G167" s="8">
        <v>1</v>
      </c>
      <c r="H167" s="8" t="s">
        <v>35</v>
      </c>
      <c r="I167" s="41" t="s">
        <v>102</v>
      </c>
      <c r="K167" s="1" t="str">
        <v>PR00882</v>
      </c>
      <c r="L167" s="1" t="str">
        <v xml:space="preserve"> Jill Shipsey</v>
      </c>
      <c r="M167" s="1" t="str">
        <v>Male</v>
      </c>
      <c r="N167" s="1" t="str">
        <v>Accounting</v>
      </c>
      <c r="O167" s="1">
        <v>52963.65</v>
      </c>
      <c r="P167" s="72">
        <v>44288</v>
      </c>
      <c r="Q167" s="1">
        <v>0.3</v>
      </c>
      <c r="R167" s="5" t="str">
        <v>Permanent</v>
      </c>
      <c r="S167" s="5" t="str">
        <v>Columbus, USA</v>
      </c>
    </row>
    <row r="168" spans="1:19" x14ac:dyDescent="0.3">
      <c r="A168" s="40" t="s">
        <v>610</v>
      </c>
      <c r="B168" s="8" t="s">
        <v>817</v>
      </c>
      <c r="C168" s="8" t="s">
        <v>33</v>
      </c>
      <c r="D168" s="8" t="s">
        <v>141</v>
      </c>
      <c r="E168" s="17">
        <v>38438.239999999998</v>
      </c>
      <c r="F168" s="18" t="s">
        <v>612</v>
      </c>
      <c r="G168" s="8">
        <v>1</v>
      </c>
      <c r="H168" s="8" t="s">
        <v>35</v>
      </c>
      <c r="I168" s="41" t="s">
        <v>49</v>
      </c>
      <c r="K168" s="1" t="str">
        <v>PR03445</v>
      </c>
      <c r="L168" s="1" t="str">
        <v>Myrle Prandoni</v>
      </c>
      <c r="M168" s="1" t="str">
        <v>Male</v>
      </c>
      <c r="N168" s="1" t="str">
        <v>Sales</v>
      </c>
      <c r="O168" s="1">
        <v>62195.47</v>
      </c>
      <c r="P168" s="72" t="str">
        <v>26-Aug-21</v>
      </c>
      <c r="Q168" s="1">
        <v>1</v>
      </c>
      <c r="R168" s="5" t="str">
        <v>Permanent</v>
      </c>
      <c r="S168" s="5" t="str">
        <v>Remote</v>
      </c>
    </row>
    <row r="169" spans="1:19" x14ac:dyDescent="0.3">
      <c r="A169" s="40" t="s">
        <v>818</v>
      </c>
      <c r="B169" s="8" t="s">
        <v>819</v>
      </c>
      <c r="C169" s="8" t="s">
        <v>47</v>
      </c>
      <c r="D169" s="8" t="s">
        <v>42</v>
      </c>
      <c r="E169" s="17">
        <v>96753.78</v>
      </c>
      <c r="F169" s="18">
        <v>44494</v>
      </c>
      <c r="G169" s="8">
        <v>1</v>
      </c>
      <c r="H169" s="8" t="s">
        <v>35</v>
      </c>
      <c r="I169" s="41" t="s">
        <v>71</v>
      </c>
      <c r="K169" s="1" t="str">
        <v>TN00890</v>
      </c>
      <c r="L169" s="1" t="str">
        <v>Mayur Kousika</v>
      </c>
      <c r="M169" s="1" t="str">
        <v>Female</v>
      </c>
      <c r="N169" s="1" t="str">
        <v>Training</v>
      </c>
      <c r="O169" s="1">
        <v>71570.990000000005</v>
      </c>
      <c r="P169" s="72" t="str">
        <v>22-Feb-21</v>
      </c>
      <c r="Q169" s="1">
        <v>0.5</v>
      </c>
      <c r="R169" s="5" t="str">
        <v>Permanent</v>
      </c>
      <c r="S169" s="5" t="str">
        <v>Hyderabad, India</v>
      </c>
    </row>
    <row r="170" spans="1:19" x14ac:dyDescent="0.3">
      <c r="A170" s="40" t="s">
        <v>697</v>
      </c>
      <c r="B170" s="8" t="s">
        <v>698</v>
      </c>
      <c r="C170" s="8" t="s">
        <v>47</v>
      </c>
      <c r="D170" s="8" t="s">
        <v>81</v>
      </c>
      <c r="E170" s="17">
        <v>112778.28</v>
      </c>
      <c r="F170" s="18">
        <v>43250</v>
      </c>
      <c r="G170" s="8">
        <v>1</v>
      </c>
      <c r="H170" s="8" t="s">
        <v>504</v>
      </c>
      <c r="I170" s="41" t="s">
        <v>36</v>
      </c>
      <c r="K170" s="1" t="str">
        <v>PR02288</v>
      </c>
      <c r="L170" s="1" t="str">
        <v>Althea  Bronger</v>
      </c>
      <c r="M170" s="1" t="str">
        <v>Male</v>
      </c>
      <c r="N170" s="1" t="str">
        <v>Product Management</v>
      </c>
      <c r="O170" s="1">
        <v>104335.03999999999</v>
      </c>
      <c r="P170" s="72">
        <v>43874</v>
      </c>
      <c r="Q170" s="1">
        <v>1</v>
      </c>
      <c r="R170" s="5" t="str">
        <v>Permanent</v>
      </c>
      <c r="S170" s="5" t="str">
        <v>Columbus, USA</v>
      </c>
    </row>
    <row r="171" spans="1:19" x14ac:dyDescent="0.3">
      <c r="A171" s="40" t="s">
        <v>820</v>
      </c>
      <c r="B171" s="8" t="s">
        <v>821</v>
      </c>
      <c r="C171" s="8" t="s">
        <v>33</v>
      </c>
      <c r="D171" s="8" t="s">
        <v>34</v>
      </c>
      <c r="E171" s="17">
        <v>28974.03</v>
      </c>
      <c r="F171" s="18" t="s">
        <v>822</v>
      </c>
      <c r="G171" s="8">
        <v>1</v>
      </c>
      <c r="H171" s="8" t="s">
        <v>35</v>
      </c>
      <c r="I171" s="41" t="s">
        <v>71</v>
      </c>
      <c r="K171" s="1" t="str">
        <v>VT03849</v>
      </c>
      <c r="L171" s="1" t="str">
        <v>Leonidas Cavaney</v>
      </c>
      <c r="M171" s="1" t="str">
        <v>Male</v>
      </c>
      <c r="N171" s="1" t="str">
        <v>Accounting</v>
      </c>
      <c r="O171" s="1">
        <v>52246.29</v>
      </c>
      <c r="P171" s="72" t="str">
        <v>18-Apr-19</v>
      </c>
      <c r="Q171" s="1">
        <v>1</v>
      </c>
      <c r="R171" s="5" t="str">
        <v>Temporary</v>
      </c>
      <c r="S171" s="5" t="str">
        <v>Wellington, New Zealand</v>
      </c>
    </row>
    <row r="172" spans="1:19" x14ac:dyDescent="0.3">
      <c r="A172" s="40" t="s">
        <v>823</v>
      </c>
      <c r="B172" s="8" t="s">
        <v>824</v>
      </c>
      <c r="C172" s="8" t="s">
        <v>33</v>
      </c>
      <c r="D172" s="8" t="s">
        <v>57</v>
      </c>
      <c r="E172" s="17">
        <v>86233.83</v>
      </c>
      <c r="F172" s="18" t="s">
        <v>825</v>
      </c>
      <c r="G172" s="8">
        <v>1</v>
      </c>
      <c r="H172" s="8" t="s">
        <v>504</v>
      </c>
      <c r="I172" s="41" t="s">
        <v>49</v>
      </c>
      <c r="K172" s="1" t="str">
        <v>SQ01395</v>
      </c>
      <c r="L172" s="1" t="str">
        <v>Dennison Crosswaite</v>
      </c>
      <c r="M172" s="1" t="str">
        <v>Male</v>
      </c>
      <c r="N172" s="1" t="str">
        <v>CLEANING</v>
      </c>
      <c r="O172" s="1">
        <v>90697.67</v>
      </c>
      <c r="P172" s="72">
        <v>44221</v>
      </c>
      <c r="Q172" s="1">
        <v>0.8</v>
      </c>
      <c r="R172" s="5" t="str">
        <v>Permanent</v>
      </c>
      <c r="S172" s="5" t="str">
        <v>Seattle, USA</v>
      </c>
    </row>
    <row r="173" spans="1:19" x14ac:dyDescent="0.3">
      <c r="A173" s="40" t="s">
        <v>634</v>
      </c>
      <c r="B173" s="8" t="s">
        <v>635</v>
      </c>
      <c r="C173" s="8" t="s">
        <v>33</v>
      </c>
      <c r="D173" s="8" t="s">
        <v>141</v>
      </c>
      <c r="E173" s="17">
        <v>66865.490000000005</v>
      </c>
      <c r="F173" s="18" t="s">
        <v>636</v>
      </c>
      <c r="G173" s="8">
        <v>1</v>
      </c>
      <c r="H173" s="8" t="s">
        <v>35</v>
      </c>
      <c r="I173" s="41" t="s">
        <v>136</v>
      </c>
      <c r="K173" s="1" t="str">
        <v>SQ02559</v>
      </c>
      <c r="L173" s="1" t="str">
        <v>Aldrich  Glenny</v>
      </c>
      <c r="M173" s="1" t="str">
        <v>Male</v>
      </c>
      <c r="N173" s="1" t="str">
        <v>Business Development</v>
      </c>
      <c r="O173" s="1">
        <v>90884.32</v>
      </c>
      <c r="P173" s="72" t="str">
        <v>27-Dec-19</v>
      </c>
      <c r="Q173" s="1">
        <v>1</v>
      </c>
      <c r="R173" s="5" t="str">
        <v>Permanent</v>
      </c>
      <c r="S173" s="5" t="str">
        <v>Columbus, USA</v>
      </c>
    </row>
    <row r="174" spans="1:19" x14ac:dyDescent="0.3">
      <c r="A174" s="40" t="s">
        <v>153</v>
      </c>
      <c r="B174" s="8" t="s">
        <v>154</v>
      </c>
      <c r="C174" s="8" t="s">
        <v>47</v>
      </c>
      <c r="D174" s="8" t="s">
        <v>99</v>
      </c>
      <c r="E174" s="17">
        <v>119022.49</v>
      </c>
      <c r="F174" s="18">
        <v>44431</v>
      </c>
      <c r="G174" s="8">
        <v>1</v>
      </c>
      <c r="H174" s="8" t="s">
        <v>35</v>
      </c>
      <c r="I174" s="41" t="s">
        <v>71</v>
      </c>
      <c r="K174" s="1" t="str">
        <v>VT04627</v>
      </c>
      <c r="L174" s="1" t="str">
        <v>Yvette  Bett</v>
      </c>
      <c r="M174" s="1" t="str">
        <v>Male</v>
      </c>
      <c r="N174" s="1" t="str">
        <v>Human Resources</v>
      </c>
      <c r="O174" s="1">
        <v>76320.44</v>
      </c>
      <c r="P174" s="72">
        <v>44383</v>
      </c>
      <c r="Q174" s="1">
        <v>0.8</v>
      </c>
      <c r="R174" s="5" t="str">
        <v>Temporary</v>
      </c>
      <c r="S174" s="5" t="str">
        <v>Remote</v>
      </c>
    </row>
    <row r="175" spans="1:19" x14ac:dyDescent="0.3">
      <c r="A175" s="40" t="s">
        <v>149</v>
      </c>
      <c r="B175" s="8" t="s">
        <v>150</v>
      </c>
      <c r="C175" s="8" t="s">
        <v>33</v>
      </c>
      <c r="D175" s="8" t="s">
        <v>99</v>
      </c>
      <c r="E175" s="17">
        <v>114177.23</v>
      </c>
      <c r="F175" s="18" t="s">
        <v>826</v>
      </c>
      <c r="G175" s="8">
        <v>1</v>
      </c>
      <c r="H175" s="8" t="s">
        <v>35</v>
      </c>
      <c r="I175" s="41" t="s">
        <v>82</v>
      </c>
      <c r="K175" s="1" t="str">
        <v>VT03537</v>
      </c>
      <c r="L175" s="1" t="str">
        <v>Renaldo Thomassin</v>
      </c>
      <c r="M175" s="1" t="str">
        <v>Male</v>
      </c>
      <c r="N175" s="1" t="str">
        <v>Business Development</v>
      </c>
      <c r="O175" s="1">
        <v>73360.38</v>
      </c>
      <c r="P175" s="72">
        <v>43972</v>
      </c>
      <c r="Q175" s="1">
        <v>1</v>
      </c>
      <c r="R175" s="5" t="str">
        <v>Temporary</v>
      </c>
      <c r="S175" s="5" t="str">
        <v>Remote</v>
      </c>
    </row>
    <row r="176" spans="1:19" x14ac:dyDescent="0.3">
      <c r="A176" s="40" t="s">
        <v>827</v>
      </c>
      <c r="B176" s="8" t="s">
        <v>828</v>
      </c>
      <c r="C176" s="8" t="s">
        <v>33</v>
      </c>
      <c r="D176" s="8" t="s">
        <v>85</v>
      </c>
      <c r="E176" s="17">
        <v>100731.95</v>
      </c>
      <c r="F176" s="18" t="s">
        <v>829</v>
      </c>
      <c r="G176" s="8">
        <v>1</v>
      </c>
      <c r="H176" s="8" t="s">
        <v>35</v>
      </c>
      <c r="I176" s="41" t="s">
        <v>71</v>
      </c>
      <c r="K176" s="1" t="str">
        <v>SQ01395</v>
      </c>
      <c r="L176" s="1" t="str">
        <v>Dennison Crosswaite</v>
      </c>
      <c r="M176" s="1" t="str">
        <v>Male</v>
      </c>
      <c r="N176" s="1" t="str">
        <v>CLEANING</v>
      </c>
      <c r="O176" s="1">
        <v>90697.67</v>
      </c>
      <c r="P176" s="72">
        <v>44221</v>
      </c>
      <c r="Q176" s="1">
        <v>0.8</v>
      </c>
      <c r="R176" s="5" t="str">
        <v>Permanent</v>
      </c>
      <c r="S176" s="5" t="str">
        <v>Seattle, USA</v>
      </c>
    </row>
    <row r="177" spans="1:19" x14ac:dyDescent="0.3">
      <c r="A177" s="40" t="s">
        <v>830</v>
      </c>
      <c r="B177" s="8" t="s">
        <v>831</v>
      </c>
      <c r="C177" s="8" t="s">
        <v>33</v>
      </c>
      <c r="D177" s="8" t="s">
        <v>81</v>
      </c>
      <c r="E177" s="17">
        <v>86010.54</v>
      </c>
      <c r="F177" s="18">
        <v>43164</v>
      </c>
      <c r="G177" s="8">
        <v>1</v>
      </c>
      <c r="H177" s="8" t="s">
        <v>35</v>
      </c>
      <c r="I177" s="41" t="s">
        <v>49</v>
      </c>
      <c r="K177" s="1" t="str">
        <v>PR01662</v>
      </c>
      <c r="L177" s="1" t="str">
        <v>Genevra Friday</v>
      </c>
      <c r="M177" s="1" t="str">
        <v>Female</v>
      </c>
      <c r="N177" s="1" t="str">
        <v>Research and Development</v>
      </c>
      <c r="O177" s="1">
        <v>50449.46</v>
      </c>
      <c r="P177" s="72" t="str">
        <v>14-Nov-18</v>
      </c>
      <c r="Q177" s="1">
        <v>0.8</v>
      </c>
      <c r="R177" s="5" t="str">
        <v>Permanent</v>
      </c>
      <c r="S177" s="5" t="str">
        <v>Auckland, New Zealand</v>
      </c>
    </row>
    <row r="178" spans="1:19" x14ac:dyDescent="0.3">
      <c r="A178" s="40" t="s">
        <v>832</v>
      </c>
      <c r="B178" s="8" t="s">
        <v>833</v>
      </c>
      <c r="C178" s="8" t="s">
        <v>47</v>
      </c>
      <c r="D178" s="8" t="s">
        <v>99</v>
      </c>
      <c r="E178" s="17">
        <v>52270.22</v>
      </c>
      <c r="F178" s="18">
        <v>43521</v>
      </c>
      <c r="G178" s="8">
        <v>0.3</v>
      </c>
      <c r="H178" s="8" t="s">
        <v>35</v>
      </c>
      <c r="I178" s="41" t="s">
        <v>49</v>
      </c>
      <c r="K178" s="1" t="str">
        <v>VT04681</v>
      </c>
      <c r="L178" s="1" t="str">
        <v>Nickolai  Artin</v>
      </c>
      <c r="M178" s="1" t="str">
        <v>Female</v>
      </c>
      <c r="N178" s="1" t="str">
        <v>Product Management</v>
      </c>
      <c r="O178" s="1">
        <v>110906.35</v>
      </c>
      <c r="P178" s="72" t="str">
        <v>Nov 30, 2018</v>
      </c>
      <c r="Q178" s="1">
        <v>1</v>
      </c>
      <c r="R178" s="5" t="str">
        <v>Temporary</v>
      </c>
      <c r="S178" s="5" t="str">
        <v>Wellington, New Zealand</v>
      </c>
    </row>
    <row r="179" spans="1:19" x14ac:dyDescent="0.3">
      <c r="A179" s="40" t="s">
        <v>834</v>
      </c>
      <c r="B179" s="8" t="s">
        <v>835</v>
      </c>
      <c r="C179" s="8" t="s">
        <v>47</v>
      </c>
      <c r="D179" s="8" t="s">
        <v>53</v>
      </c>
      <c r="E179" s="17">
        <v>61624.77</v>
      </c>
      <c r="F179" s="18">
        <v>43430</v>
      </c>
      <c r="G179" s="8">
        <v>0.3</v>
      </c>
      <c r="H179" s="8" t="s">
        <v>504</v>
      </c>
      <c r="I179" s="41" t="s">
        <v>102</v>
      </c>
      <c r="K179" s="1" t="str">
        <v>TN04246</v>
      </c>
      <c r="L179" s="1" t="str">
        <v xml:space="preserve">Shaylyn Ransbury </v>
      </c>
      <c r="M179" s="1" t="str">
        <v>Female</v>
      </c>
      <c r="N179" s="1" t="str">
        <v>Support</v>
      </c>
      <c r="O179" s="1">
        <v>100371.31</v>
      </c>
      <c r="P179" s="72">
        <v>44067</v>
      </c>
      <c r="Q179" s="1">
        <v>0.8</v>
      </c>
      <c r="R179" s="5" t="str">
        <v>Fixed Term</v>
      </c>
      <c r="S179" s="5" t="str">
        <v>Auckland, New Zealand</v>
      </c>
    </row>
    <row r="180" spans="1:19" x14ac:dyDescent="0.3">
      <c r="A180" s="40" t="s">
        <v>836</v>
      </c>
      <c r="B180" s="8" t="s">
        <v>837</v>
      </c>
      <c r="C180" s="8" t="s">
        <v>33</v>
      </c>
      <c r="D180" s="8" t="s">
        <v>92</v>
      </c>
      <c r="E180" s="17">
        <v>104903.79</v>
      </c>
      <c r="F180" s="18" t="s">
        <v>838</v>
      </c>
      <c r="G180" s="8">
        <v>1</v>
      </c>
      <c r="H180" s="8" t="s">
        <v>35</v>
      </c>
      <c r="I180" s="41" t="s">
        <v>49</v>
      </c>
      <c r="K180" s="1" t="str">
        <v>VT02801</v>
      </c>
      <c r="L180" s="1" t="str">
        <v>Shellysheldon Mahady</v>
      </c>
      <c r="M180" s="1" t="str">
        <v>Male</v>
      </c>
      <c r="N180" s="1" t="str">
        <v>Training</v>
      </c>
      <c r="O180" s="1">
        <v>114691.03</v>
      </c>
      <c r="P180" s="72" t="str">
        <v>27-Jul-20</v>
      </c>
      <c r="Q180" s="1">
        <v>1</v>
      </c>
      <c r="R180" s="5" t="str">
        <v>Temporary</v>
      </c>
      <c r="S180" s="5" t="str">
        <v>Wellington, New Zealand</v>
      </c>
    </row>
    <row r="181" spans="1:19" x14ac:dyDescent="0.3">
      <c r="A181" s="40" t="s">
        <v>629</v>
      </c>
      <c r="B181" s="8" t="s">
        <v>630</v>
      </c>
      <c r="C181" s="8" t="s">
        <v>33</v>
      </c>
      <c r="D181" s="8" t="s">
        <v>48</v>
      </c>
      <c r="E181" s="17">
        <v>69057.320000000007</v>
      </c>
      <c r="F181" s="18">
        <v>43390</v>
      </c>
      <c r="G181" s="8">
        <v>1</v>
      </c>
      <c r="H181" s="8" t="s">
        <v>35</v>
      </c>
      <c r="I181" s="41" t="s">
        <v>82</v>
      </c>
      <c r="K181" s="1" t="str">
        <v>SQ01177</v>
      </c>
      <c r="L181" s="1" t="str">
        <v>Nazeer Basha Mustafa</v>
      </c>
      <c r="M181" s="1" t="str">
        <v>Male</v>
      </c>
      <c r="N181" s="1" t="str">
        <v>Human Resources</v>
      </c>
      <c r="O181" s="1">
        <v>86556.96</v>
      </c>
      <c r="P181" s="72" t="str">
        <v>30-Sep-20</v>
      </c>
      <c r="Q181" s="1">
        <v>1</v>
      </c>
      <c r="R181" s="5" t="str">
        <v>Permanent</v>
      </c>
      <c r="S181" s="5" t="str">
        <v>Hyderabad, India</v>
      </c>
    </row>
    <row r="182" spans="1:19" x14ac:dyDescent="0.3">
      <c r="A182" s="40" t="s">
        <v>695</v>
      </c>
      <c r="B182" s="8" t="s">
        <v>696</v>
      </c>
      <c r="C182" s="8" t="s">
        <v>47</v>
      </c>
      <c r="D182" s="8" t="s">
        <v>34</v>
      </c>
      <c r="E182" s="17">
        <v>59258.19</v>
      </c>
      <c r="F182" s="18">
        <v>43452</v>
      </c>
      <c r="G182" s="8">
        <v>0.8</v>
      </c>
      <c r="H182" s="8" t="s">
        <v>35</v>
      </c>
      <c r="I182" s="41" t="s">
        <v>136</v>
      </c>
      <c r="K182" s="1" t="str">
        <v>VT01740</v>
      </c>
      <c r="L182" s="1" t="str">
        <v>Ginger  Myott</v>
      </c>
      <c r="M182" s="1" t="str">
        <v>Female</v>
      </c>
      <c r="N182" s="1" t="str">
        <v>Services</v>
      </c>
      <c r="O182" s="1">
        <v>31172.77</v>
      </c>
      <c r="P182" s="72" t="str">
        <v>19-Jul-19</v>
      </c>
      <c r="Q182" s="1">
        <v>1</v>
      </c>
      <c r="R182" s="5" t="str">
        <v>Fixed Term</v>
      </c>
      <c r="S182" s="5" t="str">
        <v>Remote</v>
      </c>
    </row>
    <row r="183" spans="1:19" x14ac:dyDescent="0.3">
      <c r="A183" s="40" t="s">
        <v>839</v>
      </c>
      <c r="B183" s="8" t="s">
        <v>840</v>
      </c>
      <c r="C183" s="8" t="s">
        <v>47</v>
      </c>
      <c r="D183" s="8" t="s">
        <v>76</v>
      </c>
      <c r="E183" s="17">
        <v>28160.79</v>
      </c>
      <c r="F183" s="18" t="s">
        <v>841</v>
      </c>
      <c r="G183" s="8">
        <v>1</v>
      </c>
      <c r="H183" s="8" t="s">
        <v>525</v>
      </c>
      <c r="I183" s="41" t="s">
        <v>36</v>
      </c>
      <c r="K183" s="1" t="str">
        <v>TN01876</v>
      </c>
      <c r="L183" s="1" t="str">
        <v>Aileen McCritchie</v>
      </c>
      <c r="M183" s="1" t="str">
        <v>Male</v>
      </c>
      <c r="N183" s="1" t="str">
        <v>Business Development</v>
      </c>
      <c r="O183" s="1">
        <v>80169.42</v>
      </c>
      <c r="P183" s="72" t="str">
        <v>10-Aug-20</v>
      </c>
      <c r="Q183" s="1">
        <v>1</v>
      </c>
      <c r="R183" s="5" t="str">
        <v>Permanent</v>
      </c>
      <c r="S183" s="5" t="str">
        <v>Auckland, New Zealand</v>
      </c>
    </row>
    <row r="184" spans="1:19" x14ac:dyDescent="0.3">
      <c r="A184" s="40" t="s">
        <v>550</v>
      </c>
      <c r="B184" s="8" t="s">
        <v>551</v>
      </c>
      <c r="C184" s="8" t="s">
        <v>47</v>
      </c>
      <c r="D184" s="8" t="s">
        <v>88</v>
      </c>
      <c r="E184" s="17">
        <v>90697.67</v>
      </c>
      <c r="F184" s="18">
        <v>44221</v>
      </c>
      <c r="G184" s="8">
        <v>0.8</v>
      </c>
      <c r="H184" s="8" t="s">
        <v>35</v>
      </c>
      <c r="I184" s="41" t="s">
        <v>136</v>
      </c>
      <c r="K184" s="1" t="str">
        <v>VT03988</v>
      </c>
      <c r="L184" s="1" t="str">
        <v>Venkat Kodi</v>
      </c>
      <c r="M184" s="1" t="str">
        <v>Female</v>
      </c>
      <c r="N184" s="1" t="str">
        <v>Support</v>
      </c>
      <c r="O184" s="1">
        <v>58935.92</v>
      </c>
      <c r="P184" s="72" t="str">
        <v>9-Sep-19</v>
      </c>
      <c r="Q184" s="1">
        <v>1</v>
      </c>
      <c r="R184" s="5" t="str">
        <v>Temporary</v>
      </c>
      <c r="S184" s="5" t="str">
        <v>Hyderabad, India</v>
      </c>
    </row>
    <row r="185" spans="1:19" x14ac:dyDescent="0.3">
      <c r="A185" s="40" t="s">
        <v>844</v>
      </c>
      <c r="B185" s="8" t="s">
        <v>845</v>
      </c>
      <c r="C185" s="8" t="s">
        <v>33</v>
      </c>
      <c r="D185" s="8" t="s">
        <v>92</v>
      </c>
      <c r="E185" s="17">
        <v>70755.5</v>
      </c>
      <c r="F185" s="18" t="s">
        <v>846</v>
      </c>
      <c r="G185" s="8">
        <v>0.8</v>
      </c>
      <c r="H185" s="8" t="s">
        <v>525</v>
      </c>
      <c r="I185" s="41" t="s">
        <v>102</v>
      </c>
      <c r="K185" s="1" t="str">
        <v>TN00227</v>
      </c>
      <c r="L185" s="1" t="str">
        <v>Raghuveer Yettugunna</v>
      </c>
      <c r="M185" s="1" t="str">
        <v>Female</v>
      </c>
      <c r="N185" s="1" t="str">
        <v>Support</v>
      </c>
      <c r="O185" s="1">
        <v>63555.73</v>
      </c>
      <c r="P185" s="72" t="str">
        <v>24-Nov-20</v>
      </c>
      <c r="Q185" s="1">
        <v>1</v>
      </c>
      <c r="R185" s="5" t="str">
        <v>Permanent</v>
      </c>
      <c r="S185" s="5" t="str">
        <v>Chennai, India</v>
      </c>
    </row>
    <row r="186" spans="1:19" x14ac:dyDescent="0.3">
      <c r="A186" s="40" t="s">
        <v>557</v>
      </c>
      <c r="B186" s="8" t="s">
        <v>558</v>
      </c>
      <c r="C186" s="8" t="s">
        <v>47</v>
      </c>
      <c r="D186" s="8" t="s">
        <v>57</v>
      </c>
      <c r="E186" s="17">
        <v>73360.38</v>
      </c>
      <c r="F186" s="18">
        <v>43972</v>
      </c>
      <c r="G186" s="8">
        <v>1</v>
      </c>
      <c r="H186" s="8" t="s">
        <v>525</v>
      </c>
      <c r="I186" s="41" t="s">
        <v>36</v>
      </c>
      <c r="K186" s="1" t="str">
        <v>TN03169</v>
      </c>
      <c r="L186" s="1" t="str">
        <v>Doe Clubley</v>
      </c>
      <c r="M186" s="1" t="str">
        <v>Female</v>
      </c>
      <c r="N186" s="1" t="str">
        <v>Product Management</v>
      </c>
      <c r="O186" s="1">
        <v>67818.14</v>
      </c>
      <c r="P186" s="72" t="str">
        <v>Nov 2, 2018</v>
      </c>
      <c r="Q186" s="1">
        <v>0.6</v>
      </c>
      <c r="R186" s="5" t="str">
        <v>Fixed Term</v>
      </c>
      <c r="S186" s="5" t="str">
        <v>Remote</v>
      </c>
    </row>
    <row r="187" spans="1:19" x14ac:dyDescent="0.3">
      <c r="A187" s="40" t="s">
        <v>749</v>
      </c>
      <c r="B187" s="8" t="s">
        <v>847</v>
      </c>
      <c r="C187" s="8" t="s">
        <v>33</v>
      </c>
      <c r="D187" s="8" t="s">
        <v>99</v>
      </c>
      <c r="E187" s="17">
        <v>76303.820000000007</v>
      </c>
      <c r="F187" s="18">
        <v>43458</v>
      </c>
      <c r="G187" s="8">
        <v>1</v>
      </c>
      <c r="H187" s="8" t="s">
        <v>504</v>
      </c>
      <c r="I187" s="41" t="s">
        <v>102</v>
      </c>
      <c r="K187" s="1" t="str">
        <v>SQ01395</v>
      </c>
      <c r="L187" s="1" t="str">
        <v>Dennison Crosswaite</v>
      </c>
      <c r="M187" s="1" t="str">
        <v>Male</v>
      </c>
      <c r="N187" s="1" t="str">
        <v>CLEANING</v>
      </c>
      <c r="O187" s="1">
        <v>90697.67</v>
      </c>
      <c r="P187" s="72">
        <v>44221</v>
      </c>
      <c r="Q187" s="1">
        <v>0.8</v>
      </c>
      <c r="R187" s="5" t="str">
        <v>Permanent</v>
      </c>
      <c r="S187" s="5" t="str">
        <v>Seattle, USA</v>
      </c>
    </row>
    <row r="188" spans="1:19" x14ac:dyDescent="0.3">
      <c r="A188" s="40" t="s">
        <v>550</v>
      </c>
      <c r="B188" s="8" t="s">
        <v>551</v>
      </c>
      <c r="C188" s="8" t="s">
        <v>47</v>
      </c>
      <c r="D188" s="8" t="s">
        <v>88</v>
      </c>
      <c r="E188" s="17">
        <v>90697.67</v>
      </c>
      <c r="F188" s="18">
        <v>44221</v>
      </c>
      <c r="G188" s="8">
        <v>0.8</v>
      </c>
      <c r="H188" s="8" t="s">
        <v>35</v>
      </c>
      <c r="I188" s="41" t="s">
        <v>136</v>
      </c>
      <c r="K188" s="1" t="str">
        <v>PR02208</v>
      </c>
      <c r="L188" s="1" t="str">
        <v>Gowri Sankar Chakrala</v>
      </c>
      <c r="M188" s="1" t="str">
        <v>Female</v>
      </c>
      <c r="N188" s="1" t="str">
        <v>Training</v>
      </c>
      <c r="O188" s="1">
        <v>102934.09</v>
      </c>
      <c r="P188" s="72" t="str">
        <v>29-Apr-21</v>
      </c>
      <c r="Q188" s="1">
        <v>1</v>
      </c>
      <c r="R188" s="5" t="str">
        <v>Permanent</v>
      </c>
      <c r="S188" s="5" t="str">
        <v>Hyderabad, India</v>
      </c>
    </row>
    <row r="189" spans="1:19" x14ac:dyDescent="0.3">
      <c r="A189" s="40" t="s">
        <v>849</v>
      </c>
      <c r="B189" s="8" t="s">
        <v>850</v>
      </c>
      <c r="C189" s="8" t="s">
        <v>33</v>
      </c>
      <c r="D189" s="8" t="s">
        <v>81</v>
      </c>
      <c r="E189" s="17">
        <v>58744.17</v>
      </c>
      <c r="F189" s="18" t="s">
        <v>524</v>
      </c>
      <c r="G189" s="8">
        <v>1</v>
      </c>
      <c r="H189" s="8" t="s">
        <v>525</v>
      </c>
      <c r="I189" s="41" t="s">
        <v>58</v>
      </c>
      <c r="K189" s="1" t="str">
        <v>PR03844</v>
      </c>
      <c r="L189" s="1" t="str">
        <v>Brose MacCorkell</v>
      </c>
      <c r="M189" s="1" t="str">
        <v>Female</v>
      </c>
      <c r="N189" s="1" t="str">
        <v>Human Resources</v>
      </c>
      <c r="O189" s="1">
        <v>35943.620000000003</v>
      </c>
      <c r="P189" s="72">
        <v>44078</v>
      </c>
      <c r="Q189" s="1">
        <v>1</v>
      </c>
      <c r="R189" s="5" t="str">
        <v>Permanent</v>
      </c>
      <c r="S189" s="5" t="str">
        <v>Columbus, USA</v>
      </c>
    </row>
    <row r="190" spans="1:19" x14ac:dyDescent="0.3">
      <c r="A190" s="40" t="s">
        <v>851</v>
      </c>
      <c r="B190" s="8" t="s">
        <v>852</v>
      </c>
      <c r="C190" s="8" t="s">
        <v>33</v>
      </c>
      <c r="D190" s="8" t="s">
        <v>85</v>
      </c>
      <c r="E190" s="17">
        <v>73488.679999999993</v>
      </c>
      <c r="F190" s="18" t="s">
        <v>853</v>
      </c>
      <c r="G190" s="8">
        <v>1</v>
      </c>
      <c r="H190" s="8" t="s">
        <v>504</v>
      </c>
      <c r="I190" s="41" t="s">
        <v>136</v>
      </c>
      <c r="K190" s="1" t="str">
        <v>VT04093</v>
      </c>
      <c r="L190" s="1" t="str">
        <v>Prasanna Lakshmi Payasam</v>
      </c>
      <c r="M190" s="1" t="str">
        <v>Female</v>
      </c>
      <c r="N190" s="1" t="str">
        <v>Training</v>
      </c>
      <c r="O190" s="1">
        <v>116767.63</v>
      </c>
      <c r="P190" s="72">
        <v>43949</v>
      </c>
      <c r="Q190" s="1">
        <v>0.4</v>
      </c>
      <c r="R190" s="5" t="str">
        <v>Temporary</v>
      </c>
      <c r="S190" s="5" t="str">
        <v>Chennai, India</v>
      </c>
    </row>
    <row r="191" spans="1:19" x14ac:dyDescent="0.3">
      <c r="A191" s="40" t="s">
        <v>854</v>
      </c>
      <c r="B191" s="8" t="s">
        <v>855</v>
      </c>
      <c r="C191" s="8" t="s">
        <v>33</v>
      </c>
      <c r="D191" s="8" t="s">
        <v>85</v>
      </c>
      <c r="E191" s="17">
        <v>92704.48</v>
      </c>
      <c r="F191" s="18" t="s">
        <v>856</v>
      </c>
      <c r="G191" s="8">
        <v>1</v>
      </c>
      <c r="H191" s="8" t="s">
        <v>504</v>
      </c>
      <c r="I191" s="41" t="s">
        <v>58</v>
      </c>
      <c r="K191" s="1" t="str">
        <v>SQ02246</v>
      </c>
      <c r="L191" s="1" t="str">
        <v xml:space="preserve">Matias Cormack </v>
      </c>
      <c r="M191" s="1" t="str">
        <v>Male</v>
      </c>
      <c r="N191" s="1" t="str">
        <v>Research and Development</v>
      </c>
      <c r="O191" s="1">
        <v>85455.53</v>
      </c>
      <c r="P191" s="72">
        <v>43839</v>
      </c>
      <c r="Q191" s="1">
        <v>1</v>
      </c>
      <c r="R191" s="5" t="str">
        <v>Permanent</v>
      </c>
      <c r="S191" s="5" t="str">
        <v>Wellington, New Zealand</v>
      </c>
    </row>
    <row r="192" spans="1:19" x14ac:dyDescent="0.3">
      <c r="A192" s="40" t="s">
        <v>857</v>
      </c>
      <c r="B192" s="8" t="s">
        <v>858</v>
      </c>
      <c r="C192" s="8" t="s">
        <v>47</v>
      </c>
      <c r="D192" s="8" t="s">
        <v>53</v>
      </c>
      <c r="E192" s="17">
        <v>78443.78</v>
      </c>
      <c r="F192" s="18" t="s">
        <v>859</v>
      </c>
      <c r="G192" s="8">
        <v>1</v>
      </c>
      <c r="H192" s="8" t="s">
        <v>504</v>
      </c>
      <c r="I192" s="41" t="s">
        <v>102</v>
      </c>
      <c r="K192" s="1" t="str">
        <v>TN03032</v>
      </c>
      <c r="L192" s="1" t="str">
        <v>Jaipal Potanapudi</v>
      </c>
      <c r="M192" s="1" t="str">
        <v>Female</v>
      </c>
      <c r="N192" s="1" t="str">
        <v>Research and Development</v>
      </c>
      <c r="O192" s="1">
        <v>39700.82</v>
      </c>
      <c r="P192" s="72">
        <v>44203</v>
      </c>
      <c r="Q192" s="1">
        <v>0.8</v>
      </c>
      <c r="R192" s="5" t="str">
        <v>Permanent</v>
      </c>
      <c r="S192" s="5" t="str">
        <v>Chennai, India</v>
      </c>
    </row>
    <row r="193" spans="1:19" x14ac:dyDescent="0.3">
      <c r="A193" s="40" t="s">
        <v>132</v>
      </c>
      <c r="B193" s="8" t="s">
        <v>133</v>
      </c>
      <c r="C193" s="8" t="s">
        <v>33</v>
      </c>
      <c r="D193" s="8" t="s">
        <v>53</v>
      </c>
      <c r="E193" s="17">
        <v>97105.19</v>
      </c>
      <c r="F193" s="18">
        <v>44425</v>
      </c>
      <c r="G193" s="8">
        <v>1</v>
      </c>
      <c r="H193" s="8" t="s">
        <v>35</v>
      </c>
      <c r="I193" s="41" t="s">
        <v>58</v>
      </c>
      <c r="K193" s="1" t="str">
        <v>SQ00914</v>
      </c>
      <c r="L193" s="1" t="str">
        <v>Duran Appala</v>
      </c>
      <c r="M193" s="1" t="str">
        <v>Female</v>
      </c>
      <c r="N193" s="1" t="str">
        <v>Product Management</v>
      </c>
      <c r="O193" s="1">
        <v>38438.239999999998</v>
      </c>
      <c r="P193" s="72" t="str">
        <v>May 11, 2020</v>
      </c>
      <c r="Q193" s="1">
        <v>1</v>
      </c>
      <c r="R193" s="5" t="str">
        <v>Permanent</v>
      </c>
      <c r="S193" s="5" t="str">
        <v>Chennai, India</v>
      </c>
    </row>
    <row r="194" spans="1:19" x14ac:dyDescent="0.3">
      <c r="A194" s="40" t="s">
        <v>860</v>
      </c>
      <c r="B194" s="8" t="s">
        <v>861</v>
      </c>
      <c r="C194" s="8" t="s">
        <v>33</v>
      </c>
      <c r="D194" s="8" t="s">
        <v>48</v>
      </c>
      <c r="E194" s="17">
        <v>109163.39</v>
      </c>
      <c r="F194" s="18">
        <v>44019</v>
      </c>
      <c r="G194" s="8">
        <v>0.8</v>
      </c>
      <c r="H194" s="8" t="s">
        <v>35</v>
      </c>
      <c r="I194" s="41" t="s">
        <v>136</v>
      </c>
      <c r="K194" s="1" t="str">
        <v>SQ02525</v>
      </c>
      <c r="L194" s="1" t="str">
        <v>Mickie Dagwell</v>
      </c>
      <c r="M194" s="1" t="str">
        <v>Male</v>
      </c>
      <c r="N194" s="1" t="str">
        <v>Engineering</v>
      </c>
      <c r="O194" s="1">
        <v>50855.53</v>
      </c>
      <c r="P194" s="72" t="str">
        <v>Jan 25, 2021</v>
      </c>
      <c r="Q194" s="1">
        <v>1</v>
      </c>
      <c r="R194" s="5" t="str">
        <v>Permanent</v>
      </c>
      <c r="S194" s="5" t="str">
        <v>Wellington, New Zealand</v>
      </c>
    </row>
    <row r="195" spans="1:19" x14ac:dyDescent="0.3">
      <c r="A195" s="40" t="s">
        <v>862</v>
      </c>
      <c r="B195" s="8" t="s">
        <v>863</v>
      </c>
      <c r="C195" s="8" t="s">
        <v>47</v>
      </c>
      <c r="D195" s="8" t="s">
        <v>92</v>
      </c>
      <c r="E195" s="17">
        <v>31816.57</v>
      </c>
      <c r="F195" s="18" t="s">
        <v>864</v>
      </c>
      <c r="G195" s="8">
        <v>0.3</v>
      </c>
      <c r="H195" s="8" t="s">
        <v>504</v>
      </c>
      <c r="I195" s="41" t="s">
        <v>36</v>
      </c>
      <c r="K195" s="1" t="str">
        <v>SQ01395</v>
      </c>
      <c r="L195" s="1" t="str">
        <v>Dennison Crosswaite</v>
      </c>
      <c r="M195" s="1" t="str">
        <v>Male</v>
      </c>
      <c r="N195" s="1" t="str">
        <v>CLEANING</v>
      </c>
      <c r="O195" s="1">
        <v>90697.67</v>
      </c>
      <c r="P195" s="72">
        <v>44221</v>
      </c>
      <c r="Q195" s="1">
        <v>0.8</v>
      </c>
      <c r="R195" s="5" t="str">
        <v>Permanent</v>
      </c>
      <c r="S195" s="5" t="str">
        <v>Seattle, USA</v>
      </c>
    </row>
    <row r="196" spans="1:19" x14ac:dyDescent="0.3">
      <c r="A196" s="40" t="s">
        <v>550</v>
      </c>
      <c r="B196" s="8" t="s">
        <v>551</v>
      </c>
      <c r="C196" s="8" t="s">
        <v>47</v>
      </c>
      <c r="D196" s="8" t="s">
        <v>88</v>
      </c>
      <c r="E196" s="17">
        <v>90697.67</v>
      </c>
      <c r="F196" s="18">
        <v>44221</v>
      </c>
      <c r="G196" s="8">
        <v>0.8</v>
      </c>
      <c r="H196" s="8" t="s">
        <v>35</v>
      </c>
      <c r="I196" s="41" t="s">
        <v>136</v>
      </c>
      <c r="K196" s="1" t="str">
        <v>PR02782</v>
      </c>
      <c r="L196" s="1" t="str">
        <v>Isaak Rawne</v>
      </c>
      <c r="M196" s="1" t="str">
        <v>Male</v>
      </c>
      <c r="N196" s="1" t="str">
        <v>Marketing</v>
      </c>
      <c r="O196" s="1">
        <v>37362.300000000003</v>
      </c>
      <c r="P196" s="72" t="str">
        <v>26-Jun-19</v>
      </c>
      <c r="Q196" s="1">
        <v>1</v>
      </c>
      <c r="R196" s="5" t="str">
        <v>Permanent</v>
      </c>
      <c r="S196" s="5" t="str">
        <v>Auckland, New Zealand</v>
      </c>
    </row>
    <row r="197" spans="1:19" x14ac:dyDescent="0.3">
      <c r="A197" s="40" t="s">
        <v>79</v>
      </c>
      <c r="B197" s="8" t="s">
        <v>80</v>
      </c>
      <c r="C197" s="8" t="s">
        <v>33</v>
      </c>
      <c r="D197" s="8" t="s">
        <v>81</v>
      </c>
      <c r="E197" s="17">
        <v>84745.93</v>
      </c>
      <c r="F197" s="18" t="s">
        <v>866</v>
      </c>
      <c r="G197" s="8">
        <v>1</v>
      </c>
      <c r="H197" s="8" t="s">
        <v>35</v>
      </c>
      <c r="I197" s="41" t="s">
        <v>82</v>
      </c>
      <c r="K197" s="1" t="str">
        <v>TN03331</v>
      </c>
      <c r="L197" s="1" t="str">
        <v>Crawford Scad</v>
      </c>
      <c r="M197" s="1" t="str">
        <v>Male</v>
      </c>
      <c r="N197" s="1" t="str">
        <v>Human Resources</v>
      </c>
      <c r="O197" s="1">
        <v>72876.91</v>
      </c>
      <c r="P197" s="72" t="str">
        <v>27-May-19</v>
      </c>
      <c r="Q197" s="1">
        <v>0.4</v>
      </c>
      <c r="R197" s="5" t="str">
        <v>Fixed Term</v>
      </c>
      <c r="S197" s="5" t="str">
        <v>Auckland, New Zealand</v>
      </c>
    </row>
    <row r="198" spans="1:19" x14ac:dyDescent="0.3">
      <c r="A198" s="40" t="s">
        <v>571</v>
      </c>
      <c r="B198" s="8" t="s">
        <v>572</v>
      </c>
      <c r="C198" s="8" t="s">
        <v>33</v>
      </c>
      <c r="D198" s="8" t="s">
        <v>99</v>
      </c>
      <c r="E198" s="17">
        <v>69163.39</v>
      </c>
      <c r="F198" s="18">
        <v>43397</v>
      </c>
      <c r="G198" s="8">
        <v>1</v>
      </c>
      <c r="H198" s="8" t="s">
        <v>35</v>
      </c>
      <c r="I198" s="41" t="s">
        <v>36</v>
      </c>
      <c r="K198" s="1" t="str">
        <v>VT01249</v>
      </c>
      <c r="L198" s="1" t="str">
        <v>Brendan  Edgeller</v>
      </c>
      <c r="M198" s="1" t="str">
        <v>Female</v>
      </c>
      <c r="N198" s="1" t="str">
        <v>CLEANING</v>
      </c>
      <c r="O198" s="1">
        <v>31042.51</v>
      </c>
      <c r="P198" s="72">
        <v>44473</v>
      </c>
      <c r="Q198" s="1">
        <v>0.3</v>
      </c>
      <c r="R198" s="5" t="str">
        <v>Fixed Term</v>
      </c>
      <c r="S198" s="5" t="str">
        <v>Remote</v>
      </c>
    </row>
    <row r="199" spans="1:19" x14ac:dyDescent="0.3">
      <c r="A199" s="40" t="s">
        <v>802</v>
      </c>
      <c r="B199" s="8" t="s">
        <v>803</v>
      </c>
      <c r="C199" s="8" t="s">
        <v>33</v>
      </c>
      <c r="D199" s="8" t="s">
        <v>42</v>
      </c>
      <c r="E199" s="17">
        <v>84598.88</v>
      </c>
      <c r="F199" s="18" t="s">
        <v>804</v>
      </c>
      <c r="G199" s="8">
        <v>1</v>
      </c>
      <c r="H199" s="8" t="s">
        <v>504</v>
      </c>
      <c r="I199" s="41" t="s">
        <v>136</v>
      </c>
      <c r="K199" s="1" t="str">
        <v>VT02260</v>
      </c>
      <c r="L199" s="1" t="str">
        <v>Rhiamon Mollison</v>
      </c>
      <c r="M199" s="1" t="str">
        <v>Female</v>
      </c>
      <c r="N199" s="1" t="str">
        <v>Research and Development</v>
      </c>
      <c r="O199" s="1">
        <v>59434.18</v>
      </c>
      <c r="P199" s="72" t="str">
        <v>10-Apr-20</v>
      </c>
      <c r="Q199" s="1">
        <v>1</v>
      </c>
      <c r="R199" s="5" t="str">
        <v>Temporary</v>
      </c>
      <c r="S199" s="5" t="str">
        <v>Seattle, USA</v>
      </c>
    </row>
    <row r="200" spans="1:19" x14ac:dyDescent="0.3">
      <c r="A200" s="40" t="s">
        <v>867</v>
      </c>
      <c r="B200" s="8" t="s">
        <v>868</v>
      </c>
      <c r="C200" s="8" t="s">
        <v>33</v>
      </c>
      <c r="D200" s="8" t="s">
        <v>141</v>
      </c>
      <c r="E200" s="17">
        <v>68795.48</v>
      </c>
      <c r="F200" s="18">
        <v>44277</v>
      </c>
      <c r="G200" s="8">
        <v>0.2</v>
      </c>
      <c r="H200" s="8" t="s">
        <v>35</v>
      </c>
      <c r="I200" s="41" t="s">
        <v>36</v>
      </c>
      <c r="K200" s="1" t="str">
        <v>TN04428</v>
      </c>
      <c r="L200" s="1" t="str">
        <v>Tadio Audritt</v>
      </c>
      <c r="M200" s="1">
        <v>0</v>
      </c>
      <c r="N200" s="1" t="str">
        <v>Human Resources</v>
      </c>
      <c r="O200" s="1">
        <v>99448.78</v>
      </c>
      <c r="P200" s="72" t="str">
        <v>8-Jan-19</v>
      </c>
      <c r="Q200" s="1">
        <v>1</v>
      </c>
      <c r="R200" s="5" t="str">
        <v>Fixed Term</v>
      </c>
      <c r="S200" s="5" t="str">
        <v>Wellington, New Zealand</v>
      </c>
    </row>
    <row r="201" spans="1:19" x14ac:dyDescent="0.3">
      <c r="A201" s="40" t="s">
        <v>869</v>
      </c>
      <c r="B201" s="8" t="s">
        <v>870</v>
      </c>
      <c r="C201" s="8" t="s">
        <v>33</v>
      </c>
      <c r="D201" s="8" t="s">
        <v>48</v>
      </c>
      <c r="E201" s="17">
        <v>32269.91</v>
      </c>
      <c r="F201" s="18" t="s">
        <v>810</v>
      </c>
      <c r="G201" s="8">
        <v>1</v>
      </c>
      <c r="H201" s="8" t="s">
        <v>35</v>
      </c>
      <c r="I201" s="41" t="s">
        <v>36</v>
      </c>
      <c r="K201" s="1" t="str">
        <v>SQ03350</v>
      </c>
      <c r="L201" s="1" t="str">
        <v>Felice McMurty</v>
      </c>
      <c r="M201" s="1" t="str">
        <v>Female</v>
      </c>
      <c r="N201" s="1" t="str">
        <v>Product Management</v>
      </c>
      <c r="O201" s="1">
        <v>66865.490000000005</v>
      </c>
      <c r="P201" s="72" t="str">
        <v>18-Feb-19</v>
      </c>
      <c r="Q201" s="1">
        <v>1</v>
      </c>
      <c r="R201" s="5" t="str">
        <v>Permanent</v>
      </c>
      <c r="S201" s="5" t="str">
        <v>Seattle, USA</v>
      </c>
    </row>
    <row r="202" spans="1:19" x14ac:dyDescent="0.3">
      <c r="A202" s="40" t="s">
        <v>871</v>
      </c>
      <c r="B202" s="8" t="s">
        <v>872</v>
      </c>
      <c r="C202" s="8" t="s">
        <v>47</v>
      </c>
      <c r="D202" s="8" t="s">
        <v>76</v>
      </c>
      <c r="E202" s="17">
        <v>78705.929999999993</v>
      </c>
      <c r="F202" s="18" t="s">
        <v>873</v>
      </c>
      <c r="G202" s="8">
        <v>1</v>
      </c>
      <c r="H202" s="8" t="s">
        <v>504</v>
      </c>
      <c r="I202" s="41" t="s">
        <v>136</v>
      </c>
      <c r="K202" s="1" t="str">
        <v>VT03421</v>
      </c>
      <c r="L202" s="1" t="str">
        <v>Alic Bagg</v>
      </c>
      <c r="M202" s="1" t="str">
        <v>Male</v>
      </c>
      <c r="N202" s="1" t="str">
        <v>CLEANING</v>
      </c>
      <c r="O202" s="1">
        <v>113747.56</v>
      </c>
      <c r="P202" s="72" t="str">
        <v>15-Mar-21</v>
      </c>
      <c r="Q202" s="1">
        <v>0.7</v>
      </c>
      <c r="R202" s="5" t="str">
        <v>Temporary</v>
      </c>
      <c r="S202" s="5" t="str">
        <v>Columbus, USA</v>
      </c>
    </row>
    <row r="203" spans="1:19" x14ac:dyDescent="0.3">
      <c r="A203" s="40" t="s">
        <v>874</v>
      </c>
      <c r="B203" s="8" t="s">
        <v>875</v>
      </c>
      <c r="C203" s="8" t="s">
        <v>47</v>
      </c>
      <c r="D203" s="8" t="s">
        <v>92</v>
      </c>
      <c r="E203" s="17">
        <v>53535.62</v>
      </c>
      <c r="F203" s="18" t="s">
        <v>876</v>
      </c>
      <c r="G203" s="8">
        <v>0.5</v>
      </c>
      <c r="H203" s="8" t="s">
        <v>504</v>
      </c>
      <c r="I203" s="41" t="s">
        <v>136</v>
      </c>
      <c r="K203" s="1" t="str">
        <v>PR01346</v>
      </c>
      <c r="L203" s="1" t="str">
        <v>Adolph McNalley</v>
      </c>
      <c r="M203" s="1" t="str">
        <v>Male</v>
      </c>
      <c r="N203" s="1" t="str">
        <v>Business Development</v>
      </c>
      <c r="O203" s="1">
        <v>85918.61</v>
      </c>
      <c r="P203" s="72" t="str">
        <v>5-Feb-18</v>
      </c>
      <c r="Q203" s="1">
        <v>1</v>
      </c>
      <c r="R203" s="5" t="str">
        <v>Permanent</v>
      </c>
      <c r="S203" s="5" t="str">
        <v>Columbus, USA</v>
      </c>
    </row>
    <row r="204" spans="1:19" x14ac:dyDescent="0.3">
      <c r="A204" s="40" t="s">
        <v>175</v>
      </c>
      <c r="B204" s="8" t="s">
        <v>176</v>
      </c>
      <c r="C204" s="8" t="s">
        <v>33</v>
      </c>
      <c r="D204" s="8" t="s">
        <v>42</v>
      </c>
      <c r="E204" s="17">
        <v>41934.71</v>
      </c>
      <c r="F204" s="18">
        <v>43780</v>
      </c>
      <c r="G204" s="8">
        <v>1</v>
      </c>
      <c r="H204" s="8" t="s">
        <v>35</v>
      </c>
      <c r="I204" s="41" t="s">
        <v>36</v>
      </c>
      <c r="K204" s="1" t="str">
        <v>SQ01395</v>
      </c>
      <c r="L204" s="1" t="str">
        <v>Dennison Crosswaite</v>
      </c>
      <c r="M204" s="1" t="str">
        <v>Male</v>
      </c>
      <c r="N204" s="1" t="str">
        <v>CLEANING</v>
      </c>
      <c r="O204" s="1">
        <v>90697.67</v>
      </c>
      <c r="P204" s="72">
        <v>44221</v>
      </c>
      <c r="Q204" s="1">
        <v>0.8</v>
      </c>
      <c r="R204" s="5" t="str">
        <v>Permanent</v>
      </c>
      <c r="S204" s="5" t="str">
        <v>Seattle, USA</v>
      </c>
    </row>
    <row r="205" spans="1:19" x14ac:dyDescent="0.3">
      <c r="A205" s="40" t="s">
        <v>877</v>
      </c>
      <c r="B205" s="8" t="s">
        <v>878</v>
      </c>
      <c r="C205" s="8" t="s">
        <v>33</v>
      </c>
      <c r="D205" s="8" t="s">
        <v>141</v>
      </c>
      <c r="E205" s="17">
        <v>91929.69</v>
      </c>
      <c r="F205" s="18">
        <v>44085</v>
      </c>
      <c r="G205" s="8">
        <v>1</v>
      </c>
      <c r="H205" s="8" t="s">
        <v>504</v>
      </c>
      <c r="I205" s="41" t="s">
        <v>36</v>
      </c>
      <c r="K205" s="1" t="str">
        <v>PR00210</v>
      </c>
      <c r="L205" s="1" t="str">
        <v>Marquita Liquorish</v>
      </c>
      <c r="M205" s="1" t="str">
        <v>Female</v>
      </c>
      <c r="N205" s="1" t="str">
        <v>CLEANING</v>
      </c>
      <c r="O205" s="1">
        <v>0</v>
      </c>
      <c r="P205" s="72">
        <v>44011</v>
      </c>
      <c r="Q205" s="1">
        <v>1</v>
      </c>
      <c r="R205" s="5" t="str">
        <v>Permanent</v>
      </c>
      <c r="S205" s="5" t="str">
        <v>Wellington, New Zealand</v>
      </c>
    </row>
    <row r="206" spans="1:19" x14ac:dyDescent="0.3">
      <c r="A206" s="40" t="s">
        <v>93</v>
      </c>
      <c r="B206" s="8" t="s">
        <v>94</v>
      </c>
      <c r="C206" s="8" t="s">
        <v>47</v>
      </c>
      <c r="D206" s="8" t="s">
        <v>76</v>
      </c>
      <c r="E206" s="17">
        <v>62281.24</v>
      </c>
      <c r="F206" s="18">
        <v>43272</v>
      </c>
      <c r="G206" s="8">
        <v>1</v>
      </c>
      <c r="H206" s="8" t="s">
        <v>35</v>
      </c>
      <c r="I206" s="41" t="s">
        <v>36</v>
      </c>
      <c r="K206" s="1" t="str">
        <v>PR03980</v>
      </c>
      <c r="L206" s="1" t="str">
        <v xml:space="preserve"> Kath Bletsoe</v>
      </c>
      <c r="M206" s="1" t="str">
        <v>Male</v>
      </c>
      <c r="N206" s="1" t="str">
        <v>Marketing</v>
      </c>
      <c r="O206" s="1">
        <v>65699.02</v>
      </c>
      <c r="P206" s="72" t="str">
        <v>30-Apr-20</v>
      </c>
      <c r="Q206" s="1">
        <v>1</v>
      </c>
      <c r="R206" s="5" t="str">
        <v>Permanent</v>
      </c>
      <c r="S206" s="5" t="str">
        <v>Columbus, USA</v>
      </c>
    </row>
    <row r="207" spans="1:19" x14ac:dyDescent="0.3">
      <c r="A207" s="40" t="s">
        <v>879</v>
      </c>
      <c r="B207" s="8" t="s">
        <v>880</v>
      </c>
      <c r="C207" s="8" t="s">
        <v>47</v>
      </c>
      <c r="D207" s="8" t="s">
        <v>99</v>
      </c>
      <c r="E207" s="17">
        <v>57925.91</v>
      </c>
      <c r="F207" s="18" t="s">
        <v>881</v>
      </c>
      <c r="G207" s="8">
        <v>0.5</v>
      </c>
      <c r="H207" s="8" t="s">
        <v>35</v>
      </c>
      <c r="I207" s="41" t="s">
        <v>82</v>
      </c>
      <c r="K207" s="1" t="str">
        <v>VT03993</v>
      </c>
      <c r="L207" s="1" t="str">
        <v>Dulce Colbeck</v>
      </c>
      <c r="M207" s="1" t="str">
        <v>Male</v>
      </c>
      <c r="N207" s="1" t="str">
        <v>Human Resources</v>
      </c>
      <c r="O207" s="1">
        <v>83396.5</v>
      </c>
      <c r="P207" s="72" t="str">
        <v>30-Mar-21</v>
      </c>
      <c r="Q207" s="1">
        <v>1</v>
      </c>
      <c r="R207" s="5" t="str">
        <v>Temporary</v>
      </c>
      <c r="S207" s="5" t="str">
        <v>Auckland, New Zealand</v>
      </c>
    </row>
    <row r="208" spans="1:19" x14ac:dyDescent="0.3">
      <c r="A208" s="40" t="s">
        <v>882</v>
      </c>
      <c r="B208" s="8" t="s">
        <v>883</v>
      </c>
      <c r="C208" s="8" t="s">
        <v>47</v>
      </c>
      <c r="D208" s="8" t="s">
        <v>53</v>
      </c>
      <c r="E208" s="17">
        <v>82239.53</v>
      </c>
      <c r="F208" s="18">
        <v>43846</v>
      </c>
      <c r="G208" s="8">
        <v>1</v>
      </c>
      <c r="H208" s="8" t="s">
        <v>525</v>
      </c>
      <c r="I208" s="41" t="s">
        <v>58</v>
      </c>
      <c r="K208" s="1" t="str">
        <v>VT02663</v>
      </c>
      <c r="L208" s="1" t="str">
        <v>Sravanthi Chalaki</v>
      </c>
      <c r="M208" s="1" t="str">
        <v>Male</v>
      </c>
      <c r="N208" s="1" t="str">
        <v>CLEANING</v>
      </c>
      <c r="O208" s="1">
        <v>28481.16</v>
      </c>
      <c r="P208" s="72" t="str">
        <v>1-Feb-21</v>
      </c>
      <c r="Q208" s="1">
        <v>1</v>
      </c>
      <c r="R208" s="5" t="str">
        <v>Temporary</v>
      </c>
      <c r="S208" s="5" t="str">
        <v>Chennai, India</v>
      </c>
    </row>
    <row r="209" spans="1:19" x14ac:dyDescent="0.3">
      <c r="A209" s="40" t="s">
        <v>884</v>
      </c>
      <c r="B209" s="8" t="s">
        <v>885</v>
      </c>
      <c r="C209" s="8" t="s">
        <v>47</v>
      </c>
      <c r="D209" s="8" t="s">
        <v>53</v>
      </c>
      <c r="E209" s="17">
        <v>53184.02</v>
      </c>
      <c r="F209" s="18" t="s">
        <v>886</v>
      </c>
      <c r="G209" s="8">
        <v>1</v>
      </c>
      <c r="H209" s="8" t="s">
        <v>504</v>
      </c>
      <c r="I209" s="41" t="s">
        <v>36</v>
      </c>
      <c r="K209" s="1" t="str">
        <v>PR03034</v>
      </c>
      <c r="L209" s="1" t="str">
        <v>Sreenivasa Naik Gudiwada</v>
      </c>
      <c r="M209" s="1" t="str">
        <v>Male</v>
      </c>
      <c r="N209" s="1" t="str">
        <v>Sales</v>
      </c>
      <c r="O209" s="1">
        <v>32192.15</v>
      </c>
      <c r="P209" s="72" t="str">
        <v>4-Oct-21</v>
      </c>
      <c r="Q209" s="1">
        <v>1</v>
      </c>
      <c r="R209" s="5" t="str">
        <v>Permanent</v>
      </c>
      <c r="S209" s="5" t="str">
        <v>Hyderabad, India</v>
      </c>
    </row>
    <row r="210" spans="1:19" x14ac:dyDescent="0.3">
      <c r="A210" s="40" t="s">
        <v>114</v>
      </c>
      <c r="B210" s="8" t="s">
        <v>115</v>
      </c>
      <c r="C210" s="8" t="s">
        <v>47</v>
      </c>
      <c r="D210" s="8" t="s">
        <v>99</v>
      </c>
      <c r="E210" s="17">
        <v>35936.31</v>
      </c>
      <c r="F210" s="18">
        <v>43241</v>
      </c>
      <c r="G210" s="8">
        <v>1</v>
      </c>
      <c r="H210" s="8" t="s">
        <v>35</v>
      </c>
      <c r="I210" s="41" t="s">
        <v>49</v>
      </c>
      <c r="K210" s="1" t="str">
        <v>SQ01395</v>
      </c>
      <c r="L210" s="1" t="str">
        <v>Dennison Crosswaite</v>
      </c>
      <c r="M210" s="1" t="str">
        <v>Male</v>
      </c>
      <c r="N210" s="1" t="str">
        <v>CLEANING</v>
      </c>
      <c r="O210" s="1">
        <v>90697.67</v>
      </c>
      <c r="P210" s="72">
        <v>44221</v>
      </c>
      <c r="Q210" s="1">
        <v>0.8</v>
      </c>
      <c r="R210" s="5" t="str">
        <v>Permanent</v>
      </c>
      <c r="S210" s="5" t="str">
        <v>Seattle, USA</v>
      </c>
    </row>
    <row r="211" spans="1:19" x14ac:dyDescent="0.3">
      <c r="A211" s="40" t="s">
        <v>887</v>
      </c>
      <c r="B211" s="8" t="s">
        <v>888</v>
      </c>
      <c r="C211" s="8" t="s">
        <v>33</v>
      </c>
      <c r="D211" s="8" t="s">
        <v>48</v>
      </c>
      <c r="E211" s="17">
        <v>28305.08</v>
      </c>
      <c r="F211" s="18">
        <v>43754</v>
      </c>
      <c r="G211" s="8">
        <v>1</v>
      </c>
      <c r="H211" s="8" t="s">
        <v>35</v>
      </c>
      <c r="I211" s="41" t="s">
        <v>36</v>
      </c>
      <c r="K211" s="1" t="str">
        <v>SQ03476</v>
      </c>
      <c r="L211" s="1" t="str">
        <v>Ramalingam Kothapeta</v>
      </c>
      <c r="M211" s="1">
        <v>0</v>
      </c>
      <c r="N211" s="1" t="str">
        <v>Accounting</v>
      </c>
      <c r="O211" s="1">
        <v>107107.6</v>
      </c>
      <c r="P211" s="72" t="str">
        <v>13-Aug-18</v>
      </c>
      <c r="Q211" s="1">
        <v>0.9</v>
      </c>
      <c r="R211" s="5" t="str">
        <v>Permanent</v>
      </c>
      <c r="S211" s="5" t="str">
        <v>Chennai, India</v>
      </c>
    </row>
    <row r="212" spans="1:19" x14ac:dyDescent="0.3">
      <c r="A212" s="40" t="s">
        <v>118</v>
      </c>
      <c r="B212" s="8" t="s">
        <v>119</v>
      </c>
      <c r="C212" s="8" t="s">
        <v>47</v>
      </c>
      <c r="D212" s="8" t="s">
        <v>88</v>
      </c>
      <c r="E212" s="17">
        <v>29774.76</v>
      </c>
      <c r="F212" s="18" t="s">
        <v>889</v>
      </c>
      <c r="G212" s="8">
        <v>1</v>
      </c>
      <c r="H212" s="8" t="s">
        <v>35</v>
      </c>
      <c r="I212" s="41" t="s">
        <v>82</v>
      </c>
      <c r="K212" s="1" t="str">
        <v>PR04380</v>
      </c>
      <c r="L212" s="1" t="str">
        <v>Van Tuxwell</v>
      </c>
      <c r="M212" s="1" t="str">
        <v>Female</v>
      </c>
      <c r="N212" s="1" t="str">
        <v>Business Development</v>
      </c>
      <c r="O212" s="1">
        <v>80695.740000000005</v>
      </c>
      <c r="P212" s="72" t="str">
        <v>18-Nov-19</v>
      </c>
      <c r="Q212" s="1">
        <v>0.8</v>
      </c>
      <c r="R212" s="5" t="str">
        <v>Permanent</v>
      </c>
      <c r="S212" s="5" t="str">
        <v>Columbus, USA</v>
      </c>
    </row>
    <row r="213" spans="1:19" x14ac:dyDescent="0.3">
      <c r="A213" s="40" t="s">
        <v>890</v>
      </c>
      <c r="B213" s="8" t="s">
        <v>891</v>
      </c>
      <c r="C213" s="8" t="s">
        <v>47</v>
      </c>
      <c r="D213" s="8" t="s">
        <v>99</v>
      </c>
      <c r="E213" s="17">
        <v>102515.81</v>
      </c>
      <c r="F213" s="18">
        <v>43902</v>
      </c>
      <c r="G213" s="8">
        <v>1</v>
      </c>
      <c r="H213" s="8" t="s">
        <v>504</v>
      </c>
      <c r="I213" s="41" t="s">
        <v>49</v>
      </c>
      <c r="K213" s="1" t="str">
        <v>TN00182</v>
      </c>
      <c r="L213" s="1" t="str">
        <v>Camilla Castle</v>
      </c>
      <c r="M213" s="1" t="str">
        <v>Female</v>
      </c>
      <c r="N213" s="1" t="str">
        <v>Product Management</v>
      </c>
      <c r="O213" s="1">
        <v>75475.929999999993</v>
      </c>
      <c r="P213" s="72" t="str">
        <v>Nov 25, 2019</v>
      </c>
      <c r="Q213" s="1">
        <v>1</v>
      </c>
      <c r="R213" s="5" t="str">
        <v>Permanent</v>
      </c>
      <c r="S213" s="5" t="str">
        <v>Remote</v>
      </c>
    </row>
    <row r="214" spans="1:19" x14ac:dyDescent="0.3">
      <c r="A214" s="40" t="s">
        <v>631</v>
      </c>
      <c r="B214" s="8" t="s">
        <v>632</v>
      </c>
      <c r="C214" s="8"/>
      <c r="D214" s="8" t="s">
        <v>85</v>
      </c>
      <c r="E214" s="17">
        <v>99448.78</v>
      </c>
      <c r="F214" s="18" t="s">
        <v>633</v>
      </c>
      <c r="G214" s="8">
        <v>1</v>
      </c>
      <c r="H214" s="8" t="s">
        <v>504</v>
      </c>
      <c r="I214" s="41" t="s">
        <v>82</v>
      </c>
      <c r="K214" s="1" t="str">
        <v>VT01523</v>
      </c>
      <c r="L214" s="1" t="str">
        <v>Charmane Heistermann</v>
      </c>
      <c r="M214" s="1" t="str">
        <v>Female</v>
      </c>
      <c r="N214" s="1" t="str">
        <v>Business Development</v>
      </c>
      <c r="O214" s="1">
        <v>86558.58</v>
      </c>
      <c r="P214" s="72" t="str">
        <v>26-Feb-20</v>
      </c>
      <c r="Q214" s="1">
        <v>1</v>
      </c>
      <c r="R214" s="5" t="str">
        <v>Fixed Term</v>
      </c>
      <c r="S214" s="5" t="str">
        <v>Remote</v>
      </c>
    </row>
    <row r="215" spans="1:19" x14ac:dyDescent="0.3">
      <c r="A215" s="40" t="s">
        <v>867</v>
      </c>
      <c r="B215" s="8" t="s">
        <v>868</v>
      </c>
      <c r="C215" s="8" t="s">
        <v>33</v>
      </c>
      <c r="D215" s="8" t="s">
        <v>141</v>
      </c>
      <c r="E215" s="17">
        <v>68795.48</v>
      </c>
      <c r="F215" s="18">
        <v>44277</v>
      </c>
      <c r="G215" s="8">
        <v>0.2</v>
      </c>
      <c r="H215" s="8" t="s">
        <v>35</v>
      </c>
      <c r="I215" s="41" t="s">
        <v>36</v>
      </c>
      <c r="K215" s="1" t="str">
        <v>PR00916</v>
      </c>
      <c r="L215" s="1" t="str">
        <v>Inger Chapelhow</v>
      </c>
      <c r="M215" s="1" t="str">
        <v>Female</v>
      </c>
      <c r="N215" s="1" t="str">
        <v>Research and Development</v>
      </c>
      <c r="O215" s="1">
        <v>84309.95</v>
      </c>
      <c r="P215" s="72">
        <v>44501</v>
      </c>
      <c r="Q215" s="1">
        <v>1</v>
      </c>
      <c r="R215" s="5" t="str">
        <v>Permanent</v>
      </c>
      <c r="S215" s="5" t="str">
        <v>Remote</v>
      </c>
    </row>
    <row r="216" spans="1:19" x14ac:dyDescent="0.3">
      <c r="A216" s="40" t="s">
        <v>676</v>
      </c>
      <c r="B216" s="8" t="s">
        <v>677</v>
      </c>
      <c r="C216" s="8" t="s">
        <v>33</v>
      </c>
      <c r="D216" s="8" t="s">
        <v>76</v>
      </c>
      <c r="E216" s="17">
        <v>99683.67</v>
      </c>
      <c r="F216" s="18" t="s">
        <v>678</v>
      </c>
      <c r="G216" s="8">
        <v>1</v>
      </c>
      <c r="H216" s="8" t="s">
        <v>504</v>
      </c>
      <c r="I216" s="41" t="s">
        <v>136</v>
      </c>
      <c r="K216" s="1" t="str">
        <v>PR01211</v>
      </c>
      <c r="L216" s="1" t="str">
        <v>Enoch Dowrey</v>
      </c>
      <c r="M216" s="1" t="str">
        <v>Male</v>
      </c>
      <c r="N216" s="1" t="str">
        <v>Accounting</v>
      </c>
      <c r="O216" s="1">
        <v>91645.04</v>
      </c>
      <c r="P216" s="72">
        <v>44223</v>
      </c>
      <c r="Q216" s="1">
        <v>1</v>
      </c>
      <c r="R216" s="5" t="str">
        <v>Permanent</v>
      </c>
      <c r="S216" s="5" t="str">
        <v>Auckland, New Zealand</v>
      </c>
    </row>
    <row r="217" spans="1:19" x14ac:dyDescent="0.3">
      <c r="A217" s="40" t="s">
        <v>892</v>
      </c>
      <c r="B217" s="8" t="s">
        <v>893</v>
      </c>
      <c r="C217" s="8" t="s">
        <v>47</v>
      </c>
      <c r="D217" s="8" t="s">
        <v>99</v>
      </c>
      <c r="E217" s="17">
        <v>38825.18</v>
      </c>
      <c r="F217" s="18">
        <v>43696</v>
      </c>
      <c r="G217" s="8">
        <v>1</v>
      </c>
      <c r="H217" s="8" t="s">
        <v>525</v>
      </c>
      <c r="I217" s="41" t="s">
        <v>36</v>
      </c>
      <c r="K217" s="1" t="str">
        <v>TN01876</v>
      </c>
      <c r="L217" s="1" t="str">
        <v>Aileen McCritchie</v>
      </c>
      <c r="M217" s="1" t="str">
        <v>Male</v>
      </c>
      <c r="N217" s="1" t="str">
        <v>Business Development</v>
      </c>
      <c r="O217" s="1">
        <v>80169.42</v>
      </c>
      <c r="P217" s="72" t="str">
        <v>10-Aug-20</v>
      </c>
      <c r="Q217" s="1">
        <v>1</v>
      </c>
      <c r="R217" s="5" t="str">
        <v>Permanent</v>
      </c>
      <c r="S217" s="5" t="str">
        <v>Auckland, New Zealand</v>
      </c>
    </row>
    <row r="218" spans="1:19" x14ac:dyDescent="0.3">
      <c r="A218" s="40" t="s">
        <v>894</v>
      </c>
      <c r="B218" s="8" t="s">
        <v>895</v>
      </c>
      <c r="C218" s="8" t="s">
        <v>33</v>
      </c>
      <c r="D218" s="8" t="s">
        <v>48</v>
      </c>
      <c r="E218" s="17">
        <v>71229.42</v>
      </c>
      <c r="F218" s="18">
        <v>44166</v>
      </c>
      <c r="G218" s="8">
        <v>1</v>
      </c>
      <c r="H218" s="8" t="s">
        <v>35</v>
      </c>
      <c r="I218" s="41" t="s">
        <v>102</v>
      </c>
      <c r="K218" s="1" t="str">
        <v>TN03575</v>
      </c>
      <c r="L218" s="1" t="str">
        <v>Janina Wolverson</v>
      </c>
      <c r="M218" s="1" t="str">
        <v>Female</v>
      </c>
      <c r="N218" s="1" t="str">
        <v>Research and Development</v>
      </c>
      <c r="O218" s="1">
        <v>99683.67</v>
      </c>
      <c r="P218" s="72" t="str">
        <v>4-Feb-19</v>
      </c>
      <c r="Q218" s="1">
        <v>1</v>
      </c>
      <c r="R218" s="5" t="str">
        <v>Fixed Term</v>
      </c>
      <c r="S218" s="5" t="str">
        <v>Seattle, USA</v>
      </c>
    </row>
    <row r="219" spans="1:19" x14ac:dyDescent="0.3">
      <c r="A219" s="40" t="s">
        <v>55</v>
      </c>
      <c r="B219" s="8" t="s">
        <v>56</v>
      </c>
      <c r="C219" s="8" t="s">
        <v>33</v>
      </c>
      <c r="D219" s="8" t="s">
        <v>57</v>
      </c>
      <c r="E219" s="17">
        <v>80695.740000000005</v>
      </c>
      <c r="F219" s="18">
        <v>43360</v>
      </c>
      <c r="G219" s="8">
        <v>1</v>
      </c>
      <c r="H219" s="8" t="s">
        <v>35</v>
      </c>
      <c r="I219" s="41" t="s">
        <v>58</v>
      </c>
      <c r="K219" s="1" t="str">
        <v>VT04984</v>
      </c>
      <c r="L219" s="1" t="str">
        <v>Dell Molloy</v>
      </c>
      <c r="M219" s="1" t="str">
        <v>Male</v>
      </c>
      <c r="N219" s="1" t="str">
        <v>Engineering</v>
      </c>
      <c r="O219" s="1">
        <v>47362.62</v>
      </c>
      <c r="P219" s="72" t="str">
        <v>22-May-20</v>
      </c>
      <c r="Q219" s="1">
        <v>1</v>
      </c>
      <c r="R219" s="5" t="str">
        <v>Temporary</v>
      </c>
      <c r="S219" s="5" t="str">
        <v>Remote</v>
      </c>
    </row>
    <row r="220" spans="1:19" x14ac:dyDescent="0.3">
      <c r="A220" s="40" t="s">
        <v>155</v>
      </c>
      <c r="B220" s="8" t="s">
        <v>156</v>
      </c>
      <c r="C220" s="8" t="s">
        <v>33</v>
      </c>
      <c r="D220" s="8" t="s">
        <v>141</v>
      </c>
      <c r="E220" s="17">
        <v>72502.61</v>
      </c>
      <c r="F220" s="18">
        <v>44235</v>
      </c>
      <c r="G220" s="8">
        <v>1</v>
      </c>
      <c r="H220" s="8" t="s">
        <v>35</v>
      </c>
      <c r="I220" s="41" t="s">
        <v>82</v>
      </c>
      <c r="K220" s="1" t="str">
        <v>PR00095</v>
      </c>
      <c r="L220" s="1" t="str">
        <v>Devrat Damarsingh</v>
      </c>
      <c r="M220" s="1" t="str">
        <v>Female</v>
      </c>
      <c r="N220" s="1" t="str">
        <v>Business Development</v>
      </c>
      <c r="O220" s="1">
        <v>70649.460000000006</v>
      </c>
      <c r="P220" s="72" t="str">
        <v>13-Jan-20</v>
      </c>
      <c r="Q220" s="1">
        <v>1</v>
      </c>
      <c r="R220" s="5" t="str">
        <v>Permanent</v>
      </c>
      <c r="S220" s="5" t="str">
        <v>Hyderabad, India</v>
      </c>
    </row>
    <row r="221" spans="1:19" x14ac:dyDescent="0.3">
      <c r="A221" s="40" t="s">
        <v>896</v>
      </c>
      <c r="B221" s="8" t="s">
        <v>897</v>
      </c>
      <c r="C221" s="8" t="s">
        <v>33</v>
      </c>
      <c r="D221" s="8" t="s">
        <v>141</v>
      </c>
      <c r="E221" s="17">
        <v>68197.899999999994</v>
      </c>
      <c r="F221" s="18">
        <v>44119</v>
      </c>
      <c r="G221" s="8">
        <v>1</v>
      </c>
      <c r="H221" s="8" t="s">
        <v>35</v>
      </c>
      <c r="I221" s="41" t="s">
        <v>71</v>
      </c>
      <c r="K221" s="1" t="str">
        <v>SQ03546</v>
      </c>
      <c r="L221" s="1" t="str">
        <v>Amlankusum Rajabhushan</v>
      </c>
      <c r="M221" s="1" t="str">
        <v>Female</v>
      </c>
      <c r="N221" s="1" t="str">
        <v>CLEANING</v>
      </c>
      <c r="O221" s="1">
        <v>75733.740000000005</v>
      </c>
      <c r="P221" s="72" t="str">
        <v>Jul 5, 2021</v>
      </c>
      <c r="Q221" s="1">
        <v>1</v>
      </c>
      <c r="R221" s="5" t="str">
        <v>Permanent</v>
      </c>
      <c r="S221" s="5" t="str">
        <v>Hyderabad, India</v>
      </c>
    </row>
    <row r="222" spans="1:19" x14ac:dyDescent="0.3">
      <c r="A222" s="40" t="s">
        <v>898</v>
      </c>
      <c r="B222" s="8" t="s">
        <v>899</v>
      </c>
      <c r="C222" s="8" t="s">
        <v>33</v>
      </c>
      <c r="D222" s="8" t="s">
        <v>99</v>
      </c>
      <c r="E222" s="17"/>
      <c r="F222" s="18" t="s">
        <v>900</v>
      </c>
      <c r="G222" s="8">
        <v>1</v>
      </c>
      <c r="H222" s="8" t="s">
        <v>504</v>
      </c>
      <c r="I222" s="41" t="s">
        <v>58</v>
      </c>
      <c r="K222" s="1" t="str">
        <v>VT02374</v>
      </c>
      <c r="L222" s="1" t="str">
        <v>Delphine Jewis</v>
      </c>
      <c r="M222" s="1" t="str">
        <v>Female</v>
      </c>
      <c r="N222" s="1" t="str">
        <v>Accounting</v>
      </c>
      <c r="O222" s="1">
        <v>71823.56</v>
      </c>
      <c r="P222" s="72" t="str">
        <v>Oct 1, 2018</v>
      </c>
      <c r="Q222" s="1">
        <v>0.3</v>
      </c>
      <c r="R222" s="5" t="str">
        <v>Temporary</v>
      </c>
      <c r="S222" s="5" t="str">
        <v>Remote</v>
      </c>
    </row>
    <row r="223" spans="1:19" x14ac:dyDescent="0.3">
      <c r="A223" s="40" t="s">
        <v>901</v>
      </c>
      <c r="B223" s="8" t="s">
        <v>902</v>
      </c>
      <c r="C223" s="8" t="s">
        <v>47</v>
      </c>
      <c r="D223" s="8" t="s">
        <v>141</v>
      </c>
      <c r="E223" s="17">
        <v>89960.6</v>
      </c>
      <c r="F223" s="18">
        <v>43515</v>
      </c>
      <c r="G223" s="8">
        <v>1</v>
      </c>
      <c r="H223" s="8" t="s">
        <v>504</v>
      </c>
      <c r="I223" s="41" t="s">
        <v>71</v>
      </c>
      <c r="K223" s="1" t="str">
        <v>SQ00450</v>
      </c>
      <c r="L223" s="1" t="str">
        <v xml:space="preserve"> Louise Lamming</v>
      </c>
      <c r="M223" s="1" t="str">
        <v>Female</v>
      </c>
      <c r="N223" s="1" t="str">
        <v>Sales</v>
      </c>
      <c r="O223" s="1">
        <v>41934.71</v>
      </c>
      <c r="P223" s="72">
        <v>43943</v>
      </c>
      <c r="Q223" s="1">
        <v>1</v>
      </c>
      <c r="R223" s="5" t="str">
        <v>Permanent</v>
      </c>
      <c r="S223" s="5" t="str">
        <v>Remote</v>
      </c>
    </row>
    <row r="224" spans="1:19" x14ac:dyDescent="0.3">
      <c r="A224" s="40" t="s">
        <v>903</v>
      </c>
      <c r="B224" s="8" t="s">
        <v>904</v>
      </c>
      <c r="C224" s="8" t="s">
        <v>47</v>
      </c>
      <c r="D224" s="8" t="s">
        <v>53</v>
      </c>
      <c r="E224" s="17"/>
      <c r="F224" s="18">
        <v>44207</v>
      </c>
      <c r="G224" s="8">
        <v>0.7</v>
      </c>
      <c r="H224" s="8" t="s">
        <v>35</v>
      </c>
      <c r="I224" s="41" t="s">
        <v>136</v>
      </c>
      <c r="K224" s="1" t="str">
        <v>PR03804</v>
      </c>
      <c r="L224" s="1" t="str">
        <v>Pratigya Rema</v>
      </c>
      <c r="M224" s="1" t="str">
        <v>Male</v>
      </c>
      <c r="N224" s="1" t="str">
        <v>CLEANING</v>
      </c>
      <c r="O224" s="1">
        <v>66572.58</v>
      </c>
      <c r="P224" s="72" t="str">
        <v>28-Dec-20</v>
      </c>
      <c r="Q224" s="1">
        <v>1</v>
      </c>
      <c r="R224" s="5" t="str">
        <v>Permanent</v>
      </c>
      <c r="S224" s="5" t="str">
        <v>Chennai, India</v>
      </c>
    </row>
    <row r="225" spans="1:19" x14ac:dyDescent="0.3">
      <c r="A225" s="40" t="s">
        <v>796</v>
      </c>
      <c r="B225" s="8" t="s">
        <v>905</v>
      </c>
      <c r="C225" s="8" t="s">
        <v>47</v>
      </c>
      <c r="D225" s="8" t="s">
        <v>88</v>
      </c>
      <c r="E225" s="17">
        <v>28481.16</v>
      </c>
      <c r="F225" s="18">
        <v>43916</v>
      </c>
      <c r="G225" s="8">
        <v>1</v>
      </c>
      <c r="H225" s="8" t="s">
        <v>35</v>
      </c>
      <c r="I225" s="41" t="s">
        <v>102</v>
      </c>
      <c r="K225" s="1" t="str">
        <v>SQ04488</v>
      </c>
      <c r="L225" s="1" t="str">
        <v>Ramnath Ravuri</v>
      </c>
      <c r="M225" s="1" t="str">
        <v>Male</v>
      </c>
      <c r="N225" s="1" t="str">
        <v>Marketing</v>
      </c>
      <c r="O225" s="1">
        <v>76932.600000000006</v>
      </c>
      <c r="P225" s="72" t="str">
        <v>28-Jan-19</v>
      </c>
      <c r="Q225" s="1">
        <v>1</v>
      </c>
      <c r="R225" s="5" t="str">
        <v>Permanent</v>
      </c>
      <c r="S225" s="5" t="str">
        <v>Hyderabad, India</v>
      </c>
    </row>
    <row r="226" spans="1:19" x14ac:dyDescent="0.3">
      <c r="A226" s="40" t="s">
        <v>604</v>
      </c>
      <c r="B226" s="8" t="s">
        <v>906</v>
      </c>
      <c r="C226" s="8" t="s">
        <v>33</v>
      </c>
      <c r="D226" s="8" t="s">
        <v>81</v>
      </c>
      <c r="E226" s="17">
        <v>116767.63</v>
      </c>
      <c r="F226" s="18">
        <v>43949</v>
      </c>
      <c r="G226" s="8">
        <v>0.4</v>
      </c>
      <c r="H226" s="8" t="s">
        <v>525</v>
      </c>
      <c r="I226" s="41" t="s">
        <v>49</v>
      </c>
      <c r="K226" s="1" t="str">
        <v>SQ02223</v>
      </c>
      <c r="L226" s="1" t="str">
        <v xml:space="preserve"> Pippy Shepperd</v>
      </c>
      <c r="M226" s="1" t="str">
        <v>Female</v>
      </c>
      <c r="N226" s="1" t="str">
        <v>Accounting</v>
      </c>
      <c r="O226" s="1">
        <v>44845.33</v>
      </c>
      <c r="P226" s="72" t="str">
        <v>26-Jun-18</v>
      </c>
      <c r="Q226" s="1">
        <v>1</v>
      </c>
      <c r="R226" s="5" t="str">
        <v>Permanent</v>
      </c>
      <c r="S226" s="5" t="str">
        <v>Seattle, USA</v>
      </c>
    </row>
    <row r="227" spans="1:19" x14ac:dyDescent="0.3">
      <c r="A227" s="40" t="s">
        <v>907</v>
      </c>
      <c r="B227" s="8" t="s">
        <v>908</v>
      </c>
      <c r="C227" s="8" t="s">
        <v>47</v>
      </c>
      <c r="D227" s="8" t="s">
        <v>141</v>
      </c>
      <c r="E227" s="17">
        <v>80360.41</v>
      </c>
      <c r="F227" s="18" t="s">
        <v>909</v>
      </c>
      <c r="G227" s="8">
        <v>1</v>
      </c>
      <c r="H227" s="8" t="s">
        <v>35</v>
      </c>
      <c r="I227" s="41" t="s">
        <v>36</v>
      </c>
      <c r="K227" s="1" t="str">
        <v>PR02010</v>
      </c>
      <c r="L227" s="1" t="str">
        <v>Prerana Nishita</v>
      </c>
      <c r="M227" s="1" t="str">
        <v>Male</v>
      </c>
      <c r="N227" s="1" t="str">
        <v>Product Management</v>
      </c>
      <c r="O227" s="1">
        <v>115191.38</v>
      </c>
      <c r="P227" s="72">
        <v>44004</v>
      </c>
      <c r="Q227" s="1">
        <v>1</v>
      </c>
      <c r="R227" s="5" t="str">
        <v>Permanent</v>
      </c>
      <c r="S227" s="5" t="str">
        <v>Hyderabad, India</v>
      </c>
    </row>
    <row r="228" spans="1:19" x14ac:dyDescent="0.3">
      <c r="A228" s="40" t="s">
        <v>40</v>
      </c>
      <c r="B228" s="8" t="s">
        <v>41</v>
      </c>
      <c r="C228" s="8" t="s">
        <v>33</v>
      </c>
      <c r="D228" s="8" t="s">
        <v>42</v>
      </c>
      <c r="E228" s="17">
        <v>77045.440000000002</v>
      </c>
      <c r="F228" s="18" t="s">
        <v>910</v>
      </c>
      <c r="G228" s="8">
        <v>1</v>
      </c>
      <c r="H228" s="8" t="s">
        <v>35</v>
      </c>
      <c r="I228" s="41" t="s">
        <v>36</v>
      </c>
      <c r="K228" s="1" t="str">
        <v>SQ00498</v>
      </c>
      <c r="L228" s="1" t="str">
        <v>Amery Ofer</v>
      </c>
      <c r="M228" s="1" t="str">
        <v>Female</v>
      </c>
      <c r="N228" s="1" t="str">
        <v>CLEANING</v>
      </c>
      <c r="O228" s="1">
        <v>111049.84</v>
      </c>
      <c r="P228" s="72">
        <v>44393</v>
      </c>
      <c r="Q228" s="1">
        <v>1</v>
      </c>
      <c r="R228" s="5" t="str">
        <v>Permanent</v>
      </c>
      <c r="S228" s="5" t="str">
        <v>Wellington, New Zealand</v>
      </c>
    </row>
    <row r="229" spans="1:19" x14ac:dyDescent="0.3">
      <c r="A229" s="40" t="s">
        <v>130</v>
      </c>
      <c r="B229" s="8" t="s">
        <v>131</v>
      </c>
      <c r="C229" s="8" t="s">
        <v>33</v>
      </c>
      <c r="D229" s="8" t="s">
        <v>81</v>
      </c>
      <c r="E229" s="17">
        <v>96135.75</v>
      </c>
      <c r="F229" s="18" t="s">
        <v>911</v>
      </c>
      <c r="G229" s="8">
        <v>0.3</v>
      </c>
      <c r="H229" s="8" t="s">
        <v>35</v>
      </c>
      <c r="I229" s="41" t="s">
        <v>82</v>
      </c>
      <c r="K229" s="1" t="str">
        <v>PR02113</v>
      </c>
      <c r="L229" s="1" t="str">
        <v>Beverie Moffet</v>
      </c>
      <c r="M229" s="1" t="str">
        <v>Female</v>
      </c>
      <c r="N229" s="1" t="str">
        <v>Support</v>
      </c>
      <c r="O229" s="1">
        <v>75974.990000000005</v>
      </c>
      <c r="P229" s="72" t="str">
        <v>7-Dec-20</v>
      </c>
      <c r="Q229" s="1">
        <v>1</v>
      </c>
      <c r="R229" s="5" t="str">
        <v>Permanent</v>
      </c>
      <c r="S229" s="5" t="str">
        <v>Remote</v>
      </c>
    </row>
    <row r="230" spans="1:19" x14ac:dyDescent="0.3">
      <c r="A230" s="40" t="s">
        <v>912</v>
      </c>
      <c r="B230" s="8" t="s">
        <v>913</v>
      </c>
      <c r="C230" s="8" t="s">
        <v>33</v>
      </c>
      <c r="D230" s="8" t="s">
        <v>42</v>
      </c>
      <c r="E230" s="17">
        <v>102129.37</v>
      </c>
      <c r="F230" s="18" t="s">
        <v>748</v>
      </c>
      <c r="G230" s="8">
        <v>1</v>
      </c>
      <c r="H230" s="8" t="s">
        <v>35</v>
      </c>
      <c r="I230" s="41" t="s">
        <v>58</v>
      </c>
      <c r="K230" s="1" t="str">
        <v>TN00727</v>
      </c>
      <c r="L230" s="1" t="str">
        <v>Dulsea Folkes</v>
      </c>
      <c r="M230" s="1" t="str">
        <v>Female</v>
      </c>
      <c r="N230" s="1" t="str">
        <v>Services</v>
      </c>
      <c r="O230" s="1">
        <v>42161.77</v>
      </c>
      <c r="P230" s="72" t="str">
        <v>Jan 29, 2019</v>
      </c>
      <c r="Q230" s="1">
        <v>1</v>
      </c>
      <c r="R230" s="5" t="str">
        <v>Permanent</v>
      </c>
      <c r="S230" s="5" t="str">
        <v>Auckland, New Zealand</v>
      </c>
    </row>
    <row r="231" spans="1:19" x14ac:dyDescent="0.3">
      <c r="A231" s="40" t="s">
        <v>914</v>
      </c>
      <c r="B231" s="8" t="s">
        <v>915</v>
      </c>
      <c r="C231" s="8" t="s">
        <v>33</v>
      </c>
      <c r="D231" s="8" t="s">
        <v>81</v>
      </c>
      <c r="E231" s="17">
        <v>99965.97</v>
      </c>
      <c r="F231" s="18" t="s">
        <v>916</v>
      </c>
      <c r="G231" s="8">
        <v>1</v>
      </c>
      <c r="H231" s="8" t="s">
        <v>35</v>
      </c>
      <c r="I231" s="41" t="s">
        <v>36</v>
      </c>
      <c r="K231" s="1" t="str">
        <v>SQ01519</v>
      </c>
      <c r="L231" s="1" t="str">
        <v>Caron Kolakovic</v>
      </c>
      <c r="M231" s="1" t="str">
        <v>Male</v>
      </c>
      <c r="N231" s="1" t="str">
        <v>Accounting</v>
      </c>
      <c r="O231" s="1">
        <v>49915.14</v>
      </c>
      <c r="P231" s="72" t="str">
        <v>26-Mar-19</v>
      </c>
      <c r="Q231" s="1">
        <v>1</v>
      </c>
      <c r="R231" s="5" t="str">
        <v>Permanent</v>
      </c>
      <c r="S231" s="5" t="str">
        <v>Remote</v>
      </c>
    </row>
    <row r="232" spans="1:19" x14ac:dyDescent="0.3">
      <c r="A232" s="40" t="s">
        <v>917</v>
      </c>
      <c r="B232" s="8" t="s">
        <v>918</v>
      </c>
      <c r="C232" s="8" t="s">
        <v>33</v>
      </c>
      <c r="D232" s="8" t="s">
        <v>141</v>
      </c>
      <c r="E232" s="17">
        <v>49625.64</v>
      </c>
      <c r="F232" s="18">
        <v>44384</v>
      </c>
      <c r="G232" s="8">
        <v>0.5</v>
      </c>
      <c r="H232" s="8" t="s">
        <v>504</v>
      </c>
      <c r="I232" s="41" t="s">
        <v>36</v>
      </c>
      <c r="K232" s="1" t="str">
        <v>SQ01395</v>
      </c>
      <c r="L232" s="1" t="str">
        <v>Dennison Crosswaite</v>
      </c>
      <c r="M232" s="1" t="str">
        <v>Male</v>
      </c>
      <c r="N232" s="1" t="str">
        <v>CLEANING</v>
      </c>
      <c r="O232" s="1">
        <v>90697.67</v>
      </c>
      <c r="P232" s="72">
        <v>44221</v>
      </c>
      <c r="Q232" s="1">
        <v>0.8</v>
      </c>
      <c r="R232" s="5" t="str">
        <v>Permanent</v>
      </c>
      <c r="S232" s="5" t="str">
        <v>Seattle, USA</v>
      </c>
    </row>
    <row r="233" spans="1:19" x14ac:dyDescent="0.3">
      <c r="A233" s="40" t="s">
        <v>919</v>
      </c>
      <c r="B233" s="8" t="s">
        <v>920</v>
      </c>
      <c r="C233" s="8" t="s">
        <v>33</v>
      </c>
      <c r="D233" s="8" t="s">
        <v>53</v>
      </c>
      <c r="E233" s="17">
        <v>94815.28</v>
      </c>
      <c r="F233" s="18" t="s">
        <v>921</v>
      </c>
      <c r="G233" s="8">
        <v>1</v>
      </c>
      <c r="H233" s="8" t="s">
        <v>35</v>
      </c>
      <c r="I233" s="41" t="s">
        <v>136</v>
      </c>
      <c r="K233" s="1" t="str">
        <v>VT03500</v>
      </c>
      <c r="L233" s="1" t="str">
        <v>Shiuli Sapna</v>
      </c>
      <c r="M233" s="1" t="str">
        <v>Male</v>
      </c>
      <c r="N233" s="1" t="str">
        <v>Support</v>
      </c>
      <c r="O233" s="1">
        <v>37062.1</v>
      </c>
      <c r="P233" s="72">
        <v>44357</v>
      </c>
      <c r="Q233" s="1">
        <v>1</v>
      </c>
      <c r="R233" s="5" t="str">
        <v>Temporary</v>
      </c>
      <c r="S233" s="5" t="str">
        <v>Chennai, India</v>
      </c>
    </row>
    <row r="234" spans="1:19" x14ac:dyDescent="0.3">
      <c r="A234" s="40" t="s">
        <v>107</v>
      </c>
      <c r="B234" s="8" t="s">
        <v>108</v>
      </c>
      <c r="C234" s="8" t="s">
        <v>47</v>
      </c>
      <c r="D234" s="8" t="s">
        <v>34</v>
      </c>
      <c r="E234" s="17">
        <v>36714.379999999997</v>
      </c>
      <c r="F234" s="18">
        <v>44175</v>
      </c>
      <c r="G234" s="8">
        <v>1</v>
      </c>
      <c r="H234" s="8" t="s">
        <v>35</v>
      </c>
      <c r="I234" s="41" t="s">
        <v>49</v>
      </c>
      <c r="K234" s="1" t="str">
        <v>SQ01395</v>
      </c>
      <c r="L234" s="1" t="str">
        <v>Dennison Crosswaite</v>
      </c>
      <c r="M234" s="1" t="str">
        <v>Male</v>
      </c>
      <c r="N234" s="1" t="str">
        <v>CLEANING</v>
      </c>
      <c r="O234" s="1">
        <v>90697.67</v>
      </c>
      <c r="P234" s="72">
        <v>44221</v>
      </c>
      <c r="Q234" s="1">
        <v>0.8</v>
      </c>
      <c r="R234" s="5" t="str">
        <v>Permanent</v>
      </c>
      <c r="S234" s="5" t="str">
        <v>Seattle, USA</v>
      </c>
    </row>
    <row r="235" spans="1:19" x14ac:dyDescent="0.3">
      <c r="A235" s="40" t="s">
        <v>163</v>
      </c>
      <c r="B235" s="8" t="s">
        <v>164</v>
      </c>
      <c r="C235" s="8" t="s">
        <v>33</v>
      </c>
      <c r="D235" s="8" t="s">
        <v>92</v>
      </c>
      <c r="E235" s="17">
        <v>67905.8</v>
      </c>
      <c r="F235" s="18">
        <v>44194</v>
      </c>
      <c r="G235" s="8">
        <v>1</v>
      </c>
      <c r="H235" s="8" t="s">
        <v>35</v>
      </c>
      <c r="I235" s="41" t="s">
        <v>36</v>
      </c>
      <c r="K235" s="1" t="str">
        <v>VT00017</v>
      </c>
      <c r="L235" s="1" t="str">
        <v>Maible Azemar</v>
      </c>
      <c r="M235" s="1" t="str">
        <v>Male</v>
      </c>
      <c r="N235" s="1" t="str">
        <v>Accounting</v>
      </c>
      <c r="O235" s="1">
        <v>0</v>
      </c>
      <c r="P235" s="72">
        <v>44077</v>
      </c>
      <c r="Q235" s="1">
        <v>1</v>
      </c>
      <c r="R235" s="5" t="str">
        <v>Fixed Term</v>
      </c>
      <c r="S235" s="5" t="str">
        <v>Columbus, USA</v>
      </c>
    </row>
    <row r="236" spans="1:19" x14ac:dyDescent="0.3">
      <c r="A236" s="40" t="s">
        <v>922</v>
      </c>
      <c r="B236" s="8" t="s">
        <v>923</v>
      </c>
      <c r="C236" s="8" t="s">
        <v>47</v>
      </c>
      <c r="D236" s="8" t="s">
        <v>85</v>
      </c>
      <c r="E236" s="17">
        <v>69862.38</v>
      </c>
      <c r="F236" s="18" t="s">
        <v>924</v>
      </c>
      <c r="G236" s="8">
        <v>1</v>
      </c>
      <c r="H236" s="8" t="s">
        <v>35</v>
      </c>
      <c r="I236" s="41" t="s">
        <v>82</v>
      </c>
      <c r="K236" s="1" t="str">
        <v>SQ02559</v>
      </c>
      <c r="L236" s="1" t="str">
        <v>Aldrich  Glenny</v>
      </c>
      <c r="M236" s="1" t="str">
        <v>Male</v>
      </c>
      <c r="N236" s="1" t="str">
        <v>Business Development</v>
      </c>
      <c r="O236" s="1">
        <v>90884.32</v>
      </c>
      <c r="P236" s="72" t="str">
        <v>27-Dec-19</v>
      </c>
      <c r="Q236" s="1">
        <v>1</v>
      </c>
      <c r="R236" s="5" t="str">
        <v>Permanent</v>
      </c>
      <c r="S236" s="5" t="str">
        <v>Columbus, USA</v>
      </c>
    </row>
    <row r="237" spans="1:19" x14ac:dyDescent="0.3">
      <c r="A237" s="40" t="s">
        <v>112</v>
      </c>
      <c r="B237" s="8" t="s">
        <v>113</v>
      </c>
      <c r="C237" s="8" t="s">
        <v>47</v>
      </c>
      <c r="D237" s="8" t="s">
        <v>99</v>
      </c>
      <c r="E237" s="17">
        <v>36547.58</v>
      </c>
      <c r="F237" s="18">
        <v>43416</v>
      </c>
      <c r="G237" s="8">
        <v>1</v>
      </c>
      <c r="H237" s="8" t="s">
        <v>35</v>
      </c>
      <c r="I237" s="41" t="s">
        <v>36</v>
      </c>
      <c r="K237" s="1" t="str">
        <v>SQ01395</v>
      </c>
      <c r="L237" s="1" t="str">
        <v>Dennison Crosswaite</v>
      </c>
      <c r="M237" s="1" t="str">
        <v>Male</v>
      </c>
      <c r="N237" s="1" t="str">
        <v>Legal</v>
      </c>
      <c r="O237" s="1">
        <v>90697.67</v>
      </c>
      <c r="P237" s="72">
        <v>44221</v>
      </c>
      <c r="Q237" s="1">
        <v>0.8</v>
      </c>
      <c r="R237" s="5" t="str">
        <v>Permanent</v>
      </c>
      <c r="S237" s="5" t="str">
        <v>Seattle, USA</v>
      </c>
    </row>
    <row r="238" spans="1:19" x14ac:dyDescent="0.3">
      <c r="A238" s="40" t="s">
        <v>925</v>
      </c>
      <c r="B238" s="8" t="s">
        <v>926</v>
      </c>
      <c r="C238" s="8" t="s">
        <v>47</v>
      </c>
      <c r="D238" s="8" t="s">
        <v>57</v>
      </c>
      <c r="E238" s="17">
        <v>106400.02</v>
      </c>
      <c r="F238" s="18" t="s">
        <v>927</v>
      </c>
      <c r="G238" s="8">
        <v>1</v>
      </c>
      <c r="H238" s="8" t="s">
        <v>525</v>
      </c>
      <c r="I238" s="41" t="s">
        <v>49</v>
      </c>
      <c r="K238" s="1" t="str">
        <v>SQ00841</v>
      </c>
      <c r="L238" s="1" t="str">
        <v>Bhuvan Pals</v>
      </c>
      <c r="M238" s="1" t="str">
        <v>Female</v>
      </c>
      <c r="N238" s="1" t="str">
        <v>Services</v>
      </c>
      <c r="O238" s="1">
        <v>89690.38</v>
      </c>
      <c r="P238" s="72" t="str">
        <v>23-Apr-18</v>
      </c>
      <c r="Q238" s="1">
        <v>1</v>
      </c>
      <c r="R238" s="5" t="str">
        <v>Permanent</v>
      </c>
      <c r="S238" s="5" t="str">
        <v>Hyderabad, India</v>
      </c>
    </row>
    <row r="239" spans="1:19" x14ac:dyDescent="0.3">
      <c r="A239" s="40" t="s">
        <v>928</v>
      </c>
      <c r="B239" s="8" t="s">
        <v>929</v>
      </c>
      <c r="C239" s="8" t="s">
        <v>47</v>
      </c>
      <c r="D239" s="8" t="s">
        <v>85</v>
      </c>
      <c r="E239" s="17">
        <v>103494.94</v>
      </c>
      <c r="F239" s="18" t="s">
        <v>930</v>
      </c>
      <c r="G239" s="8">
        <v>1</v>
      </c>
      <c r="H239" s="8" t="s">
        <v>35</v>
      </c>
      <c r="I239" s="41" t="s">
        <v>36</v>
      </c>
      <c r="K239" s="1" t="str">
        <v>SQ04603</v>
      </c>
      <c r="L239" s="1" t="str">
        <v>Natalee Craiker</v>
      </c>
      <c r="M239" s="1" t="str">
        <v>Male</v>
      </c>
      <c r="N239" s="1" t="str">
        <v>Product Management</v>
      </c>
      <c r="O239" s="1">
        <v>111229.47</v>
      </c>
      <c r="P239" s="72" t="str">
        <v>29-Oct-18</v>
      </c>
      <c r="Q239" s="1">
        <v>1</v>
      </c>
      <c r="R239" s="5" t="str">
        <v>Permanent</v>
      </c>
      <c r="S239" s="5" t="str">
        <v>Remote</v>
      </c>
    </row>
    <row r="240" spans="1:19" x14ac:dyDescent="0.3">
      <c r="A240" s="40" t="s">
        <v>818</v>
      </c>
      <c r="B240" s="8" t="s">
        <v>819</v>
      </c>
      <c r="C240" s="8" t="s">
        <v>47</v>
      </c>
      <c r="D240" s="8" t="s">
        <v>42</v>
      </c>
      <c r="E240" s="17">
        <v>96753.78</v>
      </c>
      <c r="F240" s="18">
        <v>44494</v>
      </c>
      <c r="G240" s="8">
        <v>1</v>
      </c>
      <c r="H240" s="8" t="s">
        <v>35</v>
      </c>
      <c r="I240" s="41" t="s">
        <v>71</v>
      </c>
      <c r="K240" s="1" t="str">
        <v>VT04028</v>
      </c>
      <c r="L240" s="1" t="str">
        <v>Michale Rolf</v>
      </c>
      <c r="M240" s="1" t="str">
        <v>Male</v>
      </c>
      <c r="N240" s="1" t="str">
        <v>Services</v>
      </c>
      <c r="O240" s="1">
        <v>111815.49</v>
      </c>
      <c r="P240" s="72">
        <v>43895</v>
      </c>
      <c r="Q240" s="1">
        <v>0.7</v>
      </c>
      <c r="R240" s="5" t="str">
        <v>Temporary</v>
      </c>
      <c r="S240" s="5" t="str">
        <v>Remote</v>
      </c>
    </row>
    <row r="241" spans="1:19" x14ac:dyDescent="0.3">
      <c r="A241" s="40" t="s">
        <v>55</v>
      </c>
      <c r="B241" s="8" t="s">
        <v>56</v>
      </c>
      <c r="C241" s="8" t="s">
        <v>33</v>
      </c>
      <c r="D241" s="8" t="s">
        <v>57</v>
      </c>
      <c r="E241" s="17">
        <v>80695.740000000005</v>
      </c>
      <c r="F241" s="18">
        <v>43360</v>
      </c>
      <c r="G241" s="8">
        <v>1</v>
      </c>
      <c r="H241" s="8" t="s">
        <v>35</v>
      </c>
      <c r="I241" s="41" t="s">
        <v>58</v>
      </c>
      <c r="K241" s="1" t="str">
        <v>TN03068</v>
      </c>
      <c r="L241" s="1" t="str">
        <v>Gumwant Veera</v>
      </c>
      <c r="M241" s="1" t="str">
        <v>Male</v>
      </c>
      <c r="N241" s="1" t="str">
        <v>Business Development</v>
      </c>
      <c r="O241" s="1">
        <v>39784.239999999998</v>
      </c>
      <c r="P241" s="72" t="str">
        <v>31-Dec-18</v>
      </c>
      <c r="Q241" s="1">
        <v>1</v>
      </c>
      <c r="R241" s="5" t="str">
        <v>Fixed Term</v>
      </c>
      <c r="S241" s="5" t="str">
        <v>Chennai, India</v>
      </c>
    </row>
    <row r="242" spans="1:19" x14ac:dyDescent="0.3">
      <c r="A242" s="40" t="s">
        <v>931</v>
      </c>
      <c r="B242" s="8" t="s">
        <v>932</v>
      </c>
      <c r="C242" s="8" t="s">
        <v>33</v>
      </c>
      <c r="D242" s="8" t="s">
        <v>88</v>
      </c>
      <c r="E242" s="17">
        <v>61213.01</v>
      </c>
      <c r="F242" s="18" t="s">
        <v>933</v>
      </c>
      <c r="G242" s="8">
        <v>1</v>
      </c>
      <c r="H242" s="8" t="s">
        <v>35</v>
      </c>
      <c r="I242" s="41" t="s">
        <v>49</v>
      </c>
      <c r="K242" s="1" t="str">
        <v>VT04028</v>
      </c>
      <c r="L242" s="1" t="str">
        <v>Michale Rolf</v>
      </c>
      <c r="M242" s="1" t="str">
        <v>Male</v>
      </c>
      <c r="N242" s="1" t="str">
        <v>Services</v>
      </c>
      <c r="O242" s="1">
        <v>111815.49</v>
      </c>
      <c r="P242" s="72">
        <v>43895</v>
      </c>
      <c r="Q242" s="1">
        <v>0.7</v>
      </c>
      <c r="R242" s="5" t="str">
        <v>Temporary</v>
      </c>
      <c r="S242" s="5" t="str">
        <v>Remote</v>
      </c>
    </row>
    <row r="243" spans="1:19" x14ac:dyDescent="0.3">
      <c r="A243" s="40" t="s">
        <v>934</v>
      </c>
      <c r="B243" s="8" t="s">
        <v>935</v>
      </c>
      <c r="C243" s="8" t="s">
        <v>47</v>
      </c>
      <c r="D243" s="8" t="s">
        <v>76</v>
      </c>
      <c r="E243" s="17">
        <v>69709.509999999995</v>
      </c>
      <c r="F243" s="18" t="s">
        <v>936</v>
      </c>
      <c r="G243" s="8">
        <v>1</v>
      </c>
      <c r="H243" s="8" t="s">
        <v>35</v>
      </c>
      <c r="I243" s="41" t="s">
        <v>102</v>
      </c>
      <c r="K243" s="1" t="str">
        <v>VT02374</v>
      </c>
      <c r="L243" s="1" t="str">
        <v>Delphine Jewis</v>
      </c>
      <c r="M243" s="1" t="str">
        <v>Female</v>
      </c>
      <c r="N243" s="1" t="str">
        <v>Accounting</v>
      </c>
      <c r="O243" s="1">
        <v>71823.56</v>
      </c>
      <c r="P243" s="72" t="str">
        <v>Oct 1, 2018</v>
      </c>
      <c r="Q243" s="1">
        <v>0.3</v>
      </c>
      <c r="R243" s="5" t="str">
        <v>Temporary</v>
      </c>
      <c r="S243" s="5" t="str">
        <v>Remote</v>
      </c>
    </row>
    <row r="244" spans="1:19" x14ac:dyDescent="0.3">
      <c r="A244" s="40" t="s">
        <v>937</v>
      </c>
      <c r="B244" s="8" t="s">
        <v>938</v>
      </c>
      <c r="C244" s="8" t="s">
        <v>33</v>
      </c>
      <c r="D244" s="8" t="s">
        <v>76</v>
      </c>
      <c r="E244" s="17">
        <v>46751.7</v>
      </c>
      <c r="F244" s="18">
        <v>43843</v>
      </c>
      <c r="G244" s="8">
        <v>1</v>
      </c>
      <c r="H244" s="8" t="s">
        <v>504</v>
      </c>
      <c r="I244" s="41" t="s">
        <v>102</v>
      </c>
      <c r="K244" s="1" t="str">
        <v>TN01632</v>
      </c>
      <c r="L244" s="1" t="str">
        <v>Katya Hundy</v>
      </c>
      <c r="M244" s="1" t="str">
        <v>Male</v>
      </c>
      <c r="N244" s="1" t="str">
        <v>Business Development</v>
      </c>
      <c r="O244" s="1">
        <v>88511.17</v>
      </c>
      <c r="P244" s="72" t="str">
        <v>Apr 29, 2020</v>
      </c>
      <c r="Q244" s="1">
        <v>1</v>
      </c>
      <c r="R244" s="5" t="str">
        <v>Permanent</v>
      </c>
      <c r="S244" s="5" t="str">
        <v>Columbus, USA</v>
      </c>
    </row>
    <row r="245" spans="1:19" x14ac:dyDescent="0.3">
      <c r="A245" s="40" t="s">
        <v>45</v>
      </c>
      <c r="B245" s="8" t="s">
        <v>46</v>
      </c>
      <c r="C245" s="8" t="s">
        <v>47</v>
      </c>
      <c r="D245" s="8" t="s">
        <v>48</v>
      </c>
      <c r="E245" s="17">
        <v>77096.05</v>
      </c>
      <c r="F245" s="18">
        <v>43217</v>
      </c>
      <c r="G245" s="8">
        <v>1</v>
      </c>
      <c r="H245" s="8" t="s">
        <v>35</v>
      </c>
      <c r="I245" s="41" t="s">
        <v>49</v>
      </c>
      <c r="K245" s="1" t="str">
        <v>SQ03626</v>
      </c>
      <c r="L245" s="1" t="str">
        <v>Krishnakanta Vellanki</v>
      </c>
      <c r="M245" s="1" t="str">
        <v>Female</v>
      </c>
      <c r="N245" s="1" t="str">
        <v>Training</v>
      </c>
      <c r="O245" s="1">
        <v>95677.9</v>
      </c>
      <c r="P245" s="72" t="str">
        <v>19-Jul-21</v>
      </c>
      <c r="Q245" s="1">
        <v>0.3</v>
      </c>
      <c r="R245" s="5" t="str">
        <v>Permanent</v>
      </c>
      <c r="S245" s="5" t="str">
        <v>Chennai, India</v>
      </c>
    </row>
    <row r="246" spans="1:19" x14ac:dyDescent="0.3">
      <c r="A246" s="40" t="s">
        <v>593</v>
      </c>
      <c r="B246" s="8" t="s">
        <v>594</v>
      </c>
      <c r="C246" s="8" t="s">
        <v>33</v>
      </c>
      <c r="D246" s="8" t="s">
        <v>141</v>
      </c>
      <c r="E246" s="17">
        <v>67818.14</v>
      </c>
      <c r="F246" s="18" t="s">
        <v>595</v>
      </c>
      <c r="G246" s="8">
        <v>0.6</v>
      </c>
      <c r="H246" s="8" t="s">
        <v>504</v>
      </c>
      <c r="I246" s="41" t="s">
        <v>36</v>
      </c>
      <c r="K246" s="1" t="str">
        <v>TN01340</v>
      </c>
      <c r="L246" s="1" t="str">
        <v>Granny Spencelayh</v>
      </c>
      <c r="M246" s="1" t="str">
        <v>Male</v>
      </c>
      <c r="N246" s="1" t="str">
        <v>Legal</v>
      </c>
      <c r="O246" s="1">
        <v>99460.78</v>
      </c>
      <c r="P246" s="72" t="str">
        <v>May 5, 2020</v>
      </c>
      <c r="Q246" s="1">
        <v>1</v>
      </c>
      <c r="R246" s="5" t="str">
        <v>Permanent</v>
      </c>
      <c r="S246" s="5" t="str">
        <v>Remote</v>
      </c>
    </row>
    <row r="247" spans="1:19" x14ac:dyDescent="0.3">
      <c r="A247" s="40" t="s">
        <v>939</v>
      </c>
      <c r="B247" s="8" t="s">
        <v>940</v>
      </c>
      <c r="C247" s="8" t="s">
        <v>47</v>
      </c>
      <c r="D247" s="8" t="s">
        <v>141</v>
      </c>
      <c r="E247" s="17">
        <v>77743.149999999994</v>
      </c>
      <c r="F247" s="18" t="s">
        <v>941</v>
      </c>
      <c r="G247" s="8">
        <v>1</v>
      </c>
      <c r="H247" s="8" t="s">
        <v>35</v>
      </c>
      <c r="I247" s="41" t="s">
        <v>49</v>
      </c>
      <c r="K247" s="1" t="str">
        <v>SQ00960</v>
      </c>
      <c r="L247" s="1" t="str">
        <v>Calvin O'Carroll</v>
      </c>
      <c r="M247" s="1" t="str">
        <v>Female</v>
      </c>
      <c r="N247" s="1" t="str">
        <v>Research and Development</v>
      </c>
      <c r="O247" s="1">
        <v>44447.26</v>
      </c>
      <c r="P247" s="72">
        <v>43846</v>
      </c>
      <c r="Q247" s="1">
        <v>0.4</v>
      </c>
      <c r="R247" s="5" t="str">
        <v>Permanent</v>
      </c>
      <c r="S247" s="5" t="str">
        <v>Seattle, USA</v>
      </c>
    </row>
    <row r="248" spans="1:19" x14ac:dyDescent="0.3">
      <c r="A248" s="40" t="s">
        <v>103</v>
      </c>
      <c r="B248" s="8" t="s">
        <v>104</v>
      </c>
      <c r="C248" s="8" t="s">
        <v>47</v>
      </c>
      <c r="D248" s="8" t="s">
        <v>85</v>
      </c>
      <c r="E248" s="17">
        <v>48525.71</v>
      </c>
      <c r="F248" s="18" t="s">
        <v>942</v>
      </c>
      <c r="G248" s="8">
        <v>1</v>
      </c>
      <c r="H248" s="8" t="s">
        <v>35</v>
      </c>
      <c r="I248" s="41" t="s">
        <v>102</v>
      </c>
      <c r="K248" s="1" t="str">
        <v>SQ01998</v>
      </c>
      <c r="L248" s="1" t="str">
        <v>Vanmala Shriharsha</v>
      </c>
      <c r="M248" s="1" t="str">
        <v>Male</v>
      </c>
      <c r="N248" s="1" t="str">
        <v>Product Management</v>
      </c>
      <c r="O248" s="1">
        <v>40445.29</v>
      </c>
      <c r="P248" s="72">
        <v>44393</v>
      </c>
      <c r="Q248" s="1">
        <v>1</v>
      </c>
      <c r="R248" s="5" t="str">
        <v>Permanent</v>
      </c>
      <c r="S248" s="5" t="str">
        <v>Chennai, India</v>
      </c>
    </row>
    <row r="249" spans="1:19" x14ac:dyDescent="0.3">
      <c r="A249" s="40" t="s">
        <v>928</v>
      </c>
      <c r="B249" s="8" t="s">
        <v>929</v>
      </c>
      <c r="C249" s="8" t="s">
        <v>47</v>
      </c>
      <c r="D249" s="8" t="s">
        <v>85</v>
      </c>
      <c r="E249" s="17">
        <v>103494.94</v>
      </c>
      <c r="F249" s="18" t="s">
        <v>930</v>
      </c>
      <c r="G249" s="8">
        <v>1</v>
      </c>
      <c r="H249" s="8" t="s">
        <v>35</v>
      </c>
      <c r="I249" s="41" t="s">
        <v>36</v>
      </c>
      <c r="K249" s="1" t="str">
        <v>PR04446</v>
      </c>
      <c r="L249" s="1" t="str">
        <v>Sameer Shashank Sapra</v>
      </c>
      <c r="M249" s="1" t="str">
        <v>Female</v>
      </c>
      <c r="N249" s="1" t="str">
        <v>Research and Development</v>
      </c>
      <c r="O249" s="1">
        <v>92336.08</v>
      </c>
      <c r="P249" s="72">
        <v>44431</v>
      </c>
      <c r="Q249" s="1">
        <v>1</v>
      </c>
      <c r="R249" s="5" t="str">
        <v>Permanent</v>
      </c>
      <c r="S249" s="5" t="str">
        <v>Hyderabad, India</v>
      </c>
    </row>
    <row r="250" spans="1:19" x14ac:dyDescent="0.3">
      <c r="A250" s="40" t="s">
        <v>925</v>
      </c>
      <c r="B250" s="8" t="s">
        <v>943</v>
      </c>
      <c r="C250" s="8" t="s">
        <v>47</v>
      </c>
      <c r="D250" s="8" t="s">
        <v>57</v>
      </c>
      <c r="E250" s="17">
        <v>106400.02</v>
      </c>
      <c r="F250" s="18" t="s">
        <v>927</v>
      </c>
      <c r="G250" s="8">
        <v>1</v>
      </c>
      <c r="H250" s="8" t="s">
        <v>525</v>
      </c>
      <c r="I250" s="41" t="s">
        <v>49</v>
      </c>
      <c r="K250" s="1" t="str">
        <v>SQ01283</v>
      </c>
      <c r="L250" s="1" t="str">
        <v>Barr Faughny</v>
      </c>
      <c r="M250" s="1" t="str">
        <v>Female</v>
      </c>
      <c r="N250" s="1" t="str">
        <v>Marketing</v>
      </c>
      <c r="O250" s="1">
        <v>68008.55</v>
      </c>
      <c r="P250" s="72">
        <v>44062</v>
      </c>
      <c r="Q250" s="1">
        <v>1</v>
      </c>
      <c r="R250" s="5" t="str">
        <v>Permanent</v>
      </c>
      <c r="S250" s="5" t="str">
        <v>Auckland, New Zealand</v>
      </c>
    </row>
    <row r="251" spans="1:19" x14ac:dyDescent="0.3">
      <c r="A251" s="40" t="s">
        <v>944</v>
      </c>
      <c r="B251" s="8" t="s">
        <v>945</v>
      </c>
      <c r="C251" s="8" t="s">
        <v>33</v>
      </c>
      <c r="D251" s="8" t="s">
        <v>81</v>
      </c>
      <c r="E251" s="17"/>
      <c r="F251" s="18" t="s">
        <v>946</v>
      </c>
      <c r="G251" s="8">
        <v>1</v>
      </c>
      <c r="H251" s="8" t="s">
        <v>35</v>
      </c>
      <c r="I251" s="41" t="s">
        <v>71</v>
      </c>
      <c r="K251" s="1" t="str">
        <v>SQ01026</v>
      </c>
      <c r="L251" s="1" t="str">
        <v>Anumati Shyamari Meherhomji</v>
      </c>
      <c r="M251" s="1" t="str">
        <v>Male</v>
      </c>
      <c r="N251" s="1" t="str">
        <v>Product Management</v>
      </c>
      <c r="O251" s="1">
        <v>74924.649999999994</v>
      </c>
      <c r="P251" s="72" t="str">
        <v>12-Feb-21</v>
      </c>
      <c r="Q251" s="1">
        <v>1</v>
      </c>
      <c r="R251" s="5" t="str">
        <v>Permanent</v>
      </c>
      <c r="S251" s="5" t="str">
        <v>Hyderabad, India</v>
      </c>
    </row>
    <row r="252" spans="1:19" x14ac:dyDescent="0.3">
      <c r="A252" s="40" t="s">
        <v>947</v>
      </c>
      <c r="B252" s="8" t="s">
        <v>948</v>
      </c>
      <c r="C252" s="8" t="s">
        <v>47</v>
      </c>
      <c r="D252" s="8" t="s">
        <v>85</v>
      </c>
      <c r="E252" s="17">
        <v>65569.36</v>
      </c>
      <c r="F252" s="18">
        <v>43293</v>
      </c>
      <c r="G252" s="8">
        <v>1</v>
      </c>
      <c r="H252" s="8" t="s">
        <v>504</v>
      </c>
      <c r="I252" s="41" t="s">
        <v>71</v>
      </c>
      <c r="K252" s="1" t="str">
        <v>TN02667</v>
      </c>
      <c r="L252" s="1" t="str">
        <v>Lizzie Mullally</v>
      </c>
      <c r="M252" s="1" t="str">
        <v>Male</v>
      </c>
      <c r="N252" s="1" t="str">
        <v>Support</v>
      </c>
      <c r="O252" s="1">
        <v>0</v>
      </c>
      <c r="P252" s="72" t="str">
        <v>16-Sep-19</v>
      </c>
      <c r="Q252" s="1">
        <v>0.2</v>
      </c>
      <c r="R252" s="5" t="str">
        <v>Permanent</v>
      </c>
      <c r="S252" s="5" t="str">
        <v>Auckland, New Zealand</v>
      </c>
    </row>
    <row r="253" spans="1:19" x14ac:dyDescent="0.3">
      <c r="A253" s="40" t="s">
        <v>760</v>
      </c>
      <c r="B253" s="8" t="s">
        <v>949</v>
      </c>
      <c r="C253" s="8" t="s">
        <v>47</v>
      </c>
      <c r="D253" s="8" t="s">
        <v>141</v>
      </c>
      <c r="E253" s="17">
        <v>40445.29</v>
      </c>
      <c r="F253" s="18">
        <v>44393</v>
      </c>
      <c r="G253" s="8">
        <v>1</v>
      </c>
      <c r="H253" s="8" t="s">
        <v>35</v>
      </c>
      <c r="I253" s="41" t="s">
        <v>49</v>
      </c>
      <c r="K253" s="1" t="str">
        <v>TN01912</v>
      </c>
      <c r="L253" s="1" t="str">
        <v xml:space="preserve"> Fred Dudeney</v>
      </c>
      <c r="M253" s="1" t="str">
        <v>Male</v>
      </c>
      <c r="N253" s="1" t="str">
        <v>Services</v>
      </c>
      <c r="O253" s="1">
        <v>88689.09</v>
      </c>
      <c r="P253" s="72" t="str">
        <v>2-Oct-19</v>
      </c>
      <c r="Q253" s="1">
        <v>1</v>
      </c>
      <c r="R253" s="5" t="str">
        <v>Permanent</v>
      </c>
      <c r="S253" s="5" t="str">
        <v>Seattle, USA</v>
      </c>
    </row>
    <row r="254" spans="1:19" x14ac:dyDescent="0.3">
      <c r="A254" s="40" t="s">
        <v>550</v>
      </c>
      <c r="B254" s="8" t="s">
        <v>551</v>
      </c>
      <c r="C254" s="8" t="s">
        <v>47</v>
      </c>
      <c r="D254" s="8" t="s">
        <v>88</v>
      </c>
      <c r="E254" s="17">
        <v>90697.67</v>
      </c>
      <c r="F254" s="18">
        <v>44221</v>
      </c>
      <c r="G254" s="8">
        <v>0.8</v>
      </c>
      <c r="H254" s="8" t="s">
        <v>35</v>
      </c>
      <c r="I254" s="41" t="s">
        <v>136</v>
      </c>
      <c r="K254" s="1" t="str">
        <v>SQ00022</v>
      </c>
      <c r="L254" s="1" t="str">
        <v>Carlin Demke</v>
      </c>
      <c r="M254" s="1" t="str">
        <v>Male</v>
      </c>
      <c r="N254" s="1" t="str">
        <v>Business Development</v>
      </c>
      <c r="O254" s="1">
        <v>110042.37</v>
      </c>
      <c r="P254" s="72">
        <v>43914</v>
      </c>
      <c r="Q254" s="1">
        <v>1</v>
      </c>
      <c r="R254" s="5" t="str">
        <v>Permanent</v>
      </c>
      <c r="S254" s="5" t="str">
        <v>Columbus, USA</v>
      </c>
    </row>
    <row r="255" spans="1:19" x14ac:dyDescent="0.3">
      <c r="A255" s="40" t="s">
        <v>550</v>
      </c>
      <c r="B255" s="8" t="s">
        <v>551</v>
      </c>
      <c r="C255" s="8" t="s">
        <v>47</v>
      </c>
      <c r="D255" s="8" t="s">
        <v>88</v>
      </c>
      <c r="E255" s="17">
        <v>90697.67</v>
      </c>
      <c r="F255" s="18">
        <v>44221</v>
      </c>
      <c r="G255" s="8">
        <v>0.8</v>
      </c>
      <c r="H255" s="8" t="s">
        <v>35</v>
      </c>
      <c r="I255" s="41" t="s">
        <v>136</v>
      </c>
      <c r="K255" s="1" t="str">
        <v>TN00214</v>
      </c>
      <c r="L255" s="1" t="str">
        <v>Hemavati Muthiah</v>
      </c>
      <c r="M255" s="1" t="str">
        <v>Female</v>
      </c>
      <c r="N255" s="1" t="str">
        <v>Training</v>
      </c>
      <c r="O255" s="1">
        <v>37902.35</v>
      </c>
      <c r="P255" s="72" t="str">
        <v>Dec 24, 2019</v>
      </c>
      <c r="Q255" s="1">
        <v>1</v>
      </c>
      <c r="R255" s="5" t="str">
        <v>Permanent</v>
      </c>
      <c r="S255" s="5" t="str">
        <v>Chennai, India</v>
      </c>
    </row>
    <row r="256" spans="1:19" x14ac:dyDescent="0.3">
      <c r="A256" s="40" t="s">
        <v>952</v>
      </c>
      <c r="B256" s="8" t="s">
        <v>953</v>
      </c>
      <c r="C256" s="8" t="s">
        <v>33</v>
      </c>
      <c r="D256" s="8" t="s">
        <v>81</v>
      </c>
      <c r="E256" s="17">
        <v>56253.81</v>
      </c>
      <c r="F256" s="18" t="s">
        <v>954</v>
      </c>
      <c r="G256" s="8">
        <v>1</v>
      </c>
      <c r="H256" s="8" t="s">
        <v>35</v>
      </c>
      <c r="I256" s="41" t="s">
        <v>71</v>
      </c>
      <c r="K256" s="1" t="str">
        <v>TN02798</v>
      </c>
      <c r="L256" s="1" t="str">
        <v>Krittika Gaekwad</v>
      </c>
      <c r="M256" s="1" t="str">
        <v>Female</v>
      </c>
      <c r="N256" s="1" t="str">
        <v>Business Development</v>
      </c>
      <c r="O256" s="1">
        <v>33031.26</v>
      </c>
      <c r="P256" s="72" t="str">
        <v>3-Jan-19</v>
      </c>
      <c r="Q256" s="1">
        <v>0.4</v>
      </c>
      <c r="R256" s="5" t="str">
        <v>Permanent</v>
      </c>
      <c r="S256" s="5" t="str">
        <v>Hyderabad, India</v>
      </c>
    </row>
    <row r="257" spans="1:19" x14ac:dyDescent="0.3">
      <c r="A257" s="40" t="s">
        <v>955</v>
      </c>
      <c r="B257" s="8" t="s">
        <v>956</v>
      </c>
      <c r="C257" s="8" t="s">
        <v>33</v>
      </c>
      <c r="D257" s="8" t="s">
        <v>141</v>
      </c>
      <c r="E257" s="17">
        <v>51798.25</v>
      </c>
      <c r="F257" s="18" t="s">
        <v>581</v>
      </c>
      <c r="G257" s="8">
        <v>1</v>
      </c>
      <c r="H257" s="8" t="s">
        <v>35</v>
      </c>
      <c r="I257" s="41" t="s">
        <v>102</v>
      </c>
      <c r="K257" s="1" t="str">
        <v>SQ02638</v>
      </c>
      <c r="L257" s="1" t="str">
        <v>Cara Havers</v>
      </c>
      <c r="M257" s="1" t="str">
        <v>Male</v>
      </c>
      <c r="N257" s="1" t="str">
        <v>Marketing</v>
      </c>
      <c r="O257" s="1">
        <v>89605.13</v>
      </c>
      <c r="P257" s="72" t="str">
        <v>7-Jun-18</v>
      </c>
      <c r="Q257" s="1">
        <v>1</v>
      </c>
      <c r="R257" s="5" t="str">
        <v>Permanent</v>
      </c>
      <c r="S257" s="5" t="str">
        <v>Seattle, USA</v>
      </c>
    </row>
    <row r="258" spans="1:19" x14ac:dyDescent="0.3">
      <c r="A258" s="40" t="s">
        <v>957</v>
      </c>
      <c r="B258" s="8" t="s">
        <v>958</v>
      </c>
      <c r="C258" s="8" t="s">
        <v>47</v>
      </c>
      <c r="D258" s="8" t="s">
        <v>85</v>
      </c>
      <c r="E258" s="17">
        <v>28329.77</v>
      </c>
      <c r="F258" s="18" t="s">
        <v>731</v>
      </c>
      <c r="G258" s="8">
        <v>1</v>
      </c>
      <c r="H258" s="8" t="s">
        <v>35</v>
      </c>
      <c r="I258" s="41" t="s">
        <v>136</v>
      </c>
      <c r="K258" s="1" t="str">
        <v>VT03704</v>
      </c>
      <c r="L258" s="1" t="str">
        <v>Egor Minto</v>
      </c>
      <c r="M258" s="1">
        <v>0</v>
      </c>
      <c r="N258" s="1" t="str">
        <v>Legal</v>
      </c>
      <c r="O258" s="1">
        <v>63447.07</v>
      </c>
      <c r="P258" s="72" t="str">
        <v>Nov 13, 2020</v>
      </c>
      <c r="Q258" s="1">
        <v>1</v>
      </c>
      <c r="R258" s="5" t="str">
        <v>Temporary</v>
      </c>
      <c r="S258" s="5" t="str">
        <v>Wellington, New Zealand</v>
      </c>
    </row>
    <row r="259" spans="1:19" x14ac:dyDescent="0.3">
      <c r="A259" s="40" t="s">
        <v>959</v>
      </c>
      <c r="B259" s="8" t="s">
        <v>960</v>
      </c>
      <c r="C259" s="8" t="s">
        <v>33</v>
      </c>
      <c r="D259" s="8" t="s">
        <v>81</v>
      </c>
      <c r="E259" s="17">
        <v>93964.3</v>
      </c>
      <c r="F259" s="18">
        <v>44454</v>
      </c>
      <c r="G259" s="8">
        <v>0.4</v>
      </c>
      <c r="H259" s="8" t="s">
        <v>504</v>
      </c>
      <c r="I259" s="41" t="s">
        <v>102</v>
      </c>
      <c r="K259" s="1" t="str">
        <v>TN01256</v>
      </c>
      <c r="L259" s="1" t="str">
        <v>Shattesh Utpat</v>
      </c>
      <c r="M259" s="1" t="str">
        <v>Male</v>
      </c>
      <c r="N259" s="1" t="str">
        <v>Legal</v>
      </c>
      <c r="O259" s="1">
        <v>28481.16</v>
      </c>
      <c r="P259" s="72">
        <v>43916</v>
      </c>
      <c r="Q259" s="1">
        <v>1</v>
      </c>
      <c r="R259" s="5" t="str">
        <v>Permanent</v>
      </c>
      <c r="S259" s="5" t="str">
        <v>Hyderabad, India</v>
      </c>
    </row>
    <row r="260" spans="1:19" x14ac:dyDescent="0.3">
      <c r="A260" s="40" t="s">
        <v>961</v>
      </c>
      <c r="B260" s="8" t="s">
        <v>962</v>
      </c>
      <c r="C260" s="8" t="s">
        <v>47</v>
      </c>
      <c r="D260" s="8" t="s">
        <v>57</v>
      </c>
      <c r="E260" s="17">
        <v>90884.32</v>
      </c>
      <c r="F260" s="18">
        <v>44039</v>
      </c>
      <c r="G260" s="8">
        <v>0.5</v>
      </c>
      <c r="H260" s="8" t="s">
        <v>35</v>
      </c>
      <c r="I260" s="41" t="s">
        <v>58</v>
      </c>
      <c r="K260" s="1" t="str">
        <v>TN04660</v>
      </c>
      <c r="L260" s="1" t="str">
        <v>Thedrick Bothwell</v>
      </c>
      <c r="M260" s="1" t="str">
        <v>Male</v>
      </c>
      <c r="N260" s="1" t="str">
        <v>Business Development</v>
      </c>
      <c r="O260" s="1">
        <v>69764.100000000006</v>
      </c>
      <c r="P260" s="72">
        <v>44195</v>
      </c>
      <c r="Q260" s="1">
        <v>1</v>
      </c>
      <c r="R260" s="5" t="str">
        <v>Fixed Term</v>
      </c>
      <c r="S260" s="5" t="str">
        <v>Seattle, USA</v>
      </c>
    </row>
    <row r="261" spans="1:19" x14ac:dyDescent="0.3">
      <c r="A261" s="40" t="s">
        <v>77</v>
      </c>
      <c r="B261" s="8" t="s">
        <v>78</v>
      </c>
      <c r="C261" s="8" t="s">
        <v>47</v>
      </c>
      <c r="D261" s="8" t="s">
        <v>48</v>
      </c>
      <c r="E261" s="17">
        <v>84742.86</v>
      </c>
      <c r="F261" s="18" t="s">
        <v>963</v>
      </c>
      <c r="G261" s="8">
        <v>1</v>
      </c>
      <c r="H261" s="8" t="s">
        <v>35</v>
      </c>
      <c r="I261" s="41" t="s">
        <v>71</v>
      </c>
      <c r="K261" s="1" t="str">
        <v>VT00596</v>
      </c>
      <c r="L261" s="1" t="str">
        <v>Letisha Carrett</v>
      </c>
      <c r="M261" s="1" t="str">
        <v>Female</v>
      </c>
      <c r="N261" s="1" t="str">
        <v>Sales</v>
      </c>
      <c r="O261" s="1">
        <v>84598.88</v>
      </c>
      <c r="P261" s="72" t="str">
        <v>12-Oct-20</v>
      </c>
      <c r="Q261" s="1">
        <v>1</v>
      </c>
      <c r="R261" s="5" t="str">
        <v>Fixed Term</v>
      </c>
      <c r="S261" s="5" t="str">
        <v>Seattle, USA</v>
      </c>
    </row>
    <row r="262" spans="1:19" x14ac:dyDescent="0.3">
      <c r="A262" s="40" t="s">
        <v>964</v>
      </c>
      <c r="B262" s="8" t="s">
        <v>965</v>
      </c>
      <c r="C262" s="8" t="s">
        <v>47</v>
      </c>
      <c r="D262" s="8" t="s">
        <v>42</v>
      </c>
      <c r="E262" s="17">
        <v>80772.92</v>
      </c>
      <c r="F262" s="18" t="s">
        <v>966</v>
      </c>
      <c r="G262" s="8">
        <v>1</v>
      </c>
      <c r="H262" s="8" t="s">
        <v>525</v>
      </c>
      <c r="I262" s="41" t="s">
        <v>36</v>
      </c>
      <c r="K262" s="1" t="str">
        <v>VT03552</v>
      </c>
      <c r="L262" s="1" t="str">
        <v>Kamalakshi Mukundan</v>
      </c>
      <c r="M262" s="1" t="str">
        <v>Male</v>
      </c>
      <c r="N262" s="1" t="str">
        <v>Engineering</v>
      </c>
      <c r="O262" s="1">
        <v>36536.26</v>
      </c>
      <c r="P262" s="72" t="str">
        <v>Jun 11, 2021</v>
      </c>
      <c r="Q262" s="1">
        <v>1</v>
      </c>
      <c r="R262" s="5" t="str">
        <v>Temporary</v>
      </c>
      <c r="S262" s="5" t="str">
        <v>Hyderabad, India</v>
      </c>
    </row>
    <row r="263" spans="1:19" x14ac:dyDescent="0.3">
      <c r="A263" s="40" t="s">
        <v>967</v>
      </c>
      <c r="B263" s="8" t="s">
        <v>968</v>
      </c>
      <c r="C263" s="8" t="s">
        <v>33</v>
      </c>
      <c r="D263" s="8" t="s">
        <v>85</v>
      </c>
      <c r="E263" s="17">
        <v>85264.38</v>
      </c>
      <c r="F263" s="18" t="s">
        <v>969</v>
      </c>
      <c r="G263" s="8">
        <v>1</v>
      </c>
      <c r="H263" s="8" t="s">
        <v>35</v>
      </c>
      <c r="I263" s="41" t="s">
        <v>49</v>
      </c>
      <c r="K263" s="1" t="str">
        <v>TN00083</v>
      </c>
      <c r="L263" s="1" t="str">
        <v>Chandana Sannidhi Surnilla</v>
      </c>
      <c r="M263" s="1" t="str">
        <v>Female</v>
      </c>
      <c r="N263" s="1" t="str">
        <v>Business Development</v>
      </c>
      <c r="O263" s="1">
        <v>61688.77</v>
      </c>
      <c r="P263" s="72" t="str">
        <v>3-Sep-18</v>
      </c>
      <c r="Q263" s="1">
        <v>0.9</v>
      </c>
      <c r="R263" s="5" t="str">
        <v>Permanent</v>
      </c>
      <c r="S263" s="5" t="str">
        <v>Chennai, India</v>
      </c>
    </row>
    <row r="264" spans="1:19" x14ac:dyDescent="0.3">
      <c r="A264" s="40" t="s">
        <v>970</v>
      </c>
      <c r="B264" s="8" t="s">
        <v>971</v>
      </c>
      <c r="C264" s="8" t="s">
        <v>47</v>
      </c>
      <c r="D264" s="8" t="s">
        <v>85</v>
      </c>
      <c r="E264" s="17"/>
      <c r="F264" s="18" t="s">
        <v>636</v>
      </c>
      <c r="G264" s="8">
        <v>1</v>
      </c>
      <c r="H264" s="8" t="s">
        <v>35</v>
      </c>
      <c r="I264" s="41" t="s">
        <v>58</v>
      </c>
      <c r="K264" s="1" t="str">
        <v>TN01389</v>
      </c>
      <c r="L264" s="1" t="str">
        <v>Shantee  D'Antonio</v>
      </c>
      <c r="M264" s="1" t="str">
        <v>Female</v>
      </c>
      <c r="N264" s="1" t="str">
        <v>Product Management</v>
      </c>
      <c r="O264" s="1">
        <v>0</v>
      </c>
      <c r="P264" s="72" t="str">
        <v>21-Dec-20</v>
      </c>
      <c r="Q264" s="1">
        <v>1</v>
      </c>
      <c r="R264" s="5" t="str">
        <v>Permanent</v>
      </c>
      <c r="S264" s="5" t="str">
        <v>Seattle, USA</v>
      </c>
    </row>
    <row r="265" spans="1:19" x14ac:dyDescent="0.3">
      <c r="A265" s="40" t="s">
        <v>637</v>
      </c>
      <c r="B265" s="8" t="s">
        <v>638</v>
      </c>
      <c r="C265" s="8" t="s">
        <v>47</v>
      </c>
      <c r="D265" s="8" t="s">
        <v>88</v>
      </c>
      <c r="E265" s="17">
        <v>113747.56</v>
      </c>
      <c r="F265" s="18" t="s">
        <v>639</v>
      </c>
      <c r="G265" s="8">
        <v>0.7</v>
      </c>
      <c r="H265" s="8" t="s">
        <v>525</v>
      </c>
      <c r="I265" s="41" t="s">
        <v>58</v>
      </c>
      <c r="K265" s="1" t="str">
        <v>SQ02643</v>
      </c>
      <c r="L265" s="1" t="str">
        <v>Indu Varada Sumedh</v>
      </c>
      <c r="M265" s="1" t="str">
        <v>Female</v>
      </c>
      <c r="N265" s="1" t="str">
        <v>Engineering</v>
      </c>
      <c r="O265" s="1">
        <v>88425.08</v>
      </c>
      <c r="P265" s="72" t="str">
        <v>Jul 16, 2019</v>
      </c>
      <c r="Q265" s="1">
        <v>1</v>
      </c>
      <c r="R265" s="5" t="str">
        <v>Permanent</v>
      </c>
      <c r="S265" s="5" t="str">
        <v>Hyderabad, India</v>
      </c>
    </row>
    <row r="266" spans="1:19" x14ac:dyDescent="0.3">
      <c r="A266" s="40" t="s">
        <v>51</v>
      </c>
      <c r="B266" s="8" t="s">
        <v>52</v>
      </c>
      <c r="C266" s="8" t="s">
        <v>33</v>
      </c>
      <c r="D266" s="8" t="s">
        <v>53</v>
      </c>
      <c r="E266" s="17">
        <v>78378.2</v>
      </c>
      <c r="F266" s="18">
        <v>43465</v>
      </c>
      <c r="G266" s="8">
        <v>0.4</v>
      </c>
      <c r="H266" s="8" t="s">
        <v>35</v>
      </c>
      <c r="I266" s="41" t="s">
        <v>36</v>
      </c>
      <c r="K266" s="1" t="str">
        <v>SQ00914</v>
      </c>
      <c r="L266" s="1" t="str">
        <v>Karuna Pashupathy</v>
      </c>
      <c r="M266" s="1" t="str">
        <v>Female</v>
      </c>
      <c r="N266" s="1" t="str">
        <v>Product Management</v>
      </c>
      <c r="O266" s="1">
        <v>38438.239999999998</v>
      </c>
      <c r="P266" s="72" t="str">
        <v>May 11, 2020</v>
      </c>
      <c r="Q266" s="1">
        <v>1</v>
      </c>
      <c r="R266" s="5" t="str">
        <v>Permanent</v>
      </c>
      <c r="S266" s="5" t="str">
        <v>Chennai, India</v>
      </c>
    </row>
    <row r="267" spans="1:19" x14ac:dyDescent="0.3">
      <c r="A267" s="40" t="s">
        <v>972</v>
      </c>
      <c r="B267" s="8" t="s">
        <v>973</v>
      </c>
      <c r="C267" s="8" t="s">
        <v>47</v>
      </c>
      <c r="D267" s="8" t="s">
        <v>42</v>
      </c>
      <c r="E267" s="17">
        <v>91314.75</v>
      </c>
      <c r="F267" s="18">
        <v>43931</v>
      </c>
      <c r="G267" s="8">
        <v>1</v>
      </c>
      <c r="H267" s="8" t="s">
        <v>504</v>
      </c>
      <c r="I267" s="41" t="s">
        <v>136</v>
      </c>
      <c r="K267" s="1" t="str">
        <v>TN02674</v>
      </c>
      <c r="L267" s="1" t="str">
        <v>Antonetta  Coggeshall</v>
      </c>
      <c r="M267" s="1" t="str">
        <v>Male</v>
      </c>
      <c r="N267" s="1" t="str">
        <v>Sales</v>
      </c>
      <c r="O267" s="1">
        <v>96753.78</v>
      </c>
      <c r="P267" s="72">
        <v>44494</v>
      </c>
      <c r="Q267" s="1">
        <v>1</v>
      </c>
      <c r="R267" s="5" t="str">
        <v>Permanent</v>
      </c>
      <c r="S267" s="5" t="str">
        <v>Auckland, New Zealand</v>
      </c>
    </row>
    <row r="268" spans="1:19" x14ac:dyDescent="0.3">
      <c r="A268" s="40" t="s">
        <v>86</v>
      </c>
      <c r="B268" s="8" t="s">
        <v>89</v>
      </c>
      <c r="C268" s="8" t="s">
        <v>47</v>
      </c>
      <c r="D268" s="8" t="s">
        <v>88</v>
      </c>
      <c r="E268" s="17">
        <v>66572.58</v>
      </c>
      <c r="F268" s="18" t="s">
        <v>691</v>
      </c>
      <c r="G268" s="8">
        <v>1</v>
      </c>
      <c r="H268" s="8" t="s">
        <v>35</v>
      </c>
      <c r="I268" s="41" t="s">
        <v>49</v>
      </c>
      <c r="K268" s="1" t="str">
        <v>TN02727</v>
      </c>
      <c r="L268" s="1" t="str">
        <v>Wald Bountiff</v>
      </c>
      <c r="M268" s="1" t="str">
        <v>Female</v>
      </c>
      <c r="N268" s="1" t="str">
        <v>Support</v>
      </c>
      <c r="O268" s="1">
        <v>28974.03</v>
      </c>
      <c r="P268" s="72" t="str">
        <v>25-Sep-19</v>
      </c>
      <c r="Q268" s="1">
        <v>1</v>
      </c>
      <c r="R268" s="5" t="str">
        <v>Permanent</v>
      </c>
      <c r="S268" s="5" t="str">
        <v>Auckland, New Zealand</v>
      </c>
    </row>
    <row r="269" spans="1:19" x14ac:dyDescent="0.3">
      <c r="A269" s="40" t="s">
        <v>974</v>
      </c>
      <c r="B269" s="8" t="s">
        <v>975</v>
      </c>
      <c r="C269" s="8" t="s">
        <v>47</v>
      </c>
      <c r="D269" s="8" t="s">
        <v>34</v>
      </c>
      <c r="E269" s="17">
        <v>30077.45</v>
      </c>
      <c r="F269" s="18">
        <v>43474</v>
      </c>
      <c r="G269" s="8">
        <v>1</v>
      </c>
      <c r="H269" s="8" t="s">
        <v>35</v>
      </c>
      <c r="I269" s="41" t="s">
        <v>82</v>
      </c>
      <c r="K269" s="1" t="str">
        <v>VT01323</v>
      </c>
      <c r="L269" s="1" t="str">
        <v>Mardav Ramaswami</v>
      </c>
      <c r="M269" s="1" t="str">
        <v>Female</v>
      </c>
      <c r="N269" s="1" t="str">
        <v>Business Development</v>
      </c>
      <c r="O269" s="1">
        <v>86233.83</v>
      </c>
      <c r="P269" s="72" t="str">
        <v>29-Aug-19</v>
      </c>
      <c r="Q269" s="1">
        <v>1</v>
      </c>
      <c r="R269" s="5" t="str">
        <v>Fixed Term</v>
      </c>
      <c r="S269" s="5" t="str">
        <v>Chennai, India</v>
      </c>
    </row>
    <row r="270" spans="1:19" x14ac:dyDescent="0.3">
      <c r="A270" s="40" t="s">
        <v>976</v>
      </c>
      <c r="B270" s="8" t="s">
        <v>977</v>
      </c>
      <c r="C270" s="8"/>
      <c r="D270" s="8" t="s">
        <v>99</v>
      </c>
      <c r="E270" s="17">
        <v>98012.63</v>
      </c>
      <c r="F270" s="18">
        <v>43780</v>
      </c>
      <c r="G270" s="8">
        <v>1</v>
      </c>
      <c r="H270" s="8" t="s">
        <v>35</v>
      </c>
      <c r="I270" s="41" t="s">
        <v>36</v>
      </c>
      <c r="K270" s="1" t="str">
        <v>SQ03350</v>
      </c>
      <c r="L270" s="1" t="str">
        <v>Felice McMurty</v>
      </c>
      <c r="M270" s="1" t="str">
        <v>Female</v>
      </c>
      <c r="N270" s="1" t="str">
        <v>Product Management</v>
      </c>
      <c r="O270" s="1">
        <v>66865.490000000005</v>
      </c>
      <c r="P270" s="72" t="str">
        <v>18-Feb-19</v>
      </c>
      <c r="Q270" s="1">
        <v>1</v>
      </c>
      <c r="R270" s="5" t="str">
        <v>Permanent</v>
      </c>
      <c r="S270" s="5" t="str">
        <v>Seattle, USA</v>
      </c>
    </row>
    <row r="271" spans="1:19" x14ac:dyDescent="0.3">
      <c r="A271" s="40" t="s">
        <v>83</v>
      </c>
      <c r="B271" s="8" t="s">
        <v>84</v>
      </c>
      <c r="C271" s="8" t="s">
        <v>47</v>
      </c>
      <c r="D271" s="8" t="s">
        <v>85</v>
      </c>
      <c r="E271" s="17">
        <v>72876.91</v>
      </c>
      <c r="F271" s="18">
        <v>43837</v>
      </c>
      <c r="G271" s="8">
        <v>1</v>
      </c>
      <c r="H271" s="8" t="s">
        <v>35</v>
      </c>
      <c r="I271" s="41" t="s">
        <v>36</v>
      </c>
      <c r="K271" s="1" t="str">
        <v>PR03886</v>
      </c>
      <c r="L271" s="1" t="str">
        <v>Edd  MacKnockiter</v>
      </c>
      <c r="M271" s="1" t="str">
        <v>Male</v>
      </c>
      <c r="N271" s="1" t="str">
        <v>Accounting</v>
      </c>
      <c r="O271" s="1">
        <v>119022.49</v>
      </c>
      <c r="P271" s="72">
        <v>44431</v>
      </c>
      <c r="Q271" s="1">
        <v>1</v>
      </c>
      <c r="R271" s="5" t="str">
        <v>Permanent</v>
      </c>
      <c r="S271" s="5" t="str">
        <v>Auckland, New Zealand</v>
      </c>
    </row>
    <row r="272" spans="1:19" x14ac:dyDescent="0.3">
      <c r="A272" s="40" t="s">
        <v>978</v>
      </c>
      <c r="B272" s="8" t="s">
        <v>979</v>
      </c>
      <c r="C272" s="8" t="s">
        <v>47</v>
      </c>
      <c r="D272" s="8" t="s">
        <v>53</v>
      </c>
      <c r="E272" s="17">
        <v>92943.89</v>
      </c>
      <c r="F272" s="18">
        <v>44510</v>
      </c>
      <c r="G272" s="8">
        <v>1</v>
      </c>
      <c r="H272" s="8" t="s">
        <v>35</v>
      </c>
      <c r="I272" s="41" t="s">
        <v>102</v>
      </c>
      <c r="K272" s="1" t="str">
        <v>PR00746</v>
      </c>
      <c r="L272" s="1" t="str">
        <v>Hogan Iles</v>
      </c>
      <c r="M272" s="1" t="str">
        <v>Female</v>
      </c>
      <c r="N272" s="1" t="str">
        <v>Accounting</v>
      </c>
      <c r="O272" s="1">
        <v>114177.23</v>
      </c>
      <c r="P272" s="72" t="str">
        <v>18-Mar-20</v>
      </c>
      <c r="Q272" s="1">
        <v>1</v>
      </c>
      <c r="R272" s="5" t="str">
        <v>Permanent</v>
      </c>
      <c r="S272" s="5" t="str">
        <v>Wellington, New Zealand</v>
      </c>
    </row>
    <row r="273" spans="1:19" x14ac:dyDescent="0.3">
      <c r="A273" s="40" t="s">
        <v>980</v>
      </c>
      <c r="B273" s="8" t="s">
        <v>981</v>
      </c>
      <c r="C273" s="8" t="s">
        <v>33</v>
      </c>
      <c r="D273" s="8" t="s">
        <v>85</v>
      </c>
      <c r="E273" s="17">
        <v>29808.07</v>
      </c>
      <c r="F273" s="18" t="s">
        <v>982</v>
      </c>
      <c r="G273" s="8">
        <v>0.3</v>
      </c>
      <c r="H273" s="8" t="s">
        <v>525</v>
      </c>
      <c r="I273" s="41" t="s">
        <v>102</v>
      </c>
      <c r="K273" s="1" t="str">
        <v>SQ03387</v>
      </c>
      <c r="L273" s="1" t="str">
        <v>Robinia Scholling</v>
      </c>
      <c r="M273" s="1" t="str">
        <v>Female</v>
      </c>
      <c r="N273" s="1" t="str">
        <v>Human Resources</v>
      </c>
      <c r="O273" s="1">
        <v>100731.95</v>
      </c>
      <c r="P273" s="72" t="str">
        <v>Apr 15, 2020</v>
      </c>
      <c r="Q273" s="1">
        <v>1</v>
      </c>
      <c r="R273" s="5" t="str">
        <v>Permanent</v>
      </c>
      <c r="S273" s="5" t="str">
        <v>Auckland, New Zealand</v>
      </c>
    </row>
    <row r="274" spans="1:19" x14ac:dyDescent="0.3">
      <c r="A274" s="40" t="s">
        <v>173</v>
      </c>
      <c r="B274" s="8" t="s">
        <v>174</v>
      </c>
      <c r="C274" s="8" t="s">
        <v>33</v>
      </c>
      <c r="D274" s="8" t="s">
        <v>42</v>
      </c>
      <c r="E274" s="17">
        <v>47551.89</v>
      </c>
      <c r="F274" s="18">
        <v>43468</v>
      </c>
      <c r="G274" s="8">
        <v>1</v>
      </c>
      <c r="H274" s="8" t="s">
        <v>35</v>
      </c>
      <c r="I274" s="41" t="s">
        <v>71</v>
      </c>
      <c r="K274" s="1" t="str">
        <v>SQ02703</v>
      </c>
      <c r="L274" s="1" t="str">
        <v>Deepit Ranjana</v>
      </c>
      <c r="M274" s="1" t="str">
        <v>Female</v>
      </c>
      <c r="N274" s="1" t="str">
        <v>Marketing</v>
      </c>
      <c r="O274" s="1">
        <v>104903.79</v>
      </c>
      <c r="P274" s="72" t="str">
        <v>3-Jul-19</v>
      </c>
      <c r="Q274" s="1">
        <v>1</v>
      </c>
      <c r="R274" s="5" t="str">
        <v>Permanent</v>
      </c>
      <c r="S274" s="5" t="str">
        <v>Chennai, India</v>
      </c>
    </row>
    <row r="275" spans="1:19" x14ac:dyDescent="0.3">
      <c r="A275" s="40" t="s">
        <v>608</v>
      </c>
      <c r="B275" s="8" t="s">
        <v>983</v>
      </c>
      <c r="C275" s="8" t="s">
        <v>33</v>
      </c>
      <c r="D275" s="8" t="s">
        <v>76</v>
      </c>
      <c r="E275" s="17">
        <v>39700.82</v>
      </c>
      <c r="F275" s="18">
        <v>44203</v>
      </c>
      <c r="G275" s="8">
        <v>0.8</v>
      </c>
      <c r="H275" s="8" t="s">
        <v>35</v>
      </c>
      <c r="I275" s="41" t="s">
        <v>49</v>
      </c>
      <c r="K275" s="1" t="str">
        <v>VT04373</v>
      </c>
      <c r="L275" s="1" t="str">
        <v>Edi  Hofton</v>
      </c>
      <c r="M275" s="1" t="str">
        <v>Male</v>
      </c>
      <c r="N275" s="1" t="str">
        <v>Research and Development</v>
      </c>
      <c r="O275" s="1">
        <v>28160.79</v>
      </c>
      <c r="P275" s="72" t="str">
        <v>29-Jan-18</v>
      </c>
      <c r="Q275" s="1">
        <v>1</v>
      </c>
      <c r="R275" s="5" t="str">
        <v>Temporary</v>
      </c>
      <c r="S275" s="5" t="str">
        <v>Remote</v>
      </c>
    </row>
    <row r="276" spans="1:19" x14ac:dyDescent="0.3">
      <c r="A276" s="40" t="s">
        <v>984</v>
      </c>
      <c r="B276" s="8" t="s">
        <v>985</v>
      </c>
      <c r="C276" s="8" t="s">
        <v>33</v>
      </c>
      <c r="D276" s="8" t="s">
        <v>88</v>
      </c>
      <c r="E276" s="17">
        <v>31089.22</v>
      </c>
      <c r="F276" s="18">
        <v>43776</v>
      </c>
      <c r="G276" s="8">
        <v>1</v>
      </c>
      <c r="H276" s="8" t="s">
        <v>504</v>
      </c>
      <c r="I276" s="41" t="s">
        <v>49</v>
      </c>
      <c r="K276" s="1" t="str">
        <v>SQ01395</v>
      </c>
      <c r="L276" s="1" t="str">
        <v>Dennison Crosswaite</v>
      </c>
      <c r="M276" s="1" t="str">
        <v>Male</v>
      </c>
      <c r="N276" s="1" t="str">
        <v>Legal</v>
      </c>
      <c r="O276" s="1">
        <v>90697.67</v>
      </c>
      <c r="P276" s="72">
        <v>44221</v>
      </c>
      <c r="Q276" s="1">
        <v>0.8</v>
      </c>
      <c r="R276" s="5" t="str">
        <v>Permanent</v>
      </c>
      <c r="S276" s="5" t="str">
        <v>Seattle, USA</v>
      </c>
    </row>
    <row r="277" spans="1:19" x14ac:dyDescent="0.3">
      <c r="A277" s="42" t="s">
        <v>986</v>
      </c>
      <c r="B277" s="43" t="s">
        <v>987</v>
      </c>
      <c r="C277" s="43" t="s">
        <v>33</v>
      </c>
      <c r="D277" s="43" t="s">
        <v>42</v>
      </c>
      <c r="E277" s="61">
        <v>78020.39</v>
      </c>
      <c r="F277" s="18">
        <v>43899</v>
      </c>
      <c r="G277" s="43">
        <v>1</v>
      </c>
      <c r="H277" s="43" t="s">
        <v>35</v>
      </c>
      <c r="I277" s="47" t="s">
        <v>36</v>
      </c>
      <c r="K277" s="1" t="str">
        <v>VT04467</v>
      </c>
      <c r="L277" s="1" t="str">
        <v>Amal Nimesh</v>
      </c>
      <c r="M277" s="1" t="str">
        <v>Female</v>
      </c>
      <c r="N277" s="1" t="str">
        <v>Marketing</v>
      </c>
      <c r="O277" s="1">
        <v>70755.5</v>
      </c>
      <c r="P277" s="72" t="str">
        <v>16-Sep-20</v>
      </c>
      <c r="Q277" s="1">
        <v>0.8</v>
      </c>
      <c r="R277" s="5" t="str">
        <v>Temporary</v>
      </c>
      <c r="S277" s="5" t="str">
        <v>Hyderabad, India</v>
      </c>
    </row>
    <row r="278" spans="1:19" x14ac:dyDescent="0.3">
      <c r="K278" s="1" t="str">
        <v>VT03537</v>
      </c>
      <c r="L278" s="1" t="str">
        <v>Renaldo Thomassin</v>
      </c>
      <c r="M278" s="1" t="str">
        <v>Male</v>
      </c>
      <c r="N278" s="1" t="str">
        <v>Business Development</v>
      </c>
      <c r="O278" s="1">
        <v>73360.38</v>
      </c>
      <c r="P278" s="72">
        <v>43972</v>
      </c>
      <c r="Q278" s="1">
        <v>1</v>
      </c>
      <c r="R278" s="5" t="str">
        <v>Temporary</v>
      </c>
      <c r="S278" s="5" t="str">
        <v>Remote</v>
      </c>
    </row>
    <row r="279" spans="1:19" x14ac:dyDescent="0.3">
      <c r="K279" s="1" t="str">
        <v>SQ01395</v>
      </c>
      <c r="L279" s="1" t="str">
        <v>Dennison Crosswaite</v>
      </c>
      <c r="M279" s="1" t="str">
        <v>Male</v>
      </c>
      <c r="N279" s="1" t="str">
        <v>Legal</v>
      </c>
      <c r="O279" s="1">
        <v>90697.67</v>
      </c>
      <c r="P279" s="72">
        <v>44221</v>
      </c>
      <c r="Q279" s="1">
        <v>0.8</v>
      </c>
      <c r="R279" s="5" t="str">
        <v>Permanent</v>
      </c>
      <c r="S279" s="5" t="str">
        <v>Seattle, USA</v>
      </c>
    </row>
    <row r="280" spans="1:19" x14ac:dyDescent="0.3">
      <c r="K280" s="1" t="str">
        <v>VT04415</v>
      </c>
      <c r="L280" s="1" t="str">
        <v>Malory Biles</v>
      </c>
      <c r="M280" s="1" t="str">
        <v>Female</v>
      </c>
      <c r="N280" s="1" t="str">
        <v>Training</v>
      </c>
      <c r="O280" s="1">
        <v>58744.17</v>
      </c>
      <c r="P280" s="72" t="str">
        <v>12-Mar-18</v>
      </c>
      <c r="Q280" s="1">
        <v>1</v>
      </c>
      <c r="R280" s="5" t="str">
        <v>Temporary</v>
      </c>
      <c r="S280" s="5" t="str">
        <v>Columbus, USA</v>
      </c>
    </row>
    <row r="281" spans="1:19" x14ac:dyDescent="0.3">
      <c r="K281" s="1" t="str">
        <v>TN04067</v>
      </c>
      <c r="L281" s="1" t="str">
        <v>Lea Chaplin</v>
      </c>
      <c r="M281" s="1" t="str">
        <v>Female</v>
      </c>
      <c r="N281" s="1" t="str">
        <v>Human Resources</v>
      </c>
      <c r="O281" s="1">
        <v>73488.679999999993</v>
      </c>
      <c r="P281" s="72" t="str">
        <v>15-Apr-19</v>
      </c>
      <c r="Q281" s="1">
        <v>1</v>
      </c>
      <c r="R281" s="5" t="str">
        <v>Fixed Term</v>
      </c>
      <c r="S281" s="5" t="str">
        <v>Seattle, USA</v>
      </c>
    </row>
    <row r="282" spans="1:19" x14ac:dyDescent="0.3">
      <c r="K282" s="1" t="str">
        <v>TN04175</v>
      </c>
      <c r="L282" s="1" t="str">
        <v xml:space="preserve">Hinda Label </v>
      </c>
      <c r="M282" s="1" t="str">
        <v>Female</v>
      </c>
      <c r="N282" s="1" t="str">
        <v>Human Resources</v>
      </c>
      <c r="O282" s="1">
        <v>92704.48</v>
      </c>
      <c r="P282" s="72" t="str">
        <v>26-Nov-18</v>
      </c>
      <c r="Q282" s="1">
        <v>1</v>
      </c>
      <c r="R282" s="5" t="str">
        <v>Fixed Term</v>
      </c>
      <c r="S282" s="5" t="str">
        <v>Columbus, USA</v>
      </c>
    </row>
    <row r="283" spans="1:19" x14ac:dyDescent="0.3">
      <c r="K283" s="1" t="str">
        <v>VT00687</v>
      </c>
      <c r="L283" s="1" t="str">
        <v>Godavari Veena</v>
      </c>
      <c r="M283" s="1" t="str">
        <v>Male</v>
      </c>
      <c r="N283" s="1" t="str">
        <v>Engineering</v>
      </c>
      <c r="O283" s="1">
        <v>78443.78</v>
      </c>
      <c r="P283" s="72" t="str">
        <v>May 14, 2019</v>
      </c>
      <c r="Q283" s="1">
        <v>1</v>
      </c>
      <c r="R283" s="5" t="str">
        <v>Fixed Term</v>
      </c>
      <c r="S283" s="5" t="str">
        <v>Hyderabad, India</v>
      </c>
    </row>
    <row r="284" spans="1:19" x14ac:dyDescent="0.3">
      <c r="K284" s="1" t="str">
        <v>PR01269</v>
      </c>
      <c r="L284" s="1" t="str">
        <v>Eleonore Airdrie</v>
      </c>
      <c r="M284" s="1" t="str">
        <v>Female</v>
      </c>
      <c r="N284" s="1" t="str">
        <v>Engineering</v>
      </c>
      <c r="O284" s="1">
        <v>97105.19</v>
      </c>
      <c r="P284" s="72">
        <v>44425</v>
      </c>
      <c r="Q284" s="1">
        <v>1</v>
      </c>
      <c r="R284" s="5" t="str">
        <v>Permanent</v>
      </c>
      <c r="S284" s="5" t="str">
        <v>Columbus, USA</v>
      </c>
    </row>
    <row r="285" spans="1:19" x14ac:dyDescent="0.3">
      <c r="K285" s="1" t="str">
        <v>TN00579</v>
      </c>
      <c r="L285" s="1" t="str">
        <v xml:space="preserve">Rafaelita Blaksland </v>
      </c>
      <c r="M285" s="1" t="str">
        <v>Female</v>
      </c>
      <c r="N285" s="1" t="str">
        <v>Services</v>
      </c>
      <c r="O285" s="1">
        <v>109163.39</v>
      </c>
      <c r="P285" s="72">
        <v>44019</v>
      </c>
      <c r="Q285" s="1">
        <v>0.8</v>
      </c>
      <c r="R285" s="5" t="str">
        <v>Permanent</v>
      </c>
      <c r="S285" s="5" t="str">
        <v>Seattle, USA</v>
      </c>
    </row>
    <row r="286" spans="1:19" x14ac:dyDescent="0.3">
      <c r="K286" s="1" t="str">
        <v>TN03097</v>
      </c>
      <c r="L286" s="1" t="str">
        <v>Bendite  Bloan</v>
      </c>
      <c r="M286" s="1" t="str">
        <v>Male</v>
      </c>
      <c r="N286" s="1" t="str">
        <v>Marketing</v>
      </c>
      <c r="O286" s="1">
        <v>31816.57</v>
      </c>
      <c r="P286" s="72" t="str">
        <v>1-Feb-19</v>
      </c>
      <c r="Q286" s="1">
        <v>0.3</v>
      </c>
      <c r="R286" s="5" t="str">
        <v>Fixed Term</v>
      </c>
      <c r="S286" s="5" t="str">
        <v>Remote</v>
      </c>
    </row>
    <row r="287" spans="1:19" x14ac:dyDescent="0.3">
      <c r="K287" s="1" t="str">
        <v>SQ01395</v>
      </c>
      <c r="L287" s="1" t="str">
        <v>Dennison Crosswaite</v>
      </c>
      <c r="M287" s="1" t="str">
        <v>Male</v>
      </c>
      <c r="N287" s="1" t="str">
        <v>Legal</v>
      </c>
      <c r="O287" s="1">
        <v>90697.67</v>
      </c>
      <c r="P287" s="72">
        <v>44221</v>
      </c>
      <c r="Q287" s="1">
        <v>0.8</v>
      </c>
      <c r="R287" s="5" t="str">
        <v>Permanent</v>
      </c>
      <c r="S287" s="5" t="str">
        <v>Seattle, USA</v>
      </c>
    </row>
    <row r="288" spans="1:19" x14ac:dyDescent="0.3">
      <c r="K288" s="1" t="str">
        <v>PR02957</v>
      </c>
      <c r="L288" s="1" t="str">
        <v>Vaughn Carvill</v>
      </c>
      <c r="M288" s="1" t="str">
        <v>Female</v>
      </c>
      <c r="N288" s="1" t="str">
        <v>Training</v>
      </c>
      <c r="O288" s="1">
        <v>84745.93</v>
      </c>
      <c r="P288" s="72" t="str">
        <v>30-Aug-19</v>
      </c>
      <c r="Q288" s="1">
        <v>1</v>
      </c>
      <c r="R288" s="5" t="str">
        <v>Permanent</v>
      </c>
      <c r="S288" s="5" t="str">
        <v>Wellington, New Zealand</v>
      </c>
    </row>
    <row r="289" spans="11:19" x14ac:dyDescent="0.3">
      <c r="K289" s="1" t="str">
        <v>VT00596</v>
      </c>
      <c r="L289" s="1" t="str">
        <v>Letisha Carrett</v>
      </c>
      <c r="M289" s="1" t="str">
        <v>Female</v>
      </c>
      <c r="N289" s="1" t="str">
        <v>Sales</v>
      </c>
      <c r="O289" s="1">
        <v>84598.88</v>
      </c>
      <c r="P289" s="72" t="str">
        <v>12-Oct-20</v>
      </c>
      <c r="Q289" s="1">
        <v>1</v>
      </c>
      <c r="R289" s="5" t="str">
        <v>Fixed Term</v>
      </c>
      <c r="S289" s="5" t="str">
        <v>Seattle, USA</v>
      </c>
    </row>
    <row r="290" spans="11:19" x14ac:dyDescent="0.3">
      <c r="K290" s="1" t="str">
        <v>TN01601</v>
      </c>
      <c r="L290" s="1" t="str">
        <v>Melva  Jickells</v>
      </c>
      <c r="M290" s="1" t="str">
        <v>Female</v>
      </c>
      <c r="N290" s="1" t="str">
        <v>Product Management</v>
      </c>
      <c r="O290" s="1">
        <v>68795.48</v>
      </c>
      <c r="P290" s="72">
        <v>44277</v>
      </c>
      <c r="Q290" s="1">
        <v>0.2</v>
      </c>
      <c r="R290" s="5" t="str">
        <v>Permanent</v>
      </c>
      <c r="S290" s="5" t="str">
        <v>Remote</v>
      </c>
    </row>
    <row r="291" spans="11:19" x14ac:dyDescent="0.3">
      <c r="K291" s="1" t="str">
        <v>SQ01730</v>
      </c>
      <c r="L291" s="1" t="str">
        <v>Austine Littlewood</v>
      </c>
      <c r="M291" s="1" t="str">
        <v>Female</v>
      </c>
      <c r="N291" s="1" t="str">
        <v>Services</v>
      </c>
      <c r="O291" s="1">
        <v>32269.91</v>
      </c>
      <c r="P291" s="72" t="str">
        <v>3-Sep-18</v>
      </c>
      <c r="Q291" s="1">
        <v>1</v>
      </c>
      <c r="R291" s="5" t="str">
        <v>Permanent</v>
      </c>
      <c r="S291" s="5" t="str">
        <v>Remote</v>
      </c>
    </row>
    <row r="292" spans="11:19" x14ac:dyDescent="0.3">
      <c r="K292" s="1" t="str">
        <v>TN03355</v>
      </c>
      <c r="L292" s="1" t="str">
        <v>Ruby Cracie</v>
      </c>
      <c r="M292" s="1" t="str">
        <v>Male</v>
      </c>
      <c r="N292" s="1" t="str">
        <v>Research and Development</v>
      </c>
      <c r="O292" s="1">
        <v>78705.929999999993</v>
      </c>
      <c r="P292" s="72" t="str">
        <v>5-Nov-18</v>
      </c>
      <c r="Q292" s="1">
        <v>1</v>
      </c>
      <c r="R292" s="5" t="str">
        <v>Fixed Term</v>
      </c>
      <c r="S292" s="5" t="str">
        <v>Seattle, USA</v>
      </c>
    </row>
    <row r="293" spans="11:19" x14ac:dyDescent="0.3">
      <c r="K293" s="1" t="str">
        <v>VT01246</v>
      </c>
      <c r="L293" s="1" t="str">
        <v>Zach Polon</v>
      </c>
      <c r="M293" s="1" t="str">
        <v>Male</v>
      </c>
      <c r="N293" s="1" t="str">
        <v>Marketing</v>
      </c>
      <c r="O293" s="1">
        <v>53535.62</v>
      </c>
      <c r="P293" s="72" t="str">
        <v>Oct 6, 2020</v>
      </c>
      <c r="Q293" s="1">
        <v>0.5</v>
      </c>
      <c r="R293" s="5" t="str">
        <v>Fixed Term</v>
      </c>
      <c r="S293" s="5" t="str">
        <v>Seattle, USA</v>
      </c>
    </row>
    <row r="294" spans="11:19" x14ac:dyDescent="0.3">
      <c r="K294" s="1" t="str">
        <v>TN04166</v>
      </c>
      <c r="L294" s="1" t="str">
        <v>Tadio  Dowdle</v>
      </c>
      <c r="M294" s="1" t="str">
        <v>Female</v>
      </c>
      <c r="N294" s="1" t="str">
        <v>Product Management</v>
      </c>
      <c r="O294" s="1">
        <v>91929.69</v>
      </c>
      <c r="P294" s="72">
        <v>44085</v>
      </c>
      <c r="Q294" s="1">
        <v>1</v>
      </c>
      <c r="R294" s="5" t="str">
        <v>Fixed Term</v>
      </c>
      <c r="S294" s="5" t="str">
        <v>Remote</v>
      </c>
    </row>
    <row r="295" spans="11:19" x14ac:dyDescent="0.3">
      <c r="K295" s="1" t="str">
        <v>TN01701</v>
      </c>
      <c r="L295" s="1" t="str">
        <v xml:space="preserve"> Yves Pawlik</v>
      </c>
      <c r="M295" s="1" t="str">
        <v>Male</v>
      </c>
      <c r="N295" s="1" t="str">
        <v>Accounting</v>
      </c>
      <c r="O295" s="1">
        <v>57925.91</v>
      </c>
      <c r="P295" s="72" t="str">
        <v>17-Apr-19</v>
      </c>
      <c r="Q295" s="1">
        <v>0.5</v>
      </c>
      <c r="R295" s="5" t="str">
        <v>Permanent</v>
      </c>
      <c r="S295" s="5" t="str">
        <v>Wellington, New Zealand</v>
      </c>
    </row>
    <row r="296" spans="11:19" x14ac:dyDescent="0.3">
      <c r="K296" s="1" t="str">
        <v>VT03298</v>
      </c>
      <c r="L296" s="1" t="str">
        <v>Nonah Bissell</v>
      </c>
      <c r="M296" s="1" t="str">
        <v>Male</v>
      </c>
      <c r="N296" s="1" t="str">
        <v>Engineering</v>
      </c>
      <c r="O296" s="1">
        <v>82239.53</v>
      </c>
      <c r="P296" s="72">
        <v>43846</v>
      </c>
      <c r="Q296" s="1">
        <v>1</v>
      </c>
      <c r="R296" s="5" t="str">
        <v>Temporary</v>
      </c>
      <c r="S296" s="5" t="str">
        <v>Columbus, USA</v>
      </c>
    </row>
    <row r="297" spans="11:19" x14ac:dyDescent="0.3">
      <c r="K297" s="1" t="str">
        <v>TN04892</v>
      </c>
      <c r="L297" s="1" t="str">
        <v>Luca Wolstenholme</v>
      </c>
      <c r="M297" s="1" t="str">
        <v>Male</v>
      </c>
      <c r="N297" s="1" t="str">
        <v>Engineering</v>
      </c>
      <c r="O297" s="1">
        <v>53184.02</v>
      </c>
      <c r="P297" s="72" t="str">
        <v>21-Mar-18</v>
      </c>
      <c r="Q297" s="1">
        <v>1</v>
      </c>
      <c r="R297" s="5" t="str">
        <v>Fixed Term</v>
      </c>
      <c r="S297" s="5" t="str">
        <v>Remote</v>
      </c>
    </row>
    <row r="298" spans="11:19" x14ac:dyDescent="0.3">
      <c r="K298" s="1" t="str">
        <v>PR00770</v>
      </c>
      <c r="L298" s="1" t="str">
        <v>Beryl Burnsyde</v>
      </c>
      <c r="M298" s="1" t="str">
        <v>Male</v>
      </c>
      <c r="N298" s="1" t="str">
        <v>Legal</v>
      </c>
      <c r="O298" s="1">
        <v>29774.76</v>
      </c>
      <c r="P298" s="72" t="str">
        <v>1-Oct-20</v>
      </c>
      <c r="Q298" s="1">
        <v>1</v>
      </c>
      <c r="R298" s="5" t="str">
        <v>Permanent</v>
      </c>
      <c r="S298" s="5" t="str">
        <v>Wellington, New Zealand</v>
      </c>
    </row>
    <row r="299" spans="11:19" x14ac:dyDescent="0.3">
      <c r="K299" s="1" t="str">
        <v>VT01762</v>
      </c>
      <c r="L299" s="1" t="str">
        <v>Geena Raghavanpillai</v>
      </c>
      <c r="M299" s="1" t="str">
        <v>Male</v>
      </c>
      <c r="N299" s="1" t="str">
        <v>Accounting</v>
      </c>
      <c r="O299" s="1">
        <v>102515.81</v>
      </c>
      <c r="P299" s="72">
        <v>43902</v>
      </c>
      <c r="Q299" s="1">
        <v>1</v>
      </c>
      <c r="R299" s="5" t="str">
        <v>Fixed Term</v>
      </c>
      <c r="S299" s="5" t="str">
        <v>Chennai, India</v>
      </c>
    </row>
    <row r="300" spans="11:19" x14ac:dyDescent="0.3">
      <c r="K300" s="1" t="str">
        <v>TN04428</v>
      </c>
      <c r="L300" s="1" t="str">
        <v>Tadio Audritt</v>
      </c>
      <c r="M300" s="1">
        <v>0</v>
      </c>
      <c r="N300" s="1" t="str">
        <v>Human Resources</v>
      </c>
      <c r="O300" s="1">
        <v>99448.78</v>
      </c>
      <c r="P300" s="72" t="str">
        <v>8-Jan-19</v>
      </c>
      <c r="Q300" s="1">
        <v>1</v>
      </c>
      <c r="R300" s="5" t="str">
        <v>Fixed Term</v>
      </c>
      <c r="S300" s="5" t="str">
        <v>Wellington, New Zealand</v>
      </c>
    </row>
    <row r="301" spans="11:19" x14ac:dyDescent="0.3">
      <c r="K301" s="1" t="str">
        <v>TN01601</v>
      </c>
      <c r="L301" s="1" t="str">
        <v>Melva  Jickells</v>
      </c>
      <c r="M301" s="1" t="str">
        <v>Female</v>
      </c>
      <c r="N301" s="1" t="str">
        <v>Product Management</v>
      </c>
      <c r="O301" s="1">
        <v>68795.48</v>
      </c>
      <c r="P301" s="72">
        <v>44277</v>
      </c>
      <c r="Q301" s="1">
        <v>0.2</v>
      </c>
      <c r="R301" s="5" t="str">
        <v>Permanent</v>
      </c>
      <c r="S301" s="5" t="str">
        <v>Remote</v>
      </c>
    </row>
    <row r="302" spans="11:19" x14ac:dyDescent="0.3">
      <c r="K302" s="1" t="str">
        <v>TN03575</v>
      </c>
      <c r="L302" s="1" t="str">
        <v>Janina Wolverson</v>
      </c>
      <c r="M302" s="1" t="str">
        <v>Female</v>
      </c>
      <c r="N302" s="1" t="str">
        <v>Research and Development</v>
      </c>
      <c r="O302" s="1">
        <v>99683.67</v>
      </c>
      <c r="P302" s="72" t="str">
        <v>4-Feb-19</v>
      </c>
      <c r="Q302" s="1">
        <v>1</v>
      </c>
      <c r="R302" s="5" t="str">
        <v>Fixed Term</v>
      </c>
      <c r="S302" s="5" t="str">
        <v>Seattle, USA</v>
      </c>
    </row>
    <row r="303" spans="11:19" x14ac:dyDescent="0.3">
      <c r="K303" s="1" t="str">
        <v>SQ00187</v>
      </c>
      <c r="L303" s="1" t="str">
        <v>Rupak Mehra</v>
      </c>
      <c r="M303" s="1" t="str">
        <v>Female</v>
      </c>
      <c r="N303" s="1" t="str">
        <v>Services</v>
      </c>
      <c r="O303" s="1">
        <v>71229.42</v>
      </c>
      <c r="P303" s="72">
        <v>44166</v>
      </c>
      <c r="Q303" s="1">
        <v>1</v>
      </c>
      <c r="R303" s="5" t="str">
        <v>Permanent</v>
      </c>
      <c r="S303" s="5" t="str">
        <v>Hyderabad, India</v>
      </c>
    </row>
    <row r="304" spans="11:19" x14ac:dyDescent="0.3">
      <c r="K304" s="1" t="str">
        <v>PR01383</v>
      </c>
      <c r="L304" s="1" t="str">
        <v>Addi Studdeard</v>
      </c>
      <c r="M304" s="1" t="str">
        <v>Female</v>
      </c>
      <c r="N304" s="1" t="str">
        <v>Product Management</v>
      </c>
      <c r="O304" s="1">
        <v>72502.61</v>
      </c>
      <c r="P304" s="72">
        <v>44235</v>
      </c>
      <c r="Q304" s="1">
        <v>1</v>
      </c>
      <c r="R304" s="5" t="str">
        <v>Permanent</v>
      </c>
      <c r="S304" s="5" t="str">
        <v>Wellington, New Zealand</v>
      </c>
    </row>
    <row r="305" spans="11:19" x14ac:dyDescent="0.3">
      <c r="K305" s="1" t="str">
        <v>TN00258</v>
      </c>
      <c r="L305" s="1" t="str">
        <v>Joyce Leyband</v>
      </c>
      <c r="M305" s="1" t="str">
        <v>Female</v>
      </c>
      <c r="N305" s="1" t="str">
        <v>Product Management</v>
      </c>
      <c r="O305" s="1">
        <v>68197.899999999994</v>
      </c>
      <c r="P305" s="72">
        <v>44119</v>
      </c>
      <c r="Q305" s="1">
        <v>1</v>
      </c>
      <c r="R305" s="5" t="str">
        <v>Permanent</v>
      </c>
      <c r="S305" s="5" t="str">
        <v>Auckland, New Zealand</v>
      </c>
    </row>
    <row r="306" spans="11:19" x14ac:dyDescent="0.3">
      <c r="K306" s="1" t="str">
        <v>VT00839</v>
      </c>
      <c r="L306" s="1" t="str">
        <v>Tulley Chiddy</v>
      </c>
      <c r="M306" s="1" t="str">
        <v>Female</v>
      </c>
      <c r="N306" s="1" t="str">
        <v>Accounting</v>
      </c>
      <c r="O306" s="1">
        <v>0</v>
      </c>
      <c r="P306" s="72" t="str">
        <v>5-Feb-19</v>
      </c>
      <c r="Q306" s="1">
        <v>1</v>
      </c>
      <c r="R306" s="5" t="str">
        <v>Fixed Term</v>
      </c>
      <c r="S306" s="5" t="str">
        <v>Columbus, USA</v>
      </c>
    </row>
    <row r="307" spans="11:19" x14ac:dyDescent="0.3">
      <c r="K307" s="1" t="str">
        <v>SQ04934</v>
      </c>
      <c r="L307" s="1" t="str">
        <v>Pedro St. Hill</v>
      </c>
      <c r="M307" s="1" t="str">
        <v>Male</v>
      </c>
      <c r="N307" s="1" t="str">
        <v>Engineering</v>
      </c>
      <c r="O307" s="1">
        <v>0</v>
      </c>
      <c r="P307" s="72">
        <v>44207</v>
      </c>
      <c r="Q307" s="1">
        <v>0.7</v>
      </c>
      <c r="R307" s="5" t="str">
        <v>Permanent</v>
      </c>
      <c r="S307" s="5" t="str">
        <v>Seattle, USA</v>
      </c>
    </row>
    <row r="308" spans="11:19" x14ac:dyDescent="0.3">
      <c r="K308" s="1" t="str">
        <v>TN01256</v>
      </c>
      <c r="L308" s="1" t="str">
        <v>Sawini Chandan</v>
      </c>
      <c r="M308" s="1" t="str">
        <v>Male</v>
      </c>
      <c r="N308" s="1" t="str">
        <v>Legal</v>
      </c>
      <c r="O308" s="1">
        <v>28481.16</v>
      </c>
      <c r="P308" s="72">
        <v>43916</v>
      </c>
      <c r="Q308" s="1">
        <v>1</v>
      </c>
      <c r="R308" s="5" t="str">
        <v>Permanent</v>
      </c>
      <c r="S308" s="5" t="str">
        <v>Hyderabad, India</v>
      </c>
    </row>
    <row r="309" spans="11:19" x14ac:dyDescent="0.3">
      <c r="K309" s="1" t="str">
        <v>VT04093</v>
      </c>
      <c r="L309" s="1" t="str">
        <v>Baruna Ogale</v>
      </c>
      <c r="M309" s="1" t="str">
        <v>Female</v>
      </c>
      <c r="N309" s="1" t="str">
        <v>Training</v>
      </c>
      <c r="O309" s="1">
        <v>116767.63</v>
      </c>
      <c r="P309" s="72">
        <v>43949</v>
      </c>
      <c r="Q309" s="1">
        <v>0.4</v>
      </c>
      <c r="R309" s="5" t="str">
        <v>Temporary</v>
      </c>
      <c r="S309" s="5" t="str">
        <v>Chennai, India</v>
      </c>
    </row>
    <row r="310" spans="11:19" x14ac:dyDescent="0.3">
      <c r="K310" s="1" t="str">
        <v>TN01566</v>
      </c>
      <c r="L310" s="1" t="str">
        <v xml:space="preserve">Fonzie O'Shea </v>
      </c>
      <c r="M310" s="1" t="str">
        <v>Male</v>
      </c>
      <c r="N310" s="1" t="str">
        <v>Product Management</v>
      </c>
      <c r="O310" s="1">
        <v>80360.41</v>
      </c>
      <c r="P310" s="72" t="str">
        <v>2-Dec-20</v>
      </c>
      <c r="Q310" s="1">
        <v>1</v>
      </c>
      <c r="R310" s="5" t="str">
        <v>Permanent</v>
      </c>
      <c r="S310" s="5" t="str">
        <v>Remote</v>
      </c>
    </row>
    <row r="311" spans="11:19" x14ac:dyDescent="0.3">
      <c r="K311" s="1" t="str">
        <v>PR04851</v>
      </c>
      <c r="L311" s="1" t="str">
        <v>Rodina Drinan</v>
      </c>
      <c r="M311" s="1" t="str">
        <v>Female</v>
      </c>
      <c r="N311" s="1" t="str">
        <v>Sales</v>
      </c>
      <c r="O311" s="1">
        <v>77045.440000000002</v>
      </c>
      <c r="P311" s="72" t="str">
        <v>20-Jun-19</v>
      </c>
      <c r="Q311" s="1">
        <v>1</v>
      </c>
      <c r="R311" s="5" t="str">
        <v>Permanent</v>
      </c>
      <c r="S311" s="5" t="str">
        <v>Remote</v>
      </c>
    </row>
    <row r="312" spans="11:19" x14ac:dyDescent="0.3">
      <c r="K312" s="1" t="str">
        <v>PR00007</v>
      </c>
      <c r="L312" s="1" t="str">
        <v>Torrance  Collier</v>
      </c>
      <c r="M312" s="1" t="str">
        <v>Female</v>
      </c>
      <c r="N312" s="1" t="str">
        <v>Training</v>
      </c>
      <c r="O312" s="1">
        <v>96135.75</v>
      </c>
      <c r="P312" s="72" t="str">
        <v>13-Jul-20</v>
      </c>
      <c r="Q312" s="1">
        <v>0.3</v>
      </c>
      <c r="R312" s="5" t="str">
        <v>Permanent</v>
      </c>
      <c r="S312" s="5" t="str">
        <v>Wellington, New Zealand</v>
      </c>
    </row>
    <row r="313" spans="11:19" x14ac:dyDescent="0.3">
      <c r="K313" s="1" t="str">
        <v>SQ03491</v>
      </c>
      <c r="L313" s="1" t="str">
        <v>Freda Legan</v>
      </c>
      <c r="M313" s="1" t="str">
        <v>Female</v>
      </c>
      <c r="N313" s="1" t="str">
        <v>Sales</v>
      </c>
      <c r="O313" s="1">
        <v>102129.37</v>
      </c>
      <c r="P313" s="72" t="str">
        <v>19-Jul-21</v>
      </c>
      <c r="Q313" s="1">
        <v>1</v>
      </c>
      <c r="R313" s="5" t="str">
        <v>Permanent</v>
      </c>
      <c r="S313" s="5" t="str">
        <v>Columbus, USA</v>
      </c>
    </row>
    <row r="314" spans="11:19" x14ac:dyDescent="0.3">
      <c r="K314" s="1" t="str">
        <v>SQ02465</v>
      </c>
      <c r="L314" s="1" t="str">
        <v>Bernie Gorges</v>
      </c>
      <c r="M314" s="1" t="str">
        <v>Female</v>
      </c>
      <c r="N314" s="1" t="str">
        <v>Training</v>
      </c>
      <c r="O314" s="1">
        <v>99965.97</v>
      </c>
      <c r="P314" s="72" t="str">
        <v>2-Feb-18</v>
      </c>
      <c r="Q314" s="1">
        <v>1</v>
      </c>
      <c r="R314" s="5" t="str">
        <v>Permanent</v>
      </c>
      <c r="S314" s="5" t="str">
        <v>Remote</v>
      </c>
    </row>
    <row r="315" spans="11:19" x14ac:dyDescent="0.3">
      <c r="K315" s="1" t="str">
        <v>VT00194</v>
      </c>
      <c r="L315" s="1" t="str">
        <v>Violante Courtonne</v>
      </c>
      <c r="M315" s="1" t="str">
        <v>Female</v>
      </c>
      <c r="N315" s="1" t="str">
        <v>Product Management</v>
      </c>
      <c r="O315" s="1">
        <v>49625.64</v>
      </c>
      <c r="P315" s="72">
        <v>44384</v>
      </c>
      <c r="Q315" s="1">
        <v>0.5</v>
      </c>
      <c r="R315" s="5" t="str">
        <v>Fixed Term</v>
      </c>
      <c r="S315" s="5" t="str">
        <v>Remote</v>
      </c>
    </row>
    <row r="316" spans="11:19" x14ac:dyDescent="0.3">
      <c r="K316" s="1" t="str">
        <v>TN00328</v>
      </c>
      <c r="L316" s="1" t="str">
        <v>Jeannie Petracco</v>
      </c>
      <c r="M316" s="1" t="str">
        <v>Female</v>
      </c>
      <c r="N316" s="1" t="str">
        <v>Engineering</v>
      </c>
      <c r="O316" s="1">
        <v>94815.28</v>
      </c>
      <c r="P316" s="72" t="str">
        <v>6-Dec-18</v>
      </c>
      <c r="Q316" s="1">
        <v>1</v>
      </c>
      <c r="R316" s="5" t="str">
        <v>Permanent</v>
      </c>
      <c r="S316" s="5" t="str">
        <v>Seattle, USA</v>
      </c>
    </row>
    <row r="317" spans="11:19" x14ac:dyDescent="0.3">
      <c r="K317" s="1" t="str">
        <v>PR03137</v>
      </c>
      <c r="L317" s="1" t="str">
        <v>Jagajeet Viraj</v>
      </c>
      <c r="M317" s="1" t="str">
        <v>Male</v>
      </c>
      <c r="N317" s="1" t="str">
        <v>Support</v>
      </c>
      <c r="O317" s="1">
        <v>36714.379999999997</v>
      </c>
      <c r="P317" s="72">
        <v>44175</v>
      </c>
      <c r="Q317" s="1">
        <v>1</v>
      </c>
      <c r="R317" s="5" t="str">
        <v>Permanent</v>
      </c>
      <c r="S317" s="5" t="str">
        <v>Chennai, India</v>
      </c>
    </row>
    <row r="318" spans="11:19" x14ac:dyDescent="0.3">
      <c r="K318" s="1" t="str">
        <v>PR00246</v>
      </c>
      <c r="L318" s="1" t="str">
        <v>Husein Augar</v>
      </c>
      <c r="M318" s="1" t="str">
        <v>Female</v>
      </c>
      <c r="N318" s="1" t="str">
        <v>Marketing</v>
      </c>
      <c r="O318" s="1">
        <v>67905.8</v>
      </c>
      <c r="P318" s="72">
        <v>44194</v>
      </c>
      <c r="Q318" s="1">
        <v>1</v>
      </c>
      <c r="R318" s="5" t="str">
        <v>Permanent</v>
      </c>
      <c r="S318" s="5" t="str">
        <v>Remote</v>
      </c>
    </row>
    <row r="319" spans="11:19" x14ac:dyDescent="0.3">
      <c r="K319" s="1" t="str">
        <v>SQ02371</v>
      </c>
      <c r="L319" s="1" t="str">
        <v>Alida Welman</v>
      </c>
      <c r="M319" s="1" t="str">
        <v>Male</v>
      </c>
      <c r="N319" s="1" t="str">
        <v>Human Resources</v>
      </c>
      <c r="O319" s="1">
        <v>69862.38</v>
      </c>
      <c r="P319" s="72" t="str">
        <v>Dec 24, 2018</v>
      </c>
      <c r="Q319" s="1">
        <v>1</v>
      </c>
      <c r="R319" s="5" t="str">
        <v>Permanent</v>
      </c>
      <c r="S319" s="5" t="str">
        <v>Wellington, New Zealand</v>
      </c>
    </row>
    <row r="320" spans="11:19" x14ac:dyDescent="0.3">
      <c r="K320" s="1" t="str">
        <v>VT04350</v>
      </c>
      <c r="L320" s="1" t="str">
        <v>Kulbhushan Moorthy</v>
      </c>
      <c r="M320" s="1" t="str">
        <v>Male</v>
      </c>
      <c r="N320" s="1" t="str">
        <v>Business Development</v>
      </c>
      <c r="O320" s="1">
        <v>106400.02</v>
      </c>
      <c r="P320" s="72" t="str">
        <v>9-Jul-20</v>
      </c>
      <c r="Q320" s="1">
        <v>1</v>
      </c>
      <c r="R320" s="5" t="str">
        <v>Temporary</v>
      </c>
      <c r="S320" s="5" t="str">
        <v>Chennai, India</v>
      </c>
    </row>
    <row r="321" spans="11:19" x14ac:dyDescent="0.3">
      <c r="K321" s="1" t="str">
        <v>SQ02035</v>
      </c>
      <c r="L321" s="1" t="str">
        <v>Anni Izzard</v>
      </c>
      <c r="M321" s="1" t="str">
        <v>Male</v>
      </c>
      <c r="N321" s="1" t="str">
        <v>Human Resources</v>
      </c>
      <c r="O321" s="1">
        <v>103494.94</v>
      </c>
      <c r="P321" s="72" t="str">
        <v>Jun 5, 2018</v>
      </c>
      <c r="Q321" s="1">
        <v>1</v>
      </c>
      <c r="R321" s="5" t="str">
        <v>Permanent</v>
      </c>
      <c r="S321" s="5" t="str">
        <v>Remote</v>
      </c>
    </row>
    <row r="322" spans="11:19" x14ac:dyDescent="0.3">
      <c r="K322" s="1" t="str">
        <v>TN02674</v>
      </c>
      <c r="L322" s="1" t="str">
        <v>Antonetta  Coggeshall</v>
      </c>
      <c r="M322" s="1" t="str">
        <v>Male</v>
      </c>
      <c r="N322" s="1" t="str">
        <v>Sales</v>
      </c>
      <c r="O322" s="1">
        <v>96753.78</v>
      </c>
      <c r="P322" s="72">
        <v>44494</v>
      </c>
      <c r="Q322" s="1">
        <v>1</v>
      </c>
      <c r="R322" s="5" t="str">
        <v>Permanent</v>
      </c>
      <c r="S322" s="5" t="str">
        <v>Auckland, New Zealand</v>
      </c>
    </row>
    <row r="323" spans="11:19" x14ac:dyDescent="0.3">
      <c r="K323" s="1" t="str">
        <v>SQ00286</v>
      </c>
      <c r="L323" s="1" t="str">
        <v>Ilesh Dasgupta</v>
      </c>
      <c r="M323" s="1" t="str">
        <v>Female</v>
      </c>
      <c r="N323" s="1" t="str">
        <v>Legal</v>
      </c>
      <c r="O323" s="1">
        <v>61213.01</v>
      </c>
      <c r="P323" s="72" t="str">
        <v>18-Jun-21</v>
      </c>
      <c r="Q323" s="1">
        <v>1</v>
      </c>
      <c r="R323" s="5" t="str">
        <v>Permanent</v>
      </c>
      <c r="S323" s="5" t="str">
        <v>Chennai, India</v>
      </c>
    </row>
    <row r="324" spans="11:19" x14ac:dyDescent="0.3">
      <c r="K324" s="1" t="str">
        <v>TN02205</v>
      </c>
      <c r="L324" s="1" t="str">
        <v>Madhumati Gazala Soumitra</v>
      </c>
      <c r="M324" s="1" t="str">
        <v>Male</v>
      </c>
      <c r="N324" s="1" t="str">
        <v>Research and Development</v>
      </c>
      <c r="O324" s="1">
        <v>69709.509999999995</v>
      </c>
      <c r="P324" s="72" t="str">
        <v>Jan 7, 2019</v>
      </c>
      <c r="Q324" s="1">
        <v>1</v>
      </c>
      <c r="R324" s="5" t="str">
        <v>Permanent</v>
      </c>
      <c r="S324" s="5" t="str">
        <v>Hyderabad, India</v>
      </c>
    </row>
    <row r="325" spans="11:19" x14ac:dyDescent="0.3">
      <c r="K325" s="1" t="str">
        <v>VT00740</v>
      </c>
      <c r="L325" s="1" t="str">
        <v>Chitrasen Laul</v>
      </c>
      <c r="M325" s="1" t="str">
        <v>Female</v>
      </c>
      <c r="N325" s="1" t="str">
        <v>Research and Development</v>
      </c>
      <c r="O325" s="1">
        <v>46751.7</v>
      </c>
      <c r="P325" s="72">
        <v>43843</v>
      </c>
      <c r="Q325" s="1">
        <v>1</v>
      </c>
      <c r="R325" s="5" t="str">
        <v>Fixed Term</v>
      </c>
      <c r="S325" s="5" t="str">
        <v>Hyderabad, India</v>
      </c>
    </row>
    <row r="326" spans="11:19" x14ac:dyDescent="0.3">
      <c r="K326" s="1" t="str">
        <v>TN03169</v>
      </c>
      <c r="L326" s="1" t="str">
        <v>Doe Clubley</v>
      </c>
      <c r="M326" s="1" t="str">
        <v>Female</v>
      </c>
      <c r="N326" s="1" t="str">
        <v>Product Management</v>
      </c>
      <c r="O326" s="1">
        <v>67818.14</v>
      </c>
      <c r="P326" s="72" t="str">
        <v>Nov 2, 2018</v>
      </c>
      <c r="Q326" s="1">
        <v>0.6</v>
      </c>
      <c r="R326" s="5" t="str">
        <v>Fixed Term</v>
      </c>
      <c r="S326" s="5" t="str">
        <v>Remote</v>
      </c>
    </row>
    <row r="327" spans="11:19" x14ac:dyDescent="0.3">
      <c r="K327" s="1" t="str">
        <v>SQ03112</v>
      </c>
      <c r="L327" s="1" t="str">
        <v>Kantimoy Pritish</v>
      </c>
      <c r="M327" s="1" t="str">
        <v>Male</v>
      </c>
      <c r="N327" s="1" t="str">
        <v>Product Management</v>
      </c>
      <c r="O327" s="1">
        <v>77743.149999999994</v>
      </c>
      <c r="P327" s="72" t="str">
        <v>30-Mar-20</v>
      </c>
      <c r="Q327" s="1">
        <v>1</v>
      </c>
      <c r="R327" s="5" t="str">
        <v>Permanent</v>
      </c>
      <c r="S327" s="5" t="str">
        <v>Chennai, India</v>
      </c>
    </row>
    <row r="328" spans="11:19" x14ac:dyDescent="0.3">
      <c r="K328" s="1" t="str">
        <v>PR01943</v>
      </c>
      <c r="L328" s="1" t="str">
        <v>Rameshwari Chikodi</v>
      </c>
      <c r="M328" s="1" t="str">
        <v>Male</v>
      </c>
      <c r="N328" s="1" t="str">
        <v>Human Resources</v>
      </c>
      <c r="O328" s="1">
        <v>48525.71</v>
      </c>
      <c r="P328" s="72" t="str">
        <v>13-Jun-18</v>
      </c>
      <c r="Q328" s="1">
        <v>1</v>
      </c>
      <c r="R328" s="5" t="str">
        <v>Permanent</v>
      </c>
      <c r="S328" s="5" t="str">
        <v>Hyderabad, India</v>
      </c>
    </row>
    <row r="329" spans="11:19" x14ac:dyDescent="0.3">
      <c r="K329" s="1" t="str">
        <v>SQ02035</v>
      </c>
      <c r="L329" s="1" t="str">
        <v>Anni Izzard</v>
      </c>
      <c r="M329" s="1" t="str">
        <v>Male</v>
      </c>
      <c r="N329" s="1" t="str">
        <v>Human Resources</v>
      </c>
      <c r="O329" s="1">
        <v>103494.94</v>
      </c>
      <c r="P329" s="72" t="str">
        <v>Jun 5, 2018</v>
      </c>
      <c r="Q329" s="1">
        <v>1</v>
      </c>
      <c r="R329" s="5" t="str">
        <v>Permanent</v>
      </c>
      <c r="S329" s="5" t="str">
        <v>Remote</v>
      </c>
    </row>
    <row r="330" spans="11:19" x14ac:dyDescent="0.3">
      <c r="K330" s="1" t="str">
        <v>VT04350</v>
      </c>
      <c r="L330" s="1" t="str">
        <v>Lalit Kothari</v>
      </c>
      <c r="M330" s="1" t="str">
        <v>Male</v>
      </c>
      <c r="N330" s="1" t="str">
        <v>Business Development</v>
      </c>
      <c r="O330" s="1">
        <v>106400.02</v>
      </c>
      <c r="P330" s="72" t="str">
        <v>9-Jul-20</v>
      </c>
      <c r="Q330" s="1">
        <v>1</v>
      </c>
      <c r="R330" s="5" t="str">
        <v>Temporary</v>
      </c>
      <c r="S330" s="5" t="str">
        <v>Chennai, India</v>
      </c>
    </row>
    <row r="331" spans="11:19" x14ac:dyDescent="0.3">
      <c r="K331" s="1" t="str">
        <v>TN00243</v>
      </c>
      <c r="L331" s="1" t="str">
        <v>Elbertine Hiscoe</v>
      </c>
      <c r="M331" s="1" t="str">
        <v>Female</v>
      </c>
      <c r="N331" s="1" t="str">
        <v>Training</v>
      </c>
      <c r="O331" s="1">
        <v>0</v>
      </c>
      <c r="P331" s="72" t="str">
        <v>23-Jul-20</v>
      </c>
      <c r="Q331" s="1">
        <v>1</v>
      </c>
      <c r="R331" s="5" t="str">
        <v>Permanent</v>
      </c>
      <c r="S331" s="5" t="str">
        <v>Auckland, New Zealand</v>
      </c>
    </row>
    <row r="332" spans="11:19" x14ac:dyDescent="0.3">
      <c r="K332" s="1" t="str">
        <v>SQ01998</v>
      </c>
      <c r="L332" s="1" t="str">
        <v>Sahas Sanabhi Shrikant</v>
      </c>
      <c r="M332" s="1" t="str">
        <v>Male</v>
      </c>
      <c r="N332" s="1" t="str">
        <v>Product Management</v>
      </c>
      <c r="O332" s="1">
        <v>40445.29</v>
      </c>
      <c r="P332" s="72">
        <v>44393</v>
      </c>
      <c r="Q332" s="1">
        <v>1</v>
      </c>
      <c r="R332" s="5" t="str">
        <v>Permanent</v>
      </c>
      <c r="S332" s="5" t="str">
        <v>Chennai, India</v>
      </c>
    </row>
    <row r="333" spans="11:19" x14ac:dyDescent="0.3">
      <c r="K333" s="1" t="str">
        <v>SQ01395</v>
      </c>
      <c r="L333" s="1" t="str">
        <v>Dennison Crosswaite</v>
      </c>
      <c r="M333" s="1" t="str">
        <v>Male</v>
      </c>
      <c r="N333" s="1" t="str">
        <v>Legal</v>
      </c>
      <c r="O333" s="1">
        <v>90697.67</v>
      </c>
      <c r="P333" s="72">
        <v>44221</v>
      </c>
      <c r="Q333" s="1">
        <v>0.8</v>
      </c>
      <c r="R333" s="5" t="str">
        <v>Permanent</v>
      </c>
      <c r="S333" s="5" t="str">
        <v>Seattle, USA</v>
      </c>
    </row>
    <row r="334" spans="11:19" x14ac:dyDescent="0.3">
      <c r="K334" s="1" t="str">
        <v>SQ01395</v>
      </c>
      <c r="L334" s="1" t="str">
        <v>Dennison Crosswaite</v>
      </c>
      <c r="M334" s="1" t="str">
        <v>Male</v>
      </c>
      <c r="N334" s="1" t="str">
        <v>Legal</v>
      </c>
      <c r="O334" s="1">
        <v>90697.67</v>
      </c>
      <c r="P334" s="72">
        <v>44221</v>
      </c>
      <c r="Q334" s="1">
        <v>0.8</v>
      </c>
      <c r="R334" s="5" t="str">
        <v>Permanent</v>
      </c>
      <c r="S334" s="5" t="str">
        <v>Seattle, USA</v>
      </c>
    </row>
    <row r="335" spans="11:19" x14ac:dyDescent="0.3">
      <c r="K335" s="1" t="str">
        <v>SQ02565</v>
      </c>
      <c r="L335" s="1" t="str">
        <v>Konstantin Timblett</v>
      </c>
      <c r="M335" s="1" t="str">
        <v>Female</v>
      </c>
      <c r="N335" s="1" t="str">
        <v>Training</v>
      </c>
      <c r="O335" s="1">
        <v>56253.81</v>
      </c>
      <c r="P335" s="72" t="str">
        <v>13-Aug-21</v>
      </c>
      <c r="Q335" s="1">
        <v>1</v>
      </c>
      <c r="R335" s="5" t="str">
        <v>Permanent</v>
      </c>
      <c r="S335" s="5" t="str">
        <v>Auckland, New Zealand</v>
      </c>
    </row>
    <row r="336" spans="11:19" x14ac:dyDescent="0.3">
      <c r="K336" s="1" t="str">
        <v>SQ02582</v>
      </c>
      <c r="L336" s="1" t="str">
        <v>Kaishori Harathi Kateel</v>
      </c>
      <c r="M336" s="1" t="str">
        <v>Female</v>
      </c>
      <c r="N336" s="1" t="str">
        <v>Product Management</v>
      </c>
      <c r="O336" s="1">
        <v>51798.25</v>
      </c>
      <c r="P336" s="72" t="str">
        <v>19-Jul-19</v>
      </c>
      <c r="Q336" s="1">
        <v>1</v>
      </c>
      <c r="R336" s="5" t="str">
        <v>Permanent</v>
      </c>
      <c r="S336" s="5" t="str">
        <v>Hyderabad, India</v>
      </c>
    </row>
    <row r="337" spans="11:19" x14ac:dyDescent="0.3">
      <c r="K337" s="1" t="str">
        <v>TN02397</v>
      </c>
      <c r="L337" s="1" t="str">
        <v>Mendel  Gentsch</v>
      </c>
      <c r="M337" s="1" t="str">
        <v>Male</v>
      </c>
      <c r="N337" s="1" t="str">
        <v>Human Resources</v>
      </c>
      <c r="O337" s="1">
        <v>28329.77</v>
      </c>
      <c r="P337" s="72" t="str">
        <v>29-Oct-18</v>
      </c>
      <c r="Q337" s="1">
        <v>1</v>
      </c>
      <c r="R337" s="5" t="str">
        <v>Permanent</v>
      </c>
      <c r="S337" s="5" t="str">
        <v>Seattle, USA</v>
      </c>
    </row>
    <row r="338" spans="11:19" x14ac:dyDescent="0.3">
      <c r="K338" s="1" t="str">
        <v>TN04265</v>
      </c>
      <c r="L338" s="1" t="str">
        <v>Rushil Kripa</v>
      </c>
      <c r="M338" s="1" t="str">
        <v>Female</v>
      </c>
      <c r="N338" s="1" t="str">
        <v>Training</v>
      </c>
      <c r="O338" s="1">
        <v>93964.3</v>
      </c>
      <c r="P338" s="72">
        <v>44454</v>
      </c>
      <c r="Q338" s="1">
        <v>0.4</v>
      </c>
      <c r="R338" s="5" t="str">
        <v>Fixed Term</v>
      </c>
      <c r="S338" s="5" t="str">
        <v>Hyderabad, India</v>
      </c>
    </row>
    <row r="339" spans="11:19" x14ac:dyDescent="0.3">
      <c r="K339" s="1" t="str">
        <v>TN02204</v>
      </c>
      <c r="L339" s="1" t="str">
        <v>Aldrich Glenny</v>
      </c>
      <c r="M339" s="1" t="str">
        <v>Male</v>
      </c>
      <c r="N339" s="1" t="str">
        <v>Business Development</v>
      </c>
      <c r="O339" s="1">
        <v>90884.32</v>
      </c>
      <c r="P339" s="72">
        <v>44039</v>
      </c>
      <c r="Q339" s="1">
        <v>0.5</v>
      </c>
      <c r="R339" s="5" t="str">
        <v>Permanent</v>
      </c>
      <c r="S339" s="5" t="str">
        <v>Columbus, USA</v>
      </c>
    </row>
    <row r="340" spans="11:19" x14ac:dyDescent="0.3">
      <c r="K340" s="1" t="str">
        <v>PR01306</v>
      </c>
      <c r="L340" s="1" t="str">
        <v>Patti Dradey</v>
      </c>
      <c r="M340" s="1" t="str">
        <v>Male</v>
      </c>
      <c r="N340" s="1" t="str">
        <v>Services</v>
      </c>
      <c r="O340" s="1">
        <v>84742.86</v>
      </c>
      <c r="P340" s="72" t="str">
        <v>24-Sep-20</v>
      </c>
      <c r="Q340" s="1">
        <v>1</v>
      </c>
      <c r="R340" s="5" t="str">
        <v>Permanent</v>
      </c>
      <c r="S340" s="5" t="str">
        <v>Auckland, New Zealand</v>
      </c>
    </row>
    <row r="341" spans="11:19" x14ac:dyDescent="0.3">
      <c r="K341" s="1" t="str">
        <v>VT03771</v>
      </c>
      <c r="L341" s="1" t="str">
        <v>Marjie Bamford</v>
      </c>
      <c r="M341" s="1" t="str">
        <v>Male</v>
      </c>
      <c r="N341" s="1" t="str">
        <v>Sales</v>
      </c>
      <c r="O341" s="1">
        <v>80772.92</v>
      </c>
      <c r="P341" s="72" t="str">
        <v>Nov 2, 2020</v>
      </c>
      <c r="Q341" s="1">
        <v>1</v>
      </c>
      <c r="R341" s="5" t="str">
        <v>Temporary</v>
      </c>
      <c r="S341" s="5" t="str">
        <v>Remote</v>
      </c>
    </row>
    <row r="342" spans="11:19" x14ac:dyDescent="0.3">
      <c r="K342" s="1" t="str">
        <v>SQ04613</v>
      </c>
      <c r="L342" s="1" t="str">
        <v>Sarojini Naueshwara</v>
      </c>
      <c r="M342" s="1" t="str">
        <v>Female</v>
      </c>
      <c r="N342" s="1" t="str">
        <v>Human Resources</v>
      </c>
      <c r="O342" s="1">
        <v>85264.38</v>
      </c>
      <c r="P342" s="72" t="str">
        <v>Apr 30, 2018</v>
      </c>
      <c r="Q342" s="1">
        <v>1</v>
      </c>
      <c r="R342" s="5" t="str">
        <v>Permanent</v>
      </c>
      <c r="S342" s="5" t="str">
        <v>Chennai, India</v>
      </c>
    </row>
    <row r="343" spans="11:19" x14ac:dyDescent="0.3">
      <c r="K343" s="1" t="str">
        <v>SQ04116</v>
      </c>
      <c r="L343" s="1" t="str">
        <v>Claretta MacQuist</v>
      </c>
      <c r="M343" s="1" t="str">
        <v>Male</v>
      </c>
      <c r="N343" s="1" t="str">
        <v>Human Resources</v>
      </c>
      <c r="O343" s="1">
        <v>0</v>
      </c>
      <c r="P343" s="72" t="str">
        <v>18-Feb-19</v>
      </c>
      <c r="Q343" s="1">
        <v>1</v>
      </c>
      <c r="R343" s="5" t="str">
        <v>Permanent</v>
      </c>
      <c r="S343" s="5" t="str">
        <v>Columbus, USA</v>
      </c>
    </row>
    <row r="344" spans="11:19" x14ac:dyDescent="0.3">
      <c r="K344" s="1" t="str">
        <v>VT03421</v>
      </c>
      <c r="L344" s="1" t="str">
        <v>Alic Bagg</v>
      </c>
      <c r="M344" s="1" t="str">
        <v>Male</v>
      </c>
      <c r="N344" s="1" t="str">
        <v>Legal</v>
      </c>
      <c r="O344" s="1">
        <v>113747.56</v>
      </c>
      <c r="P344" s="72" t="str">
        <v>15-Mar-21</v>
      </c>
      <c r="Q344" s="1">
        <v>0.7</v>
      </c>
      <c r="R344" s="5" t="str">
        <v>Temporary</v>
      </c>
      <c r="S344" s="5" t="str">
        <v>Columbus, USA</v>
      </c>
    </row>
    <row r="345" spans="11:19" x14ac:dyDescent="0.3">
      <c r="K345" s="1" t="str">
        <v>VT00534</v>
      </c>
      <c r="L345" s="1" t="str">
        <v>Roselle Wandrach</v>
      </c>
      <c r="M345" s="1" t="str">
        <v>Male</v>
      </c>
      <c r="N345" s="1" t="str">
        <v>Sales</v>
      </c>
      <c r="O345" s="1">
        <v>91314.75</v>
      </c>
      <c r="P345" s="72">
        <v>43931</v>
      </c>
      <c r="Q345" s="1">
        <v>1</v>
      </c>
      <c r="R345" s="5" t="str">
        <v>Fixed Term</v>
      </c>
      <c r="S345" s="5" t="str">
        <v>Seattle, USA</v>
      </c>
    </row>
    <row r="346" spans="11:19" x14ac:dyDescent="0.3">
      <c r="K346" s="1" t="str">
        <v>PR03804</v>
      </c>
      <c r="L346" s="1" t="str">
        <v>Sartaj Probal</v>
      </c>
      <c r="M346" s="1" t="str">
        <v>Male</v>
      </c>
      <c r="N346" s="1" t="str">
        <v>Legal</v>
      </c>
      <c r="O346" s="1">
        <v>66572.58</v>
      </c>
      <c r="P346" s="72" t="str">
        <v>28-Dec-20</v>
      </c>
      <c r="Q346" s="1">
        <v>1</v>
      </c>
      <c r="R346" s="5" t="str">
        <v>Permanent</v>
      </c>
      <c r="S346" s="5" t="str">
        <v>Chennai, India</v>
      </c>
    </row>
    <row r="347" spans="11:19" x14ac:dyDescent="0.3">
      <c r="K347" s="1" t="str">
        <v>PR03532</v>
      </c>
      <c r="L347" s="1" t="str">
        <v>Crawford Scad</v>
      </c>
      <c r="M347" s="1" t="str">
        <v>Male</v>
      </c>
      <c r="N347" s="1" t="str">
        <v>Human Resources</v>
      </c>
      <c r="O347" s="1">
        <v>72876.91</v>
      </c>
      <c r="P347" s="72">
        <v>43837</v>
      </c>
      <c r="Q347" s="1">
        <v>1</v>
      </c>
      <c r="R347" s="5" t="str">
        <v>Permanent</v>
      </c>
      <c r="S347" s="5" t="str">
        <v>Remote</v>
      </c>
    </row>
    <row r="348" spans="11:19" x14ac:dyDescent="0.3">
      <c r="K348" s="1" t="str">
        <v>TN02988</v>
      </c>
      <c r="L348" s="1" t="str">
        <v>Mahindra Sreedharan</v>
      </c>
      <c r="M348" s="1" t="str">
        <v>Male</v>
      </c>
      <c r="N348" s="1" t="str">
        <v>Engineering</v>
      </c>
      <c r="O348" s="1">
        <v>92943.89</v>
      </c>
      <c r="P348" s="72">
        <v>44510</v>
      </c>
      <c r="Q348" s="1">
        <v>1</v>
      </c>
      <c r="R348" s="5" t="str">
        <v>Permanent</v>
      </c>
      <c r="S348" s="5" t="str">
        <v>Hyderabad, India</v>
      </c>
    </row>
    <row r="349" spans="11:19" x14ac:dyDescent="0.3">
      <c r="K349" s="1" t="str">
        <v>VT04905</v>
      </c>
      <c r="L349" s="1" t="str">
        <v>Suchira Bhanupriya Tapti</v>
      </c>
      <c r="M349" s="1" t="str">
        <v>Female</v>
      </c>
      <c r="N349" s="1" t="str">
        <v>Human Resources</v>
      </c>
      <c r="O349" s="1">
        <v>29808.07</v>
      </c>
      <c r="P349" s="72" t="str">
        <v>10-Jul-18</v>
      </c>
      <c r="Q349" s="1">
        <v>0.3</v>
      </c>
      <c r="R349" s="5" t="str">
        <v>Temporary</v>
      </c>
      <c r="S349" s="5" t="str">
        <v>Hyderabad, India</v>
      </c>
    </row>
    <row r="350" spans="11:19" x14ac:dyDescent="0.3">
      <c r="K350" s="1" t="str">
        <v>TN03032</v>
      </c>
      <c r="L350" s="1" t="str">
        <v>Fullara Sushanti Mokate</v>
      </c>
      <c r="M350" s="1" t="str">
        <v>Female</v>
      </c>
      <c r="N350" s="1" t="str">
        <v>Research and Development</v>
      </c>
      <c r="O350" s="1">
        <v>39700.82</v>
      </c>
      <c r="P350" s="72">
        <v>44203</v>
      </c>
      <c r="Q350" s="1">
        <v>0.8</v>
      </c>
      <c r="R350" s="5" t="str">
        <v>Permanent</v>
      </c>
      <c r="S350" s="5" t="str">
        <v>Chennai, India</v>
      </c>
    </row>
    <row r="351" spans="11:19" x14ac:dyDescent="0.3">
      <c r="K351" s="1" t="str">
        <v>SQ03625</v>
      </c>
      <c r="L351" s="1" t="str">
        <v xml:space="preserve"> Fidela Artis</v>
      </c>
      <c r="M351" s="1" t="str">
        <v>Female</v>
      </c>
      <c r="N351" s="1" t="str">
        <v>Sales</v>
      </c>
      <c r="O351" s="1">
        <v>78020.39</v>
      </c>
      <c r="P351" s="72">
        <v>43899</v>
      </c>
      <c r="Q351" s="1">
        <v>1</v>
      </c>
      <c r="R351" s="5" t="str">
        <v>Permanent</v>
      </c>
      <c r="S351" s="5" t="str">
        <v>Remote</v>
      </c>
    </row>
    <row r="353" spans="10:11" x14ac:dyDescent="0.3">
      <c r="K353" s="78" t="s">
        <v>1516</v>
      </c>
    </row>
    <row r="355" spans="10:11" x14ac:dyDescent="0.3">
      <c r="K355" s="1" t="e" cm="1">
        <f t="array" ref="K355">_xlfn._xlws.FILTER(Table3[],DAY(Table3[Start Date]),Monday)</f>
        <v>#VALUE!</v>
      </c>
    </row>
    <row r="364" spans="10:11" x14ac:dyDescent="0.3">
      <c r="J364" s="110"/>
    </row>
  </sheetData>
  <phoneticPr fontId="4" type="noConversion"/>
  <conditionalFormatting sqref="A1:A58">
    <cfRule type="duplicateValues" dxfId="3" priority="3"/>
  </conditionalFormatting>
  <conditionalFormatting sqref="A2:A277">
    <cfRule type="duplicateValues" dxfId="2" priority="2"/>
  </conditionalFormatting>
  <conditionalFormatting sqref="A254:A255 A196 A188 A184 A117 A113 A111 A84 A74 A62">
    <cfRule type="duplicateValues" dxfId="1"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E162F-5562-4529-9BC9-DABE167AE78F}">
  <dimension ref="A1:G21"/>
  <sheetViews>
    <sheetView topLeftCell="K2" workbookViewId="0">
      <selection activeCell="E21" sqref="E21"/>
    </sheetView>
  </sheetViews>
  <sheetFormatPr defaultRowHeight="14.2" x14ac:dyDescent="0.3"/>
  <cols>
    <col min="1" max="1" width="34.69921875" customWidth="1"/>
    <col min="4" max="4" width="53.296875" customWidth="1"/>
    <col min="5" max="5" width="13.69921875" customWidth="1"/>
    <col min="6" max="6" width="31.69921875" customWidth="1"/>
    <col min="7" max="7" width="54" customWidth="1"/>
    <col min="8" max="8" width="31.69921875" customWidth="1"/>
    <col min="9" max="9" width="32" bestFit="1" customWidth="1"/>
  </cols>
  <sheetData>
    <row r="1" spans="1:4" ht="14.5" x14ac:dyDescent="0.3">
      <c r="A1" t="s">
        <v>1019</v>
      </c>
    </row>
    <row r="2" spans="1:4" ht="14.5" x14ac:dyDescent="0.3">
      <c r="A2" s="81" t="s">
        <v>1057</v>
      </c>
      <c r="B2" s="81"/>
      <c r="C2" s="81" t="s">
        <v>1058</v>
      </c>
    </row>
    <row r="3" spans="1:4" ht="14.5" x14ac:dyDescent="0.3">
      <c r="A3" s="1" t="str" cm="1">
        <f t="array" ref="A3:A15">_xlfn._xlws.SORT(_xlfn.UNIQUE(Table3[Department]))</f>
        <v>Accounting</v>
      </c>
      <c r="B3" s="1"/>
      <c r="C3" s="1">
        <f>COUNTA(_xlfn.ANCHORARRAY(A3))</f>
        <v>13</v>
      </c>
    </row>
    <row r="4" spans="1:4" ht="14.5" x14ac:dyDescent="0.3">
      <c r="A4" t="str">
        <v>Business Development</v>
      </c>
      <c r="D4" t="str">
        <f>_xlfn.TEXTJOIN(",",TRUE,_xlfn.ANCHORARRAY(A3))</f>
        <v>Accounting,Business Development,CLEANING,Engineering,Human Resources,Legal,Marketing,Product Management,Research and Development,Sales,Services,Support,Training</v>
      </c>
    </row>
    <row r="5" spans="1:4" ht="14.5" x14ac:dyDescent="0.3">
      <c r="A5" t="str">
        <v>CLEANING</v>
      </c>
    </row>
    <row r="6" spans="1:4" ht="14.5" x14ac:dyDescent="0.3">
      <c r="A6" t="str">
        <v>Engineering</v>
      </c>
    </row>
    <row r="7" spans="1:4" ht="14.5" x14ac:dyDescent="0.3">
      <c r="A7" t="str">
        <v>Human Resources</v>
      </c>
    </row>
    <row r="8" spans="1:4" ht="14.5" x14ac:dyDescent="0.3">
      <c r="A8" t="str">
        <v>Legal</v>
      </c>
    </row>
    <row r="9" spans="1:4" ht="14.5" x14ac:dyDescent="0.3">
      <c r="A9" t="str">
        <v>Marketing</v>
      </c>
    </row>
    <row r="10" spans="1:4" ht="14.5" x14ac:dyDescent="0.3">
      <c r="A10" t="str">
        <v>Product Management</v>
      </c>
    </row>
    <row r="11" spans="1:4" ht="14.5" x14ac:dyDescent="0.3">
      <c r="A11" t="str">
        <v>Research and Development</v>
      </c>
    </row>
    <row r="12" spans="1:4" ht="14.5" x14ac:dyDescent="0.3">
      <c r="A12" t="str">
        <v>Sales</v>
      </c>
    </row>
    <row r="13" spans="1:4" ht="14.5" x14ac:dyDescent="0.3">
      <c r="A13" t="str">
        <v>Services</v>
      </c>
    </row>
    <row r="14" spans="1:4" ht="14.5" x14ac:dyDescent="0.3">
      <c r="A14" t="str">
        <v>Support</v>
      </c>
    </row>
    <row r="15" spans="1:4" x14ac:dyDescent="0.3">
      <c r="A15" t="str">
        <v>Training</v>
      </c>
    </row>
    <row r="17" spans="4:7" x14ac:dyDescent="0.3">
      <c r="D17" s="81" t="s">
        <v>1066</v>
      </c>
      <c r="E17" s="83" t="s">
        <v>1055</v>
      </c>
      <c r="F17" s="83" t="s">
        <v>185</v>
      </c>
      <c r="G17" s="91" t="s">
        <v>39</v>
      </c>
    </row>
    <row r="18" spans="4:7" ht="42.55" x14ac:dyDescent="0.3">
      <c r="D18" s="2" t="str">
        <f>_xlfn.TEXTJOIN(",",TRUE,_xlfn.ANCHORARRAY(A3))</f>
        <v>Accounting,Business Development,CLEANING,Engineering,Human Resources,Legal,Marketing,Product Management,Research and Development,Sales,Services,Support,Training</v>
      </c>
      <c r="E18" s="8" t="s">
        <v>1056</v>
      </c>
      <c r="F18" s="75" t="s">
        <v>1059</v>
      </c>
      <c r="G18" s="60" t="s">
        <v>1062</v>
      </c>
    </row>
    <row r="19" spans="4:7" x14ac:dyDescent="0.3">
      <c r="E19" s="8" t="s">
        <v>1060</v>
      </c>
      <c r="F19" s="75" t="s">
        <v>1061</v>
      </c>
      <c r="G19" s="60"/>
    </row>
    <row r="20" spans="4:7" ht="28.35" x14ac:dyDescent="0.3">
      <c r="E20" s="8" t="s">
        <v>1063</v>
      </c>
      <c r="F20" s="75"/>
      <c r="G20" s="96" t="s">
        <v>1065</v>
      </c>
    </row>
    <row r="21" spans="4:7" x14ac:dyDescent="0.3">
      <c r="E21" s="8" t="s">
        <v>1067</v>
      </c>
      <c r="F21" s="75" t="s">
        <v>1068</v>
      </c>
      <c r="G21" s="60" t="s">
        <v>1069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F305-CD95-4C06-88B0-4D0214755BA2}">
  <dimension ref="A1:S292"/>
  <sheetViews>
    <sheetView topLeftCell="G9" workbookViewId="0">
      <selection activeCell="O18" sqref="O18"/>
    </sheetView>
  </sheetViews>
  <sheetFormatPr defaultRowHeight="14.2" x14ac:dyDescent="0.3"/>
  <cols>
    <col min="1" max="1" width="39.59765625" customWidth="1"/>
    <col min="2" max="2" width="12.296875" customWidth="1"/>
    <col min="3" max="3" width="12.09765625" style="37" customWidth="1"/>
    <col min="4" max="5" width="12" style="37" customWidth="1"/>
    <col min="7" max="7" width="25" customWidth="1"/>
    <col min="8" max="8" width="12.296875" customWidth="1"/>
    <col min="9" max="9" width="12.09765625" style="37" customWidth="1"/>
    <col min="10" max="10" width="4.8984375" customWidth="1"/>
    <col min="11" max="11" width="7" customWidth="1"/>
    <col min="13" max="13" width="23.19921875" customWidth="1"/>
    <col min="14" max="14" width="30" customWidth="1"/>
    <col min="15" max="15" width="32.296875" style="37" customWidth="1"/>
    <col min="16" max="16" width="31" customWidth="1"/>
    <col min="18" max="18" width="13.796875" customWidth="1"/>
    <col min="19" max="19" width="12" customWidth="1"/>
  </cols>
  <sheetData>
    <row r="1" spans="1:19" ht="14.5" x14ac:dyDescent="0.3">
      <c r="A1" t="s">
        <v>1019</v>
      </c>
    </row>
    <row r="2" spans="1:19" ht="14.5" x14ac:dyDescent="0.3">
      <c r="M2" s="83" t="s">
        <v>1026</v>
      </c>
      <c r="N2" s="83" t="s">
        <v>185</v>
      </c>
      <c r="O2" s="91" t="s">
        <v>39</v>
      </c>
      <c r="P2" s="83" t="s">
        <v>38</v>
      </c>
    </row>
    <row r="3" spans="1:19" ht="14.5" x14ac:dyDescent="0.3">
      <c r="M3" s="82" t="s">
        <v>1028</v>
      </c>
      <c r="N3" s="84" t="s">
        <v>1027</v>
      </c>
      <c r="O3" s="92" t="s">
        <v>1029</v>
      </c>
      <c r="P3" s="82"/>
    </row>
    <row r="4" spans="1:19" ht="14.5" x14ac:dyDescent="0.3">
      <c r="C4" s="37" t="s">
        <v>1024</v>
      </c>
      <c r="D4" s="37" t="s">
        <v>47</v>
      </c>
      <c r="E4" s="37" t="s">
        <v>33</v>
      </c>
      <c r="M4" s="82" t="s">
        <v>1035</v>
      </c>
      <c r="N4" s="84" t="s">
        <v>1032</v>
      </c>
      <c r="O4" s="92"/>
      <c r="P4" s="82"/>
    </row>
    <row r="5" spans="1:19" ht="14.5" x14ac:dyDescent="0.3">
      <c r="B5" t="s">
        <v>1020</v>
      </c>
      <c r="C5" s="37">
        <f>MAX(Table3[Salary])</f>
        <v>120000</v>
      </c>
      <c r="D5" s="37">
        <f>_xlfn.MAXIFS(Table3[Salary],Table3[Gender],$D$4)</f>
        <v>119022.49</v>
      </c>
      <c r="E5" s="37">
        <f>_xlfn.MAXIFS(Table3[Salary],Table3[Gender],$E$4)</f>
        <v>120000</v>
      </c>
      <c r="M5" s="82" t="s">
        <v>1036</v>
      </c>
      <c r="N5" s="84" t="s">
        <v>1031</v>
      </c>
      <c r="O5" s="92" t="s">
        <v>1033</v>
      </c>
      <c r="P5" s="82"/>
    </row>
    <row r="6" spans="1:19" ht="14.5" x14ac:dyDescent="0.3">
      <c r="B6" t="s">
        <v>1021</v>
      </c>
      <c r="C6" s="37">
        <f>MIN(Table3[Salary])</f>
        <v>28160.79</v>
      </c>
      <c r="D6" s="37">
        <f>_xlfn.MINIFS(Table3[Salary],Table3[Gender],$D$4)</f>
        <v>28160.79</v>
      </c>
      <c r="E6" s="37">
        <f>_xlfn.MINIFS(Table3[Salary],Table3[Gender],$E$4)</f>
        <v>28305.08</v>
      </c>
      <c r="M6" s="82" t="s">
        <v>1036</v>
      </c>
      <c r="N6" s="84" t="s">
        <v>1030</v>
      </c>
      <c r="O6" s="92" t="s">
        <v>1034</v>
      </c>
      <c r="P6" s="82"/>
    </row>
    <row r="7" spans="1:19" ht="14.5" x14ac:dyDescent="0.3">
      <c r="B7" t="s">
        <v>1022</v>
      </c>
      <c r="C7" s="37">
        <f>LARGE(Table3[Salary],1)</f>
        <v>120000</v>
      </c>
      <c r="D7" s="37" cm="1">
        <f t="array" ref="D7">LARGE(_xlfn._xlws.FILTER(Table3[Salary],Table3[Gender]=$D$4),1)</f>
        <v>119022.49</v>
      </c>
      <c r="F7">
        <v>1</v>
      </c>
      <c r="M7" s="82" t="s">
        <v>1037</v>
      </c>
      <c r="N7" s="84" t="s">
        <v>1038</v>
      </c>
      <c r="O7" s="92" t="s">
        <v>1034</v>
      </c>
      <c r="P7" s="82"/>
    </row>
    <row r="8" spans="1:19" ht="14.5" x14ac:dyDescent="0.3">
      <c r="C8" s="37">
        <f>LARGE(Table3[Salary],2)</f>
        <v>119022.49</v>
      </c>
      <c r="D8" s="37" cm="1">
        <f t="array" ref="D8">LARGE(_xlfn._xlws.FILTER(Table3[Salary],Table3[Gender]=$D$4),2)</f>
        <v>118976.16</v>
      </c>
      <c r="F8">
        <v>2</v>
      </c>
      <c r="M8" s="82" t="s">
        <v>1039</v>
      </c>
      <c r="N8" s="84" t="s">
        <v>1040</v>
      </c>
      <c r="O8" s="92" t="s">
        <v>1043</v>
      </c>
      <c r="P8" s="82"/>
    </row>
    <row r="9" spans="1:19" ht="28.8" x14ac:dyDescent="0.3">
      <c r="C9" s="37">
        <f>LARGE(Table3[Salary],3)</f>
        <v>118976.16</v>
      </c>
      <c r="D9" s="37" cm="1">
        <f t="array" ref="D9">LARGE(_xlfn._xlws.FILTER(Table3[Salary],Table3[Gender]=$D$4),3)</f>
        <v>115191.38</v>
      </c>
      <c r="F9">
        <v>3</v>
      </c>
      <c r="M9" s="82" t="s">
        <v>1039</v>
      </c>
      <c r="N9" s="75" t="s">
        <v>1041</v>
      </c>
      <c r="O9" s="93" t="s">
        <v>1042</v>
      </c>
      <c r="P9" s="82"/>
    </row>
    <row r="10" spans="1:19" ht="28.8" x14ac:dyDescent="0.3">
      <c r="C10" s="37">
        <f>LARGE(Table3[Salary],4)</f>
        <v>116767.63</v>
      </c>
      <c r="D10" s="37" cm="1">
        <f t="array" ref="D10">LARGE(_xlfn._xlws.FILTER(Table3[Salary],Table3[Gender]=$D$4),4)</f>
        <v>114691.03</v>
      </c>
      <c r="F10">
        <v>4</v>
      </c>
      <c r="M10" s="90" t="s">
        <v>1047</v>
      </c>
      <c r="N10" s="7" t="s">
        <v>1049</v>
      </c>
      <c r="O10" s="94" t="s">
        <v>1048</v>
      </c>
      <c r="P10" s="82"/>
      <c r="S10" s="37"/>
    </row>
    <row r="11" spans="1:19" ht="28.8" x14ac:dyDescent="0.3">
      <c r="C11" s="37">
        <f>LARGE(Table3[Salary],5)</f>
        <v>116767.63</v>
      </c>
      <c r="D11" s="37" cm="1">
        <f t="array" ref="D11">LARGE(_xlfn._xlws.FILTER(Table3[Salary],Table3[Gender]=$D$4),5)</f>
        <v>114465.93</v>
      </c>
      <c r="F11">
        <v>5</v>
      </c>
      <c r="M11" s="82" t="s">
        <v>1050</v>
      </c>
      <c r="N11" s="89" t="s">
        <v>1051</v>
      </c>
      <c r="O11" s="92"/>
      <c r="P11" s="82"/>
    </row>
    <row r="12" spans="1:19" ht="28.35" x14ac:dyDescent="0.3">
      <c r="C12" s="37">
        <f>LARGE(Table3[Salary],F12)</f>
        <v>115191.38</v>
      </c>
      <c r="D12" s="37" cm="1">
        <f t="array" ref="D12">LARGE(_xlfn._xlws.FILTER(Table3[Salary],Table3[Gender]=$D$4),6)</f>
        <v>113747.56</v>
      </c>
      <c r="F12" s="27">
        <v>6</v>
      </c>
      <c r="M12" s="82" t="s">
        <v>1053</v>
      </c>
      <c r="N12" s="89" t="s">
        <v>1052</v>
      </c>
      <c r="O12" s="92" t="s">
        <v>1054</v>
      </c>
      <c r="P12" s="82"/>
    </row>
    <row r="14" spans="1:19" x14ac:dyDescent="0.3">
      <c r="B14" t="s">
        <v>1023</v>
      </c>
      <c r="C14" s="37">
        <f>SMALL(Table3[Salary],F14)</f>
        <v>28974.03</v>
      </c>
      <c r="F14" s="85">
        <v>7</v>
      </c>
    </row>
    <row r="15" spans="1:19" ht="41.95" customHeight="1" x14ac:dyDescent="0.3">
      <c r="A15" s="86"/>
      <c r="B15" s="86"/>
      <c r="C15" s="87"/>
      <c r="D15" s="87"/>
      <c r="E15" s="87"/>
      <c r="F15" s="86"/>
      <c r="G15" s="86"/>
      <c r="H15" s="86"/>
      <c r="I15" s="87"/>
      <c r="J15" s="86"/>
      <c r="K15" s="86"/>
      <c r="L15" s="86"/>
      <c r="N15" s="95"/>
    </row>
    <row r="16" spans="1:19" x14ac:dyDescent="0.3">
      <c r="C16" t="s">
        <v>1024</v>
      </c>
      <c r="D16" s="37" t="s">
        <v>47</v>
      </c>
      <c r="E16" s="37" t="s">
        <v>33</v>
      </c>
      <c r="I16" s="37" t="s">
        <v>1024</v>
      </c>
      <c r="J16" t="s">
        <v>47</v>
      </c>
      <c r="K16" t="s">
        <v>33</v>
      </c>
    </row>
    <row r="17" spans="1:17" x14ac:dyDescent="0.3">
      <c r="A17" s="81" t="s">
        <v>1045</v>
      </c>
      <c r="B17" t="s">
        <v>1025</v>
      </c>
      <c r="C17" s="37" cm="1">
        <f t="array" ref="C17:C292">_xlfn._xlws.SORT(Table3[Salary])</f>
        <v>28160.79</v>
      </c>
      <c r="G17" s="81" t="s">
        <v>1044</v>
      </c>
      <c r="H17" t="s">
        <v>1022</v>
      </c>
      <c r="I17" s="37" cm="1">
        <f t="array" ref="I17:I292">_xlfn._xlws.SORT(Table3[Salary], ,-1)</f>
        <v>120000</v>
      </c>
      <c r="O17" s="37" t="s">
        <v>1024</v>
      </c>
      <c r="P17" t="s">
        <v>47</v>
      </c>
      <c r="Q17" t="s">
        <v>33</v>
      </c>
    </row>
    <row r="18" spans="1:17" ht="28.35" x14ac:dyDescent="0.3">
      <c r="C18" s="37">
        <v>28305.08</v>
      </c>
      <c r="I18" s="37">
        <v>119022.49</v>
      </c>
      <c r="M18" s="88" t="s">
        <v>1046</v>
      </c>
      <c r="N18" t="s">
        <v>1022</v>
      </c>
      <c r="O18" s="37" cm="1">
        <f t="array" ref="O18:O23">_xlfn.TAKE( _xlfn._xlws.SORT(Table3[Salary], , -1), 6)</f>
        <v>120000</v>
      </c>
    </row>
    <row r="19" spans="1:17" x14ac:dyDescent="0.3">
      <c r="C19" s="37">
        <v>28329.77</v>
      </c>
      <c r="I19" s="37">
        <v>118976.16</v>
      </c>
      <c r="O19" s="37">
        <v>119022.49</v>
      </c>
    </row>
    <row r="20" spans="1:17" x14ac:dyDescent="0.3">
      <c r="C20" s="37">
        <v>28481.16</v>
      </c>
      <c r="I20" s="37">
        <v>116767.63</v>
      </c>
      <c r="O20" s="37">
        <v>118976.16</v>
      </c>
    </row>
    <row r="21" spans="1:17" x14ac:dyDescent="0.3">
      <c r="C21" s="37">
        <v>28481.16</v>
      </c>
      <c r="I21" s="37">
        <v>116767.63</v>
      </c>
      <c r="O21" s="37">
        <v>116767.63</v>
      </c>
    </row>
    <row r="22" spans="1:17" x14ac:dyDescent="0.3">
      <c r="C22" s="37">
        <v>28481.16</v>
      </c>
      <c r="I22" s="37">
        <v>115191.38</v>
      </c>
      <c r="O22" s="37">
        <v>116767.63</v>
      </c>
    </row>
    <row r="23" spans="1:17" x14ac:dyDescent="0.3">
      <c r="C23" s="37">
        <v>28974.03</v>
      </c>
      <c r="I23" s="37">
        <v>114691.03</v>
      </c>
      <c r="O23" s="37">
        <v>115191.38</v>
      </c>
    </row>
    <row r="24" spans="1:17" x14ac:dyDescent="0.3">
      <c r="C24" s="37">
        <v>29774.76</v>
      </c>
      <c r="I24" s="37">
        <v>114465.93</v>
      </c>
    </row>
    <row r="25" spans="1:17" x14ac:dyDescent="0.3">
      <c r="C25" s="37">
        <v>29808.07</v>
      </c>
      <c r="I25" s="37">
        <v>114425.19</v>
      </c>
    </row>
    <row r="26" spans="1:17" x14ac:dyDescent="0.3">
      <c r="C26" s="37">
        <v>30077.45</v>
      </c>
      <c r="I26" s="37">
        <v>114177.23</v>
      </c>
    </row>
    <row r="27" spans="1:17" x14ac:dyDescent="0.3">
      <c r="C27" s="37">
        <v>31042.51</v>
      </c>
      <c r="I27" s="37">
        <v>113747.56</v>
      </c>
    </row>
    <row r="28" spans="1:17" x14ac:dyDescent="0.3">
      <c r="C28" s="37">
        <v>31089.22</v>
      </c>
      <c r="I28" s="37">
        <v>113747.56</v>
      </c>
    </row>
    <row r="29" spans="1:17" x14ac:dyDescent="0.3">
      <c r="C29" s="37">
        <v>31172.77</v>
      </c>
      <c r="I29" s="37">
        <v>113616.23</v>
      </c>
    </row>
    <row r="30" spans="1:17" x14ac:dyDescent="0.3">
      <c r="C30" s="37">
        <v>31241.24</v>
      </c>
      <c r="I30" s="37">
        <v>112778.28</v>
      </c>
    </row>
    <row r="31" spans="1:17" x14ac:dyDescent="0.3">
      <c r="C31" s="37">
        <v>31816.57</v>
      </c>
      <c r="I31" s="37">
        <v>112778.28</v>
      </c>
    </row>
    <row r="32" spans="1:17" x14ac:dyDescent="0.3">
      <c r="C32" s="37">
        <v>32192.15</v>
      </c>
      <c r="I32" s="37">
        <v>111815.49</v>
      </c>
    </row>
    <row r="33" spans="3:9" x14ac:dyDescent="0.3">
      <c r="C33" s="37">
        <v>32269.91</v>
      </c>
      <c r="I33" s="37">
        <v>111815.49</v>
      </c>
    </row>
    <row r="34" spans="3:9" x14ac:dyDescent="0.3">
      <c r="C34" s="37">
        <v>32496.880000000001</v>
      </c>
      <c r="I34" s="37">
        <v>111229.47</v>
      </c>
    </row>
    <row r="35" spans="3:9" x14ac:dyDescent="0.3">
      <c r="C35" s="37">
        <v>33031.26</v>
      </c>
      <c r="I35" s="37">
        <v>111049.84</v>
      </c>
    </row>
    <row r="36" spans="3:9" x14ac:dyDescent="0.3">
      <c r="C36" s="37">
        <v>35936.31</v>
      </c>
      <c r="I36" s="37">
        <v>110906.35</v>
      </c>
    </row>
    <row r="37" spans="3:9" x14ac:dyDescent="0.3">
      <c r="C37" s="37">
        <v>35943.620000000003</v>
      </c>
      <c r="I37" s="37">
        <v>110042.37</v>
      </c>
    </row>
    <row r="38" spans="3:9" x14ac:dyDescent="0.3">
      <c r="C38" s="37">
        <v>36536.26</v>
      </c>
      <c r="I38" s="37">
        <v>109163.39</v>
      </c>
    </row>
    <row r="39" spans="3:9" x14ac:dyDescent="0.3">
      <c r="C39" s="37">
        <v>36547.58</v>
      </c>
      <c r="I39" s="37">
        <v>108872.77</v>
      </c>
    </row>
    <row r="40" spans="3:9" x14ac:dyDescent="0.3">
      <c r="C40" s="37">
        <v>36547.58</v>
      </c>
      <c r="I40" s="37">
        <v>107107.6</v>
      </c>
    </row>
    <row r="41" spans="3:9" x14ac:dyDescent="0.3">
      <c r="C41" s="37">
        <v>36714.379999999997</v>
      </c>
      <c r="I41" s="37">
        <v>106775.14</v>
      </c>
    </row>
    <row r="42" spans="3:9" x14ac:dyDescent="0.3">
      <c r="C42" s="37">
        <v>37062.1</v>
      </c>
      <c r="I42" s="37">
        <v>106775.14</v>
      </c>
    </row>
    <row r="43" spans="3:9" x14ac:dyDescent="0.3">
      <c r="C43" s="37">
        <v>37362.300000000003</v>
      </c>
      <c r="I43" s="37">
        <v>106665.67</v>
      </c>
    </row>
    <row r="44" spans="3:9" x14ac:dyDescent="0.3">
      <c r="C44" s="37">
        <v>37902.35</v>
      </c>
      <c r="I44" s="37">
        <v>106400.02</v>
      </c>
    </row>
    <row r="45" spans="3:9" x14ac:dyDescent="0.3">
      <c r="C45" s="37">
        <v>37902.35</v>
      </c>
      <c r="I45" s="37">
        <v>106400.02</v>
      </c>
    </row>
    <row r="46" spans="3:9" x14ac:dyDescent="0.3">
      <c r="C46" s="37">
        <v>38438.239999999998</v>
      </c>
      <c r="I46" s="37">
        <v>104903.79</v>
      </c>
    </row>
    <row r="47" spans="3:9" x14ac:dyDescent="0.3">
      <c r="C47" s="37">
        <v>38438.239999999998</v>
      </c>
      <c r="I47" s="37">
        <v>104802.63</v>
      </c>
    </row>
    <row r="48" spans="3:9" x14ac:dyDescent="0.3">
      <c r="C48" s="37">
        <v>38825.18</v>
      </c>
      <c r="I48" s="37">
        <v>104335.03999999999</v>
      </c>
    </row>
    <row r="49" spans="3:9" x14ac:dyDescent="0.3">
      <c r="C49" s="37">
        <v>39535.49</v>
      </c>
      <c r="I49" s="37">
        <v>104038.9</v>
      </c>
    </row>
    <row r="50" spans="3:9" x14ac:dyDescent="0.3">
      <c r="C50" s="37">
        <v>39700.82</v>
      </c>
      <c r="I50" s="37">
        <v>103494.94</v>
      </c>
    </row>
    <row r="51" spans="3:9" x14ac:dyDescent="0.3">
      <c r="C51" s="37">
        <v>39700.82</v>
      </c>
      <c r="I51" s="37">
        <v>103494.94</v>
      </c>
    </row>
    <row r="52" spans="3:9" x14ac:dyDescent="0.3">
      <c r="C52" s="37">
        <v>39784.239999999998</v>
      </c>
      <c r="I52" s="37">
        <v>102934.09</v>
      </c>
    </row>
    <row r="53" spans="3:9" x14ac:dyDescent="0.3">
      <c r="C53" s="37">
        <v>39969.72</v>
      </c>
      <c r="I53" s="37">
        <v>102515.81</v>
      </c>
    </row>
    <row r="54" spans="3:9" x14ac:dyDescent="0.3">
      <c r="C54" s="37">
        <v>40445.29</v>
      </c>
      <c r="I54" s="37">
        <v>102129.37</v>
      </c>
    </row>
    <row r="55" spans="3:9" x14ac:dyDescent="0.3">
      <c r="C55" s="37">
        <v>40445.29</v>
      </c>
      <c r="I55" s="37">
        <v>101187.36</v>
      </c>
    </row>
    <row r="56" spans="3:9" x14ac:dyDescent="0.3">
      <c r="C56" s="37">
        <v>40753.54</v>
      </c>
      <c r="I56" s="37">
        <v>100731.95</v>
      </c>
    </row>
    <row r="57" spans="3:9" x14ac:dyDescent="0.3">
      <c r="C57" s="37">
        <v>41934.71</v>
      </c>
      <c r="I57" s="37">
        <v>100424.23</v>
      </c>
    </row>
    <row r="58" spans="3:9" x14ac:dyDescent="0.3">
      <c r="C58" s="37">
        <v>41934.71</v>
      </c>
      <c r="I58" s="37">
        <v>100371.31</v>
      </c>
    </row>
    <row r="59" spans="3:9" x14ac:dyDescent="0.3">
      <c r="C59" s="37">
        <v>42161.77</v>
      </c>
      <c r="I59" s="37">
        <v>99965.97</v>
      </c>
    </row>
    <row r="60" spans="3:9" x14ac:dyDescent="0.3">
      <c r="C60" s="37">
        <v>42314.39</v>
      </c>
      <c r="I60" s="37">
        <v>99683.67</v>
      </c>
    </row>
    <row r="61" spans="3:9" x14ac:dyDescent="0.3">
      <c r="C61" s="37">
        <v>43329.22</v>
      </c>
      <c r="I61" s="37">
        <v>99683.67</v>
      </c>
    </row>
    <row r="62" spans="3:9" x14ac:dyDescent="0.3">
      <c r="C62" s="37">
        <v>44447.26</v>
      </c>
      <c r="I62" s="37">
        <v>99460.78</v>
      </c>
    </row>
    <row r="63" spans="3:9" x14ac:dyDescent="0.3">
      <c r="C63" s="37">
        <v>44845.33</v>
      </c>
      <c r="I63" s="37">
        <v>99448.78</v>
      </c>
    </row>
    <row r="64" spans="3:9" x14ac:dyDescent="0.3">
      <c r="C64" s="37">
        <v>46751.7</v>
      </c>
      <c r="I64" s="37">
        <v>99448.78</v>
      </c>
    </row>
    <row r="65" spans="3:9" x14ac:dyDescent="0.3">
      <c r="C65" s="37">
        <v>47362.62</v>
      </c>
      <c r="I65" s="37">
        <v>98012.63</v>
      </c>
    </row>
    <row r="66" spans="3:9" x14ac:dyDescent="0.3">
      <c r="C66" s="37">
        <v>47551.89</v>
      </c>
      <c r="I66" s="37">
        <v>98000</v>
      </c>
    </row>
    <row r="67" spans="3:9" x14ac:dyDescent="0.3">
      <c r="C67" s="37">
        <v>47646.95</v>
      </c>
      <c r="I67" s="37">
        <v>97105.19</v>
      </c>
    </row>
    <row r="68" spans="3:9" x14ac:dyDescent="0.3">
      <c r="C68" s="37">
        <v>48525.71</v>
      </c>
      <c r="I68" s="37">
        <v>96753.78</v>
      </c>
    </row>
    <row r="69" spans="3:9" x14ac:dyDescent="0.3">
      <c r="C69" s="37">
        <v>49625.64</v>
      </c>
      <c r="I69" s="37">
        <v>96753.78</v>
      </c>
    </row>
    <row r="70" spans="3:9" x14ac:dyDescent="0.3">
      <c r="C70" s="37">
        <v>49915.14</v>
      </c>
      <c r="I70" s="37">
        <v>96555.53</v>
      </c>
    </row>
    <row r="71" spans="3:9" x14ac:dyDescent="0.3">
      <c r="C71" s="37">
        <v>50310.09</v>
      </c>
      <c r="I71" s="37">
        <v>96135.75</v>
      </c>
    </row>
    <row r="72" spans="3:9" x14ac:dyDescent="0.3">
      <c r="C72" s="37">
        <v>50449.46</v>
      </c>
      <c r="I72" s="37">
        <v>95954.02</v>
      </c>
    </row>
    <row r="73" spans="3:9" x14ac:dyDescent="0.3">
      <c r="C73" s="37">
        <v>50855.53</v>
      </c>
      <c r="I73" s="37">
        <v>95677.9</v>
      </c>
    </row>
    <row r="74" spans="3:9" x14ac:dyDescent="0.3">
      <c r="C74" s="37">
        <v>51798.25</v>
      </c>
      <c r="I74" s="37">
        <v>95017.1</v>
      </c>
    </row>
    <row r="75" spans="3:9" x14ac:dyDescent="0.3">
      <c r="C75" s="37">
        <v>52246.29</v>
      </c>
      <c r="I75" s="37">
        <v>94815.28</v>
      </c>
    </row>
    <row r="76" spans="3:9" x14ac:dyDescent="0.3">
      <c r="C76" s="37">
        <v>52270.22</v>
      </c>
      <c r="I76" s="37">
        <v>93964.3</v>
      </c>
    </row>
    <row r="77" spans="3:9" x14ac:dyDescent="0.3">
      <c r="C77" s="37">
        <v>52748.63</v>
      </c>
      <c r="I77" s="37">
        <v>93128.34</v>
      </c>
    </row>
    <row r="78" spans="3:9" x14ac:dyDescent="0.3">
      <c r="C78" s="37">
        <v>52963.65</v>
      </c>
      <c r="I78" s="37">
        <v>92943.89</v>
      </c>
    </row>
    <row r="79" spans="3:9" x14ac:dyDescent="0.3">
      <c r="C79" s="37">
        <v>53184.02</v>
      </c>
      <c r="I79" s="37">
        <v>92704.48</v>
      </c>
    </row>
    <row r="80" spans="3:9" x14ac:dyDescent="0.3">
      <c r="C80" s="37">
        <v>53535.62</v>
      </c>
      <c r="I80" s="37">
        <v>92336.08</v>
      </c>
    </row>
    <row r="81" spans="3:9" x14ac:dyDescent="0.3">
      <c r="C81" s="37">
        <v>53949.26</v>
      </c>
      <c r="I81" s="37">
        <v>91929.69</v>
      </c>
    </row>
    <row r="82" spans="3:9" x14ac:dyDescent="0.3">
      <c r="C82" s="37">
        <v>53949.26</v>
      </c>
      <c r="I82" s="37">
        <v>91645.04</v>
      </c>
    </row>
    <row r="83" spans="3:9" x14ac:dyDescent="0.3">
      <c r="C83" s="37">
        <v>54137.05</v>
      </c>
      <c r="I83" s="37">
        <v>91314.75</v>
      </c>
    </row>
    <row r="84" spans="3:9" x14ac:dyDescent="0.3">
      <c r="C84" s="37">
        <v>56253.81</v>
      </c>
      <c r="I84" s="37">
        <v>90884.32</v>
      </c>
    </row>
    <row r="85" spans="3:9" x14ac:dyDescent="0.3">
      <c r="C85" s="37">
        <v>57002.02</v>
      </c>
      <c r="I85" s="37">
        <v>90884.32</v>
      </c>
    </row>
    <row r="86" spans="3:9" x14ac:dyDescent="0.3">
      <c r="C86" s="37">
        <v>57419.35</v>
      </c>
      <c r="I86" s="37">
        <v>90884.32</v>
      </c>
    </row>
    <row r="87" spans="3:9" x14ac:dyDescent="0.3">
      <c r="C87" s="37">
        <v>57925.91</v>
      </c>
      <c r="I87" s="37">
        <v>90697.67</v>
      </c>
    </row>
    <row r="88" spans="3:9" x14ac:dyDescent="0.3">
      <c r="C88" s="37">
        <v>58744.17</v>
      </c>
      <c r="I88" s="37">
        <v>90697.67</v>
      </c>
    </row>
    <row r="89" spans="3:9" x14ac:dyDescent="0.3">
      <c r="C89" s="37">
        <v>58935.92</v>
      </c>
      <c r="I89" s="37">
        <v>90697.67</v>
      </c>
    </row>
    <row r="90" spans="3:9" x14ac:dyDescent="0.3">
      <c r="C90" s="37">
        <v>59258.19</v>
      </c>
      <c r="I90" s="37">
        <v>90697.67</v>
      </c>
    </row>
    <row r="91" spans="3:9" x14ac:dyDescent="0.3">
      <c r="C91" s="37">
        <v>59258.19</v>
      </c>
      <c r="I91" s="37">
        <v>90697.67</v>
      </c>
    </row>
    <row r="92" spans="3:9" x14ac:dyDescent="0.3">
      <c r="C92" s="37">
        <v>59434.18</v>
      </c>
      <c r="I92" s="37">
        <v>90697.67</v>
      </c>
    </row>
    <row r="93" spans="3:9" x14ac:dyDescent="0.3">
      <c r="C93" s="37">
        <v>61213.01</v>
      </c>
      <c r="I93" s="37">
        <v>90697.67</v>
      </c>
    </row>
    <row r="94" spans="3:9" x14ac:dyDescent="0.3">
      <c r="C94" s="37">
        <v>61214.26</v>
      </c>
      <c r="I94" s="37">
        <v>90697.67</v>
      </c>
    </row>
    <row r="95" spans="3:9" x14ac:dyDescent="0.3">
      <c r="C95" s="37">
        <v>61624.77</v>
      </c>
      <c r="I95" s="37">
        <v>90697.67</v>
      </c>
    </row>
    <row r="96" spans="3:9" x14ac:dyDescent="0.3">
      <c r="C96" s="37">
        <v>61688.77</v>
      </c>
      <c r="I96" s="37">
        <v>90697.67</v>
      </c>
    </row>
    <row r="97" spans="3:9" x14ac:dyDescent="0.3">
      <c r="C97" s="37">
        <v>61994.76</v>
      </c>
      <c r="I97" s="37">
        <v>90697.67</v>
      </c>
    </row>
    <row r="98" spans="3:9" x14ac:dyDescent="0.3">
      <c r="C98" s="37">
        <v>62195.47</v>
      </c>
      <c r="I98" s="37">
        <v>90697.67</v>
      </c>
    </row>
    <row r="99" spans="3:9" x14ac:dyDescent="0.3">
      <c r="C99" s="37">
        <v>62281.24</v>
      </c>
      <c r="I99" s="37">
        <v>90697.67</v>
      </c>
    </row>
    <row r="100" spans="3:9" x14ac:dyDescent="0.3">
      <c r="C100" s="37">
        <v>63447.07</v>
      </c>
      <c r="I100" s="37">
        <v>90697.67</v>
      </c>
    </row>
    <row r="101" spans="3:9" x14ac:dyDescent="0.3">
      <c r="C101" s="37">
        <v>63555.73</v>
      </c>
      <c r="I101" s="37">
        <v>90697.67</v>
      </c>
    </row>
    <row r="102" spans="3:9" x14ac:dyDescent="0.3">
      <c r="C102" s="37">
        <v>63705.4</v>
      </c>
      <c r="I102" s="37">
        <v>89960.6</v>
      </c>
    </row>
    <row r="103" spans="3:9" x14ac:dyDescent="0.3">
      <c r="C103" s="37">
        <v>65569.36</v>
      </c>
      <c r="I103" s="37">
        <v>89838.77</v>
      </c>
    </row>
    <row r="104" spans="3:9" x14ac:dyDescent="0.3">
      <c r="C104" s="37">
        <v>65699.02</v>
      </c>
      <c r="I104" s="37">
        <v>89829.33</v>
      </c>
    </row>
    <row r="105" spans="3:9" x14ac:dyDescent="0.3">
      <c r="C105" s="37">
        <v>66017.179999999993</v>
      </c>
      <c r="I105" s="37">
        <v>89690.38</v>
      </c>
    </row>
    <row r="106" spans="3:9" x14ac:dyDescent="0.3">
      <c r="C106" s="37">
        <v>66572.58</v>
      </c>
      <c r="I106" s="37">
        <v>89690.38</v>
      </c>
    </row>
    <row r="107" spans="3:9" x14ac:dyDescent="0.3">
      <c r="C107" s="37">
        <v>66572.58</v>
      </c>
      <c r="I107" s="37">
        <v>89605.13</v>
      </c>
    </row>
    <row r="108" spans="3:9" x14ac:dyDescent="0.3">
      <c r="C108" s="37">
        <v>66865.490000000005</v>
      </c>
      <c r="I108" s="37">
        <v>88689.09</v>
      </c>
    </row>
    <row r="109" spans="3:9" x14ac:dyDescent="0.3">
      <c r="C109" s="37">
        <v>66865.490000000005</v>
      </c>
      <c r="I109" s="37">
        <v>88511.17</v>
      </c>
    </row>
    <row r="110" spans="3:9" x14ac:dyDescent="0.3">
      <c r="C110" s="37">
        <v>67633.850000000006</v>
      </c>
      <c r="I110" s="37">
        <v>88425.08</v>
      </c>
    </row>
    <row r="111" spans="3:9" x14ac:dyDescent="0.3">
      <c r="C111" s="37">
        <v>67818.14</v>
      </c>
      <c r="I111" s="37">
        <v>88034.67</v>
      </c>
    </row>
    <row r="112" spans="3:9" x14ac:dyDescent="0.3">
      <c r="C112" s="37">
        <v>67818.14</v>
      </c>
      <c r="I112" s="37">
        <v>86558.58</v>
      </c>
    </row>
    <row r="113" spans="3:9" x14ac:dyDescent="0.3">
      <c r="C113" s="37">
        <v>67905.8</v>
      </c>
      <c r="I113" s="37">
        <v>86556.96</v>
      </c>
    </row>
    <row r="114" spans="3:9" x14ac:dyDescent="0.3">
      <c r="C114" s="37">
        <v>67957.899999999994</v>
      </c>
      <c r="I114" s="37">
        <v>86233.83</v>
      </c>
    </row>
    <row r="115" spans="3:9" x14ac:dyDescent="0.3">
      <c r="C115" s="37">
        <v>68008.55</v>
      </c>
      <c r="I115" s="37">
        <v>86010.54</v>
      </c>
    </row>
    <row r="116" spans="3:9" x14ac:dyDescent="0.3">
      <c r="C116" s="37">
        <v>68197.899999999994</v>
      </c>
      <c r="I116" s="37">
        <v>85918.61</v>
      </c>
    </row>
    <row r="117" spans="3:9" x14ac:dyDescent="0.3">
      <c r="C117" s="37">
        <v>68795.48</v>
      </c>
      <c r="I117" s="37">
        <v>85455.53</v>
      </c>
    </row>
    <row r="118" spans="3:9" x14ac:dyDescent="0.3">
      <c r="C118" s="37">
        <v>68795.48</v>
      </c>
      <c r="I118" s="37">
        <v>85264.38</v>
      </c>
    </row>
    <row r="119" spans="3:9" x14ac:dyDescent="0.3">
      <c r="C119" s="37">
        <v>68860.399999999994</v>
      </c>
      <c r="I119" s="37">
        <v>84762.76</v>
      </c>
    </row>
    <row r="120" spans="3:9" x14ac:dyDescent="0.3">
      <c r="C120" s="37">
        <v>68887.839999999997</v>
      </c>
      <c r="I120" s="37">
        <v>84745.93</v>
      </c>
    </row>
    <row r="121" spans="3:9" x14ac:dyDescent="0.3">
      <c r="C121" s="37">
        <v>68980.52</v>
      </c>
      <c r="I121" s="37">
        <v>84742.86</v>
      </c>
    </row>
    <row r="122" spans="3:9" x14ac:dyDescent="0.3">
      <c r="C122" s="37">
        <v>69057.320000000007</v>
      </c>
      <c r="I122" s="37">
        <v>84598.88</v>
      </c>
    </row>
    <row r="123" spans="3:9" x14ac:dyDescent="0.3">
      <c r="C123" s="37">
        <v>69057.320000000007</v>
      </c>
      <c r="I123" s="37">
        <v>84598.88</v>
      </c>
    </row>
    <row r="124" spans="3:9" x14ac:dyDescent="0.3">
      <c r="C124" s="37">
        <v>69163.39</v>
      </c>
      <c r="I124" s="37">
        <v>84309.95</v>
      </c>
    </row>
    <row r="125" spans="3:9" x14ac:dyDescent="0.3">
      <c r="C125" s="37">
        <v>69163.39</v>
      </c>
      <c r="I125" s="37">
        <v>83396.5</v>
      </c>
    </row>
    <row r="126" spans="3:9" x14ac:dyDescent="0.3">
      <c r="C126" s="37">
        <v>69192.850000000006</v>
      </c>
      <c r="I126" s="37">
        <v>83191.95</v>
      </c>
    </row>
    <row r="127" spans="3:9" x14ac:dyDescent="0.3">
      <c r="C127" s="37">
        <v>69709.509999999995</v>
      </c>
      <c r="I127" s="37">
        <v>82239.53</v>
      </c>
    </row>
    <row r="128" spans="3:9" x14ac:dyDescent="0.3">
      <c r="C128" s="37">
        <v>69764.100000000006</v>
      </c>
      <c r="I128" s="37">
        <v>81897.789999999994</v>
      </c>
    </row>
    <row r="129" spans="3:9" x14ac:dyDescent="0.3">
      <c r="C129" s="37">
        <v>69862.38</v>
      </c>
      <c r="I129" s="37">
        <v>80772.92</v>
      </c>
    </row>
    <row r="130" spans="3:9" x14ac:dyDescent="0.3">
      <c r="C130" s="37">
        <v>69913.39</v>
      </c>
      <c r="I130" s="37">
        <v>80695.740000000005</v>
      </c>
    </row>
    <row r="131" spans="3:9" x14ac:dyDescent="0.3">
      <c r="C131" s="37">
        <v>70649.460000000006</v>
      </c>
      <c r="I131" s="37">
        <v>80695.740000000005</v>
      </c>
    </row>
    <row r="132" spans="3:9" x14ac:dyDescent="0.3">
      <c r="C132" s="37">
        <v>70755.5</v>
      </c>
      <c r="I132" s="37">
        <v>80695.740000000005</v>
      </c>
    </row>
    <row r="133" spans="3:9" x14ac:dyDescent="0.3">
      <c r="C133" s="37">
        <v>71229.42</v>
      </c>
      <c r="I133" s="37">
        <v>80360.41</v>
      </c>
    </row>
    <row r="134" spans="3:9" x14ac:dyDescent="0.3">
      <c r="C134" s="37">
        <v>71371.37</v>
      </c>
      <c r="I134" s="37">
        <v>80169.42</v>
      </c>
    </row>
    <row r="135" spans="3:9" x14ac:dyDescent="0.3">
      <c r="C135" s="37">
        <v>71570.990000000005</v>
      </c>
      <c r="I135" s="37">
        <v>80169.42</v>
      </c>
    </row>
    <row r="136" spans="3:9" x14ac:dyDescent="0.3">
      <c r="C136" s="37">
        <v>71823.56</v>
      </c>
      <c r="I136" s="37">
        <v>79567.69</v>
      </c>
    </row>
    <row r="137" spans="3:9" x14ac:dyDescent="0.3">
      <c r="C137" s="37">
        <v>71823.56</v>
      </c>
      <c r="I137" s="37">
        <v>78840.23</v>
      </c>
    </row>
    <row r="138" spans="3:9" x14ac:dyDescent="0.3">
      <c r="C138" s="37">
        <v>71924.850000000006</v>
      </c>
      <c r="I138" s="37">
        <v>78705.929999999993</v>
      </c>
    </row>
    <row r="139" spans="3:9" x14ac:dyDescent="0.3">
      <c r="C139" s="37">
        <v>72502.61</v>
      </c>
      <c r="I139" s="37">
        <v>78443.78</v>
      </c>
    </row>
    <row r="140" spans="3:9" x14ac:dyDescent="0.3">
      <c r="C140" s="37">
        <v>72843.23</v>
      </c>
      <c r="I140" s="37">
        <v>78378.2</v>
      </c>
    </row>
    <row r="141" spans="3:9" x14ac:dyDescent="0.3">
      <c r="C141" s="37">
        <v>72876.91</v>
      </c>
      <c r="I141" s="37">
        <v>78020.39</v>
      </c>
    </row>
    <row r="142" spans="3:9" x14ac:dyDescent="0.3">
      <c r="C142" s="37">
        <v>72876.91</v>
      </c>
      <c r="I142" s="37">
        <v>77743.149999999994</v>
      </c>
    </row>
    <row r="143" spans="3:9" x14ac:dyDescent="0.3">
      <c r="C143" s="37">
        <v>73360.38</v>
      </c>
      <c r="I143" s="37">
        <v>77096.05</v>
      </c>
    </row>
    <row r="144" spans="3:9" x14ac:dyDescent="0.3">
      <c r="C144" s="37">
        <v>73360.38</v>
      </c>
      <c r="I144" s="37">
        <v>77045.440000000002</v>
      </c>
    </row>
    <row r="145" spans="3:9" x14ac:dyDescent="0.3">
      <c r="C145" s="37">
        <v>73488.679999999993</v>
      </c>
      <c r="I145" s="37">
        <v>76932.600000000006</v>
      </c>
    </row>
    <row r="146" spans="3:9" x14ac:dyDescent="0.3">
      <c r="C146" s="37">
        <v>74279.009999999995</v>
      </c>
      <c r="I146" s="37">
        <v>76320.44</v>
      </c>
    </row>
    <row r="147" spans="3:9" x14ac:dyDescent="0.3">
      <c r="C147" s="37">
        <v>74924.649999999994</v>
      </c>
      <c r="I147" s="37">
        <v>76303.820000000007</v>
      </c>
    </row>
    <row r="148" spans="3:9" x14ac:dyDescent="0.3">
      <c r="C148" s="37">
        <v>75475.929999999993</v>
      </c>
      <c r="I148" s="37">
        <v>76303.820000000007</v>
      </c>
    </row>
    <row r="149" spans="3:9" x14ac:dyDescent="0.3">
      <c r="C149" s="37">
        <v>75733.740000000005</v>
      </c>
      <c r="I149" s="37">
        <v>75974.990000000005</v>
      </c>
    </row>
    <row r="150" spans="3:9" x14ac:dyDescent="0.3">
      <c r="C150" s="37">
        <v>75974.990000000005</v>
      </c>
      <c r="I150" s="37">
        <v>75733.740000000005</v>
      </c>
    </row>
    <row r="151" spans="3:9" x14ac:dyDescent="0.3">
      <c r="C151" s="37">
        <v>76303.820000000007</v>
      </c>
      <c r="I151" s="37">
        <v>75475.929999999993</v>
      </c>
    </row>
    <row r="152" spans="3:9" x14ac:dyDescent="0.3">
      <c r="C152" s="37">
        <v>76303.820000000007</v>
      </c>
      <c r="I152" s="37">
        <v>74924.649999999994</v>
      </c>
    </row>
    <row r="153" spans="3:9" x14ac:dyDescent="0.3">
      <c r="C153" s="37">
        <v>76320.44</v>
      </c>
      <c r="I153" s="37">
        <v>74279.009999999995</v>
      </c>
    </row>
    <row r="154" spans="3:9" x14ac:dyDescent="0.3">
      <c r="C154" s="37">
        <v>76932.600000000006</v>
      </c>
      <c r="I154" s="37">
        <v>73488.679999999993</v>
      </c>
    </row>
    <row r="155" spans="3:9" x14ac:dyDescent="0.3">
      <c r="C155" s="37">
        <v>77045.440000000002</v>
      </c>
      <c r="I155" s="37">
        <v>73360.38</v>
      </c>
    </row>
    <row r="156" spans="3:9" x14ac:dyDescent="0.3">
      <c r="C156" s="37">
        <v>77096.05</v>
      </c>
      <c r="I156" s="37">
        <v>73360.38</v>
      </c>
    </row>
    <row r="157" spans="3:9" x14ac:dyDescent="0.3">
      <c r="C157" s="37">
        <v>77743.149999999994</v>
      </c>
      <c r="I157" s="37">
        <v>72876.91</v>
      </c>
    </row>
    <row r="158" spans="3:9" x14ac:dyDescent="0.3">
      <c r="C158" s="37">
        <v>78020.39</v>
      </c>
      <c r="I158" s="37">
        <v>72876.91</v>
      </c>
    </row>
    <row r="159" spans="3:9" x14ac:dyDescent="0.3">
      <c r="C159" s="37">
        <v>78378.2</v>
      </c>
      <c r="I159" s="37">
        <v>72843.23</v>
      </c>
    </row>
    <row r="160" spans="3:9" x14ac:dyDescent="0.3">
      <c r="C160" s="37">
        <v>78443.78</v>
      </c>
      <c r="I160" s="37">
        <v>72502.61</v>
      </c>
    </row>
    <row r="161" spans="3:9" x14ac:dyDescent="0.3">
      <c r="C161" s="37">
        <v>78705.929999999993</v>
      </c>
      <c r="I161" s="37">
        <v>71924.850000000006</v>
      </c>
    </row>
    <row r="162" spans="3:9" x14ac:dyDescent="0.3">
      <c r="C162" s="37">
        <v>78840.23</v>
      </c>
      <c r="I162" s="37">
        <v>71823.56</v>
      </c>
    </row>
    <row r="163" spans="3:9" x14ac:dyDescent="0.3">
      <c r="C163" s="37">
        <v>79567.69</v>
      </c>
      <c r="I163" s="37">
        <v>71823.56</v>
      </c>
    </row>
    <row r="164" spans="3:9" x14ac:dyDescent="0.3">
      <c r="C164" s="37">
        <v>80169.42</v>
      </c>
      <c r="I164" s="37">
        <v>71570.990000000005</v>
      </c>
    </row>
    <row r="165" spans="3:9" x14ac:dyDescent="0.3">
      <c r="C165" s="37">
        <v>80169.42</v>
      </c>
      <c r="I165" s="37">
        <v>71371.37</v>
      </c>
    </row>
    <row r="166" spans="3:9" x14ac:dyDescent="0.3">
      <c r="C166" s="37">
        <v>80360.41</v>
      </c>
      <c r="I166" s="37">
        <v>71229.42</v>
      </c>
    </row>
    <row r="167" spans="3:9" x14ac:dyDescent="0.3">
      <c r="C167" s="37">
        <v>80695.740000000005</v>
      </c>
      <c r="I167" s="37">
        <v>70755.5</v>
      </c>
    </row>
    <row r="168" spans="3:9" x14ac:dyDescent="0.3">
      <c r="C168" s="37">
        <v>80695.740000000005</v>
      </c>
      <c r="I168" s="37">
        <v>70649.460000000006</v>
      </c>
    </row>
    <row r="169" spans="3:9" x14ac:dyDescent="0.3">
      <c r="C169" s="37">
        <v>80695.740000000005</v>
      </c>
      <c r="I169" s="37">
        <v>69913.39</v>
      </c>
    </row>
    <row r="170" spans="3:9" x14ac:dyDescent="0.3">
      <c r="C170" s="37">
        <v>80772.92</v>
      </c>
      <c r="I170" s="37">
        <v>69862.38</v>
      </c>
    </row>
    <row r="171" spans="3:9" x14ac:dyDescent="0.3">
      <c r="C171" s="37">
        <v>81897.789999999994</v>
      </c>
      <c r="I171" s="37">
        <v>69764.100000000006</v>
      </c>
    </row>
    <row r="172" spans="3:9" x14ac:dyDescent="0.3">
      <c r="C172" s="37">
        <v>82239.53</v>
      </c>
      <c r="I172" s="37">
        <v>69709.509999999995</v>
      </c>
    </row>
    <row r="173" spans="3:9" x14ac:dyDescent="0.3">
      <c r="C173" s="37">
        <v>83191.95</v>
      </c>
      <c r="I173" s="37">
        <v>69192.850000000006</v>
      </c>
    </row>
    <row r="174" spans="3:9" x14ac:dyDescent="0.3">
      <c r="C174" s="37">
        <v>83396.5</v>
      </c>
      <c r="I174" s="37">
        <v>69163.39</v>
      </c>
    </row>
    <row r="175" spans="3:9" x14ac:dyDescent="0.3">
      <c r="C175" s="37">
        <v>84309.95</v>
      </c>
      <c r="I175" s="37">
        <v>69163.39</v>
      </c>
    </row>
    <row r="176" spans="3:9" x14ac:dyDescent="0.3">
      <c r="C176" s="37">
        <v>84598.88</v>
      </c>
      <c r="I176" s="37">
        <v>69057.320000000007</v>
      </c>
    </row>
    <row r="177" spans="3:9" x14ac:dyDescent="0.3">
      <c r="C177" s="37">
        <v>84598.88</v>
      </c>
      <c r="I177" s="37">
        <v>69057.320000000007</v>
      </c>
    </row>
    <row r="178" spans="3:9" x14ac:dyDescent="0.3">
      <c r="C178" s="37">
        <v>84742.86</v>
      </c>
      <c r="I178" s="37">
        <v>68980.52</v>
      </c>
    </row>
    <row r="179" spans="3:9" x14ac:dyDescent="0.3">
      <c r="C179" s="37">
        <v>84745.93</v>
      </c>
      <c r="I179" s="37">
        <v>68887.839999999997</v>
      </c>
    </row>
    <row r="180" spans="3:9" x14ac:dyDescent="0.3">
      <c r="C180" s="37">
        <v>84762.76</v>
      </c>
      <c r="I180" s="37">
        <v>68860.399999999994</v>
      </c>
    </row>
    <row r="181" spans="3:9" x14ac:dyDescent="0.3">
      <c r="C181" s="37">
        <v>85264.38</v>
      </c>
      <c r="I181" s="37">
        <v>68795.48</v>
      </c>
    </row>
    <row r="182" spans="3:9" x14ac:dyDescent="0.3">
      <c r="C182" s="37">
        <v>85455.53</v>
      </c>
      <c r="I182" s="37">
        <v>68795.48</v>
      </c>
    </row>
    <row r="183" spans="3:9" x14ac:dyDescent="0.3">
      <c r="C183" s="37">
        <v>85918.61</v>
      </c>
      <c r="I183" s="37">
        <v>68197.899999999994</v>
      </c>
    </row>
    <row r="184" spans="3:9" x14ac:dyDescent="0.3">
      <c r="C184" s="37">
        <v>86010.54</v>
      </c>
      <c r="I184" s="37">
        <v>68008.55</v>
      </c>
    </row>
    <row r="185" spans="3:9" x14ac:dyDescent="0.3">
      <c r="C185" s="37">
        <v>86233.83</v>
      </c>
      <c r="I185" s="37">
        <v>67957.899999999994</v>
      </c>
    </row>
    <row r="186" spans="3:9" x14ac:dyDescent="0.3">
      <c r="C186" s="37">
        <v>86556.96</v>
      </c>
      <c r="I186" s="37">
        <v>67905.8</v>
      </c>
    </row>
    <row r="187" spans="3:9" x14ac:dyDescent="0.3">
      <c r="C187" s="37">
        <v>86558.58</v>
      </c>
      <c r="I187" s="37">
        <v>67818.14</v>
      </c>
    </row>
    <row r="188" spans="3:9" x14ac:dyDescent="0.3">
      <c r="C188" s="37">
        <v>88034.67</v>
      </c>
      <c r="I188" s="37">
        <v>67818.14</v>
      </c>
    </row>
    <row r="189" spans="3:9" x14ac:dyDescent="0.3">
      <c r="C189" s="37">
        <v>88425.08</v>
      </c>
      <c r="I189" s="37">
        <v>67633.850000000006</v>
      </c>
    </row>
    <row r="190" spans="3:9" x14ac:dyDescent="0.3">
      <c r="C190" s="37">
        <v>88511.17</v>
      </c>
      <c r="I190" s="37">
        <v>66865.490000000005</v>
      </c>
    </row>
    <row r="191" spans="3:9" x14ac:dyDescent="0.3">
      <c r="C191" s="37">
        <v>88689.09</v>
      </c>
      <c r="I191" s="37">
        <v>66865.490000000005</v>
      </c>
    </row>
    <row r="192" spans="3:9" x14ac:dyDescent="0.3">
      <c r="C192" s="37">
        <v>89605.13</v>
      </c>
      <c r="I192" s="37">
        <v>66572.58</v>
      </c>
    </row>
    <row r="193" spans="3:9" x14ac:dyDescent="0.3">
      <c r="C193" s="37">
        <v>89690.38</v>
      </c>
      <c r="I193" s="37">
        <v>66572.58</v>
      </c>
    </row>
    <row r="194" spans="3:9" x14ac:dyDescent="0.3">
      <c r="C194" s="37">
        <v>89690.38</v>
      </c>
      <c r="I194" s="37">
        <v>66017.179999999993</v>
      </c>
    </row>
    <row r="195" spans="3:9" x14ac:dyDescent="0.3">
      <c r="C195" s="37">
        <v>89829.33</v>
      </c>
      <c r="I195" s="37">
        <v>65699.02</v>
      </c>
    </row>
    <row r="196" spans="3:9" x14ac:dyDescent="0.3">
      <c r="C196" s="37">
        <v>89838.77</v>
      </c>
      <c r="I196" s="37">
        <v>65569.36</v>
      </c>
    </row>
    <row r="197" spans="3:9" x14ac:dyDescent="0.3">
      <c r="C197" s="37">
        <v>89960.6</v>
      </c>
      <c r="I197" s="37">
        <v>63705.4</v>
      </c>
    </row>
    <row r="198" spans="3:9" x14ac:dyDescent="0.3">
      <c r="C198" s="37">
        <v>90697.67</v>
      </c>
      <c r="I198" s="37">
        <v>63555.73</v>
      </c>
    </row>
    <row r="199" spans="3:9" x14ac:dyDescent="0.3">
      <c r="C199" s="37">
        <v>90697.67</v>
      </c>
      <c r="I199" s="37">
        <v>63447.07</v>
      </c>
    </row>
    <row r="200" spans="3:9" x14ac:dyDescent="0.3">
      <c r="C200" s="37">
        <v>90697.67</v>
      </c>
      <c r="I200" s="37">
        <v>62281.24</v>
      </c>
    </row>
    <row r="201" spans="3:9" x14ac:dyDescent="0.3">
      <c r="C201" s="37">
        <v>90697.67</v>
      </c>
      <c r="I201" s="37">
        <v>62195.47</v>
      </c>
    </row>
    <row r="202" spans="3:9" x14ac:dyDescent="0.3">
      <c r="C202" s="37">
        <v>90697.67</v>
      </c>
      <c r="I202" s="37">
        <v>61994.76</v>
      </c>
    </row>
    <row r="203" spans="3:9" x14ac:dyDescent="0.3">
      <c r="C203" s="37">
        <v>90697.67</v>
      </c>
      <c r="I203" s="37">
        <v>61688.77</v>
      </c>
    </row>
    <row r="204" spans="3:9" x14ac:dyDescent="0.3">
      <c r="C204" s="37">
        <v>90697.67</v>
      </c>
      <c r="I204" s="37">
        <v>61624.77</v>
      </c>
    </row>
    <row r="205" spans="3:9" x14ac:dyDescent="0.3">
      <c r="C205" s="37">
        <v>90697.67</v>
      </c>
      <c r="I205" s="37">
        <v>61214.26</v>
      </c>
    </row>
    <row r="206" spans="3:9" x14ac:dyDescent="0.3">
      <c r="C206" s="37">
        <v>90697.67</v>
      </c>
      <c r="I206" s="37">
        <v>61213.01</v>
      </c>
    </row>
    <row r="207" spans="3:9" x14ac:dyDescent="0.3">
      <c r="C207" s="37">
        <v>90697.67</v>
      </c>
      <c r="I207" s="37">
        <v>59434.18</v>
      </c>
    </row>
    <row r="208" spans="3:9" x14ac:dyDescent="0.3">
      <c r="C208" s="37">
        <v>90697.67</v>
      </c>
      <c r="I208" s="37">
        <v>59258.19</v>
      </c>
    </row>
    <row r="209" spans="3:9" x14ac:dyDescent="0.3">
      <c r="C209" s="37">
        <v>90697.67</v>
      </c>
      <c r="I209" s="37">
        <v>59258.19</v>
      </c>
    </row>
    <row r="210" spans="3:9" x14ac:dyDescent="0.3">
      <c r="C210" s="37">
        <v>90697.67</v>
      </c>
      <c r="I210" s="37">
        <v>58935.92</v>
      </c>
    </row>
    <row r="211" spans="3:9" x14ac:dyDescent="0.3">
      <c r="C211" s="37">
        <v>90697.67</v>
      </c>
      <c r="I211" s="37">
        <v>58744.17</v>
      </c>
    </row>
    <row r="212" spans="3:9" x14ac:dyDescent="0.3">
      <c r="C212" s="37">
        <v>90697.67</v>
      </c>
      <c r="I212" s="37">
        <v>57925.91</v>
      </c>
    </row>
    <row r="213" spans="3:9" x14ac:dyDescent="0.3">
      <c r="C213" s="37">
        <v>90884.32</v>
      </c>
      <c r="I213" s="37">
        <v>57419.35</v>
      </c>
    </row>
    <row r="214" spans="3:9" x14ac:dyDescent="0.3">
      <c r="C214" s="37">
        <v>90884.32</v>
      </c>
      <c r="I214" s="37">
        <v>57002.02</v>
      </c>
    </row>
    <row r="215" spans="3:9" x14ac:dyDescent="0.3">
      <c r="C215" s="37">
        <v>90884.32</v>
      </c>
      <c r="I215" s="37">
        <v>56253.81</v>
      </c>
    </row>
    <row r="216" spans="3:9" x14ac:dyDescent="0.3">
      <c r="C216" s="37">
        <v>91314.75</v>
      </c>
      <c r="I216" s="37">
        <v>54137.05</v>
      </c>
    </row>
    <row r="217" spans="3:9" x14ac:dyDescent="0.3">
      <c r="C217" s="37">
        <v>91645.04</v>
      </c>
      <c r="I217" s="37">
        <v>53949.26</v>
      </c>
    </row>
    <row r="218" spans="3:9" x14ac:dyDescent="0.3">
      <c r="C218" s="37">
        <v>91929.69</v>
      </c>
      <c r="I218" s="37">
        <v>53949.26</v>
      </c>
    </row>
    <row r="219" spans="3:9" x14ac:dyDescent="0.3">
      <c r="C219" s="37">
        <v>92336.08</v>
      </c>
      <c r="I219" s="37">
        <v>53535.62</v>
      </c>
    </row>
    <row r="220" spans="3:9" x14ac:dyDescent="0.3">
      <c r="C220" s="37">
        <v>92704.48</v>
      </c>
      <c r="I220" s="37">
        <v>53184.02</v>
      </c>
    </row>
    <row r="221" spans="3:9" x14ac:dyDescent="0.3">
      <c r="C221" s="37">
        <v>92943.89</v>
      </c>
      <c r="I221" s="37">
        <v>52963.65</v>
      </c>
    </row>
    <row r="222" spans="3:9" x14ac:dyDescent="0.3">
      <c r="C222" s="37">
        <v>93128.34</v>
      </c>
      <c r="I222" s="37">
        <v>52748.63</v>
      </c>
    </row>
    <row r="223" spans="3:9" x14ac:dyDescent="0.3">
      <c r="C223" s="37">
        <v>93964.3</v>
      </c>
      <c r="I223" s="37">
        <v>52270.22</v>
      </c>
    </row>
    <row r="224" spans="3:9" x14ac:dyDescent="0.3">
      <c r="C224" s="37">
        <v>94815.28</v>
      </c>
      <c r="I224" s="37">
        <v>52246.29</v>
      </c>
    </row>
    <row r="225" spans="3:9" x14ac:dyDescent="0.3">
      <c r="C225" s="37">
        <v>95017.1</v>
      </c>
      <c r="I225" s="37">
        <v>51798.25</v>
      </c>
    </row>
    <row r="226" spans="3:9" x14ac:dyDescent="0.3">
      <c r="C226" s="37">
        <v>95677.9</v>
      </c>
      <c r="I226" s="37">
        <v>50855.53</v>
      </c>
    </row>
    <row r="227" spans="3:9" x14ac:dyDescent="0.3">
      <c r="C227" s="37">
        <v>95954.02</v>
      </c>
      <c r="I227" s="37">
        <v>50449.46</v>
      </c>
    </row>
    <row r="228" spans="3:9" x14ac:dyDescent="0.3">
      <c r="C228" s="37">
        <v>96135.75</v>
      </c>
      <c r="I228" s="37">
        <v>50310.09</v>
      </c>
    </row>
    <row r="229" spans="3:9" x14ac:dyDescent="0.3">
      <c r="C229" s="37">
        <v>96555.53</v>
      </c>
      <c r="I229" s="37">
        <v>49915.14</v>
      </c>
    </row>
    <row r="230" spans="3:9" x14ac:dyDescent="0.3">
      <c r="C230" s="37">
        <v>96753.78</v>
      </c>
      <c r="I230" s="37">
        <v>49625.64</v>
      </c>
    </row>
    <row r="231" spans="3:9" x14ac:dyDescent="0.3">
      <c r="C231" s="37">
        <v>96753.78</v>
      </c>
      <c r="I231" s="37">
        <v>48525.71</v>
      </c>
    </row>
    <row r="232" spans="3:9" x14ac:dyDescent="0.3">
      <c r="C232" s="37">
        <v>97105.19</v>
      </c>
      <c r="I232" s="37">
        <v>47646.95</v>
      </c>
    </row>
    <row r="233" spans="3:9" x14ac:dyDescent="0.3">
      <c r="C233" s="37">
        <v>98000</v>
      </c>
      <c r="I233" s="37">
        <v>47551.89</v>
      </c>
    </row>
    <row r="234" spans="3:9" x14ac:dyDescent="0.3">
      <c r="C234" s="37">
        <v>98012.63</v>
      </c>
      <c r="I234" s="37">
        <v>47362.62</v>
      </c>
    </row>
    <row r="235" spans="3:9" x14ac:dyDescent="0.3">
      <c r="C235" s="37">
        <v>99448.78</v>
      </c>
      <c r="I235" s="37">
        <v>46751.7</v>
      </c>
    </row>
    <row r="236" spans="3:9" x14ac:dyDescent="0.3">
      <c r="C236" s="37">
        <v>99448.78</v>
      </c>
      <c r="I236" s="37">
        <v>44845.33</v>
      </c>
    </row>
    <row r="237" spans="3:9" x14ac:dyDescent="0.3">
      <c r="C237" s="37">
        <v>99460.78</v>
      </c>
      <c r="I237" s="37">
        <v>44447.26</v>
      </c>
    </row>
    <row r="238" spans="3:9" x14ac:dyDescent="0.3">
      <c r="C238" s="37">
        <v>99683.67</v>
      </c>
      <c r="I238" s="37">
        <v>43329.22</v>
      </c>
    </row>
    <row r="239" spans="3:9" x14ac:dyDescent="0.3">
      <c r="C239" s="37">
        <v>99683.67</v>
      </c>
      <c r="I239" s="37">
        <v>42314.39</v>
      </c>
    </row>
    <row r="240" spans="3:9" x14ac:dyDescent="0.3">
      <c r="C240" s="37">
        <v>99965.97</v>
      </c>
      <c r="I240" s="37">
        <v>42161.77</v>
      </c>
    </row>
    <row r="241" spans="3:9" x14ac:dyDescent="0.3">
      <c r="C241" s="37">
        <v>100371.31</v>
      </c>
      <c r="I241" s="37">
        <v>41934.71</v>
      </c>
    </row>
    <row r="242" spans="3:9" x14ac:dyDescent="0.3">
      <c r="C242" s="37">
        <v>100424.23</v>
      </c>
      <c r="I242" s="37">
        <v>41934.71</v>
      </c>
    </row>
    <row r="243" spans="3:9" x14ac:dyDescent="0.3">
      <c r="C243" s="37">
        <v>100731.95</v>
      </c>
      <c r="I243" s="37">
        <v>40753.54</v>
      </c>
    </row>
    <row r="244" spans="3:9" x14ac:dyDescent="0.3">
      <c r="C244" s="37">
        <v>101187.36</v>
      </c>
      <c r="I244" s="37">
        <v>40445.29</v>
      </c>
    </row>
    <row r="245" spans="3:9" x14ac:dyDescent="0.3">
      <c r="C245" s="37">
        <v>102129.37</v>
      </c>
      <c r="I245" s="37">
        <v>40445.29</v>
      </c>
    </row>
    <row r="246" spans="3:9" x14ac:dyDescent="0.3">
      <c r="C246" s="37">
        <v>102515.81</v>
      </c>
      <c r="I246" s="37">
        <v>39969.72</v>
      </c>
    </row>
    <row r="247" spans="3:9" x14ac:dyDescent="0.3">
      <c r="C247" s="37">
        <v>102934.09</v>
      </c>
      <c r="I247" s="37">
        <v>39784.239999999998</v>
      </c>
    </row>
    <row r="248" spans="3:9" x14ac:dyDescent="0.3">
      <c r="C248" s="37">
        <v>103494.94</v>
      </c>
      <c r="I248" s="37">
        <v>39700.82</v>
      </c>
    </row>
    <row r="249" spans="3:9" x14ac:dyDescent="0.3">
      <c r="C249" s="37">
        <v>103494.94</v>
      </c>
      <c r="I249" s="37">
        <v>39700.82</v>
      </c>
    </row>
    <row r="250" spans="3:9" x14ac:dyDescent="0.3">
      <c r="C250" s="37">
        <v>104038.9</v>
      </c>
      <c r="I250" s="37">
        <v>39535.49</v>
      </c>
    </row>
    <row r="251" spans="3:9" x14ac:dyDescent="0.3">
      <c r="C251" s="37">
        <v>104335.03999999999</v>
      </c>
      <c r="I251" s="37">
        <v>38825.18</v>
      </c>
    </row>
    <row r="252" spans="3:9" x14ac:dyDescent="0.3">
      <c r="C252" s="37">
        <v>104802.63</v>
      </c>
      <c r="I252" s="37">
        <v>38438.239999999998</v>
      </c>
    </row>
    <row r="253" spans="3:9" x14ac:dyDescent="0.3">
      <c r="C253" s="37">
        <v>104903.79</v>
      </c>
      <c r="I253" s="37">
        <v>38438.239999999998</v>
      </c>
    </row>
    <row r="254" spans="3:9" x14ac:dyDescent="0.3">
      <c r="C254" s="37">
        <v>106400.02</v>
      </c>
      <c r="I254" s="37">
        <v>37902.35</v>
      </c>
    </row>
    <row r="255" spans="3:9" x14ac:dyDescent="0.3">
      <c r="C255" s="37">
        <v>106400.02</v>
      </c>
      <c r="I255" s="37">
        <v>37902.35</v>
      </c>
    </row>
    <row r="256" spans="3:9" x14ac:dyDescent="0.3">
      <c r="C256" s="37">
        <v>106665.67</v>
      </c>
      <c r="I256" s="37">
        <v>37362.300000000003</v>
      </c>
    </row>
    <row r="257" spans="3:9" x14ac:dyDescent="0.3">
      <c r="C257" s="37">
        <v>106775.14</v>
      </c>
      <c r="I257" s="37">
        <v>37062.1</v>
      </c>
    </row>
    <row r="258" spans="3:9" x14ac:dyDescent="0.3">
      <c r="C258" s="37">
        <v>106775.14</v>
      </c>
      <c r="I258" s="37">
        <v>36714.379999999997</v>
      </c>
    </row>
    <row r="259" spans="3:9" x14ac:dyDescent="0.3">
      <c r="C259" s="37">
        <v>107107.6</v>
      </c>
      <c r="I259" s="37">
        <v>36547.58</v>
      </c>
    </row>
    <row r="260" spans="3:9" x14ac:dyDescent="0.3">
      <c r="C260" s="37">
        <v>108872.77</v>
      </c>
      <c r="I260" s="37">
        <v>36547.58</v>
      </c>
    </row>
    <row r="261" spans="3:9" x14ac:dyDescent="0.3">
      <c r="C261" s="37">
        <v>109163.39</v>
      </c>
      <c r="I261" s="37">
        <v>36536.26</v>
      </c>
    </row>
    <row r="262" spans="3:9" x14ac:dyDescent="0.3">
      <c r="C262" s="37">
        <v>110042.37</v>
      </c>
      <c r="I262" s="37">
        <v>35943.620000000003</v>
      </c>
    </row>
    <row r="263" spans="3:9" x14ac:dyDescent="0.3">
      <c r="C263" s="37">
        <v>110906.35</v>
      </c>
      <c r="I263" s="37">
        <v>35936.31</v>
      </c>
    </row>
    <row r="264" spans="3:9" x14ac:dyDescent="0.3">
      <c r="C264" s="37">
        <v>111049.84</v>
      </c>
      <c r="I264" s="37">
        <v>33031.26</v>
      </c>
    </row>
    <row r="265" spans="3:9" x14ac:dyDescent="0.3">
      <c r="C265" s="37">
        <v>111229.47</v>
      </c>
      <c r="I265" s="37">
        <v>32496.880000000001</v>
      </c>
    </row>
    <row r="266" spans="3:9" x14ac:dyDescent="0.3">
      <c r="C266" s="37">
        <v>111815.49</v>
      </c>
      <c r="I266" s="37">
        <v>32269.91</v>
      </c>
    </row>
    <row r="267" spans="3:9" x14ac:dyDescent="0.3">
      <c r="C267" s="37">
        <v>111815.49</v>
      </c>
      <c r="I267" s="37">
        <v>32192.15</v>
      </c>
    </row>
    <row r="268" spans="3:9" x14ac:dyDescent="0.3">
      <c r="C268" s="37">
        <v>112778.28</v>
      </c>
      <c r="I268" s="37">
        <v>31816.57</v>
      </c>
    </row>
    <row r="269" spans="3:9" x14ac:dyDescent="0.3">
      <c r="C269" s="37">
        <v>112778.28</v>
      </c>
      <c r="I269" s="37">
        <v>31241.24</v>
      </c>
    </row>
    <row r="270" spans="3:9" x14ac:dyDescent="0.3">
      <c r="C270" s="37">
        <v>113616.23</v>
      </c>
      <c r="I270" s="37">
        <v>31172.77</v>
      </c>
    </row>
    <row r="271" spans="3:9" x14ac:dyDescent="0.3">
      <c r="C271" s="37">
        <v>113747.56</v>
      </c>
      <c r="I271" s="37">
        <v>31089.22</v>
      </c>
    </row>
    <row r="272" spans="3:9" x14ac:dyDescent="0.3">
      <c r="C272" s="37">
        <v>113747.56</v>
      </c>
      <c r="I272" s="37">
        <v>31042.51</v>
      </c>
    </row>
    <row r="273" spans="3:9" x14ac:dyDescent="0.3">
      <c r="C273" s="37">
        <v>114177.23</v>
      </c>
      <c r="I273" s="37">
        <v>30077.45</v>
      </c>
    </row>
    <row r="274" spans="3:9" x14ac:dyDescent="0.3">
      <c r="C274" s="37">
        <v>114425.19</v>
      </c>
      <c r="I274" s="37">
        <v>29808.07</v>
      </c>
    </row>
    <row r="275" spans="3:9" x14ac:dyDescent="0.3">
      <c r="C275" s="37">
        <v>114465.93</v>
      </c>
      <c r="I275" s="37">
        <v>29774.76</v>
      </c>
    </row>
    <row r="276" spans="3:9" x14ac:dyDescent="0.3">
      <c r="C276" s="37">
        <v>114691.03</v>
      </c>
      <c r="I276" s="37">
        <v>28974.03</v>
      </c>
    </row>
    <row r="277" spans="3:9" x14ac:dyDescent="0.3">
      <c r="C277" s="37">
        <v>115191.38</v>
      </c>
      <c r="I277" s="37">
        <v>28481.16</v>
      </c>
    </row>
    <row r="278" spans="3:9" x14ac:dyDescent="0.3">
      <c r="C278" s="37">
        <v>116767.63</v>
      </c>
      <c r="I278" s="37">
        <v>28481.16</v>
      </c>
    </row>
    <row r="279" spans="3:9" x14ac:dyDescent="0.3">
      <c r="C279" s="37">
        <v>116767.63</v>
      </c>
      <c r="I279" s="37">
        <v>28481.16</v>
      </c>
    </row>
    <row r="280" spans="3:9" x14ac:dyDescent="0.3">
      <c r="C280" s="37">
        <v>118976.16</v>
      </c>
      <c r="I280" s="37">
        <v>28329.77</v>
      </c>
    </row>
    <row r="281" spans="3:9" x14ac:dyDescent="0.3">
      <c r="C281" s="37">
        <v>119022.49</v>
      </c>
      <c r="I281" s="37">
        <v>28305.08</v>
      </c>
    </row>
    <row r="282" spans="3:9" x14ac:dyDescent="0.3">
      <c r="C282" s="37">
        <v>120000</v>
      </c>
      <c r="I282" s="37">
        <v>28160.79</v>
      </c>
    </row>
    <row r="283" spans="3:9" x14ac:dyDescent="0.3">
      <c r="C283" s="37">
        <v>0</v>
      </c>
      <c r="I283" s="37">
        <v>0</v>
      </c>
    </row>
    <row r="284" spans="3:9" x14ac:dyDescent="0.3">
      <c r="C284" s="37">
        <v>0</v>
      </c>
      <c r="I284" s="37">
        <v>0</v>
      </c>
    </row>
    <row r="285" spans="3:9" x14ac:dyDescent="0.3">
      <c r="C285" s="37">
        <v>0</v>
      </c>
      <c r="I285" s="37">
        <v>0</v>
      </c>
    </row>
    <row r="286" spans="3:9" x14ac:dyDescent="0.3">
      <c r="C286" s="37">
        <v>0</v>
      </c>
      <c r="I286" s="37">
        <v>0</v>
      </c>
    </row>
    <row r="287" spans="3:9" x14ac:dyDescent="0.3">
      <c r="C287" s="37">
        <v>0</v>
      </c>
      <c r="I287" s="37">
        <v>0</v>
      </c>
    </row>
    <row r="288" spans="3:9" x14ac:dyDescent="0.3">
      <c r="C288" s="37">
        <v>0</v>
      </c>
      <c r="I288" s="37">
        <v>0</v>
      </c>
    </row>
    <row r="289" spans="3:9" x14ac:dyDescent="0.3">
      <c r="C289" s="37">
        <v>0</v>
      </c>
      <c r="I289" s="37">
        <v>0</v>
      </c>
    </row>
    <row r="290" spans="3:9" x14ac:dyDescent="0.3">
      <c r="C290" s="37">
        <v>0</v>
      </c>
      <c r="I290" s="37">
        <v>0</v>
      </c>
    </row>
    <row r="291" spans="3:9" x14ac:dyDescent="0.3">
      <c r="C291" s="37">
        <v>0</v>
      </c>
      <c r="I291" s="37">
        <v>0</v>
      </c>
    </row>
    <row r="292" spans="3:9" x14ac:dyDescent="0.3">
      <c r="C292" s="37">
        <v>0</v>
      </c>
      <c r="I292" s="37">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7747-B7C3-4D49-B7B3-32BD9BAAA99E}">
  <dimension ref="A1:T60"/>
  <sheetViews>
    <sheetView topLeftCell="J6" zoomScaleNormal="90" workbookViewId="0">
      <selection activeCell="L23" sqref="L23"/>
    </sheetView>
  </sheetViews>
  <sheetFormatPr defaultRowHeight="14.2" x14ac:dyDescent="0.3"/>
  <cols>
    <col min="1" max="1" width="13.8984375" customWidth="1"/>
    <col min="2" max="2" width="22.59765625" customWidth="1"/>
    <col min="3" max="3" width="14.09765625" customWidth="1"/>
    <col min="4" max="4" width="23.19921875" customWidth="1"/>
    <col min="5" max="5" width="25.09765625" customWidth="1"/>
    <col min="6" max="6" width="15.69921875" customWidth="1"/>
    <col min="7" max="7" width="10.3984375" customWidth="1"/>
    <col min="8" max="8" width="20.19921875" customWidth="1"/>
    <col min="9" max="10" width="22.296875" customWidth="1"/>
    <col min="11" max="11" width="20.296875" customWidth="1"/>
    <col min="12" max="12" width="14.296875" customWidth="1"/>
    <col min="13" max="13" width="15" customWidth="1"/>
    <col min="14" max="14" width="13.19921875" style="37" customWidth="1"/>
    <col min="15" max="15" width="27.69921875" customWidth="1"/>
    <col min="16" max="16" width="39.59765625" customWidth="1"/>
    <col min="17" max="17" width="67.69921875" customWidth="1"/>
    <col min="18" max="18" width="70.09765625" customWidth="1"/>
    <col min="19" max="19" width="41.19921875" customWidth="1"/>
    <col min="20" max="20" width="19.59765625" customWidth="1"/>
  </cols>
  <sheetData>
    <row r="1" spans="1:20" ht="14.5" x14ac:dyDescent="0.3">
      <c r="A1" s="53" t="s">
        <v>22</v>
      </c>
      <c r="B1" s="54" t="s">
        <v>23</v>
      </c>
      <c r="C1" s="54" t="s">
        <v>24</v>
      </c>
      <c r="D1" s="54" t="s">
        <v>25</v>
      </c>
      <c r="E1" s="54" t="s">
        <v>26</v>
      </c>
      <c r="F1" s="54" t="s">
        <v>27</v>
      </c>
      <c r="G1" s="54" t="s">
        <v>28</v>
      </c>
      <c r="H1" s="54" t="s">
        <v>29</v>
      </c>
      <c r="I1" s="55" t="s">
        <v>30</v>
      </c>
      <c r="J1" s="57"/>
      <c r="M1" s="19"/>
      <c r="N1" s="36"/>
      <c r="O1" s="19"/>
      <c r="P1" s="19"/>
      <c r="Q1" s="19"/>
    </row>
    <row r="2" spans="1:20" ht="43.25" x14ac:dyDescent="0.3">
      <c r="A2" s="52" t="s">
        <v>130</v>
      </c>
      <c r="B2" s="48" t="s">
        <v>131</v>
      </c>
      <c r="C2" s="48" t="s">
        <v>33</v>
      </c>
      <c r="D2" s="48" t="s">
        <v>81</v>
      </c>
      <c r="E2" s="49">
        <v>96135.75</v>
      </c>
      <c r="F2" s="50">
        <v>44025</v>
      </c>
      <c r="G2" s="48">
        <v>0.3</v>
      </c>
      <c r="H2" s="48" t="s">
        <v>35</v>
      </c>
      <c r="I2" s="51" t="s">
        <v>82</v>
      </c>
      <c r="J2" s="56"/>
      <c r="K2" s="77" t="s">
        <v>1002</v>
      </c>
      <c r="O2" s="19"/>
      <c r="P2" s="19"/>
      <c r="Q2" s="19"/>
    </row>
    <row r="3" spans="1:20" ht="14.5" x14ac:dyDescent="0.3">
      <c r="A3" s="52" t="s">
        <v>157</v>
      </c>
      <c r="B3" s="48" t="s">
        <v>158</v>
      </c>
      <c r="C3" s="48" t="s">
        <v>33</v>
      </c>
      <c r="D3" s="48" t="s">
        <v>57</v>
      </c>
      <c r="E3" s="49">
        <v>99654.876000000004</v>
      </c>
      <c r="F3" s="50">
        <v>43843</v>
      </c>
      <c r="G3" s="48">
        <v>1</v>
      </c>
      <c r="H3" s="48" t="s">
        <v>35</v>
      </c>
      <c r="I3" s="51" t="s">
        <v>102</v>
      </c>
      <c r="J3" s="56"/>
      <c r="O3" s="20"/>
      <c r="P3" s="20"/>
      <c r="Q3" s="20"/>
      <c r="R3" s="20"/>
      <c r="S3" s="20"/>
    </row>
    <row r="4" spans="1:20" ht="14.5" x14ac:dyDescent="0.3">
      <c r="A4" s="52" t="s">
        <v>55</v>
      </c>
      <c r="B4" s="48" t="s">
        <v>56</v>
      </c>
      <c r="C4" s="48" t="s">
        <v>33</v>
      </c>
      <c r="D4" s="48" t="s">
        <v>57</v>
      </c>
      <c r="E4" s="49">
        <v>80695.740000000005</v>
      </c>
      <c r="F4" s="50">
        <v>43360</v>
      </c>
      <c r="G4" s="48">
        <v>1</v>
      </c>
      <c r="H4" s="48" t="s">
        <v>491</v>
      </c>
      <c r="I4" s="51" t="s">
        <v>58</v>
      </c>
      <c r="J4" s="56"/>
      <c r="P4" s="21" t="s">
        <v>184</v>
      </c>
      <c r="Q4" s="21" t="s">
        <v>185</v>
      </c>
      <c r="R4" s="21" t="s">
        <v>38</v>
      </c>
      <c r="S4" s="21" t="s">
        <v>39</v>
      </c>
      <c r="T4" s="19"/>
    </row>
    <row r="5" spans="1:20" ht="28.35" x14ac:dyDescent="0.3">
      <c r="A5" s="52" t="s">
        <v>55</v>
      </c>
      <c r="B5" s="48" t="s">
        <v>56</v>
      </c>
      <c r="C5" s="48" t="s">
        <v>33</v>
      </c>
      <c r="D5" s="48" t="s">
        <v>57</v>
      </c>
      <c r="E5" s="49">
        <v>80695.740000000005</v>
      </c>
      <c r="F5" s="50">
        <v>43360</v>
      </c>
      <c r="G5" s="48">
        <v>1</v>
      </c>
      <c r="H5" s="48" t="s">
        <v>35</v>
      </c>
      <c r="I5" s="51" t="s">
        <v>58</v>
      </c>
      <c r="J5" s="56"/>
      <c r="K5" s="58" t="s">
        <v>25</v>
      </c>
      <c r="L5" s="59" t="s">
        <v>497</v>
      </c>
      <c r="M5" s="58" t="s">
        <v>483</v>
      </c>
      <c r="N5" s="59" t="s">
        <v>484</v>
      </c>
      <c r="P5" s="6" t="s">
        <v>191</v>
      </c>
      <c r="Q5" s="6" t="s">
        <v>193</v>
      </c>
      <c r="R5" s="6" t="s">
        <v>194</v>
      </c>
      <c r="S5" s="6" t="s">
        <v>192</v>
      </c>
      <c r="T5" s="19"/>
    </row>
    <row r="6" spans="1:20" ht="43.25" x14ac:dyDescent="0.3">
      <c r="A6" s="52" t="s">
        <v>181</v>
      </c>
      <c r="B6" s="48" t="s">
        <v>182</v>
      </c>
      <c r="C6" s="48" t="s">
        <v>47</v>
      </c>
      <c r="D6" s="48" t="s">
        <v>148</v>
      </c>
      <c r="E6" s="49">
        <v>20000</v>
      </c>
      <c r="F6" s="50">
        <v>43416</v>
      </c>
      <c r="G6" s="48">
        <v>1</v>
      </c>
      <c r="H6" s="48" t="s">
        <v>35</v>
      </c>
      <c r="I6" s="51" t="s">
        <v>36</v>
      </c>
      <c r="J6" s="56"/>
      <c r="K6" s="48" t="s">
        <v>81</v>
      </c>
      <c r="L6" s="60" cm="1">
        <f t="array" ref="L6:L18">AVERAGEIFS(Table2[Salary],Table2[Department],K6:K18)</f>
        <v>94605.256666666668</v>
      </c>
      <c r="M6" s="8" cm="1">
        <f t="array" ref="M6:M18">COUNTIFS(Table2[Department],K6:K18)</f>
        <v>3</v>
      </c>
      <c r="N6" s="60" cm="1">
        <f t="array" ref="N6:N18">SUMIFS(Table2[Salary],Table2[Department],K6:K18)</f>
        <v>283815.77</v>
      </c>
      <c r="P6" s="6" t="s">
        <v>485</v>
      </c>
      <c r="Q6" s="7" t="s">
        <v>493</v>
      </c>
      <c r="R6" s="7" t="s">
        <v>486</v>
      </c>
      <c r="S6" s="6"/>
      <c r="T6" s="19"/>
    </row>
    <row r="7" spans="1:20" ht="14.5" x14ac:dyDescent="0.3">
      <c r="A7" s="52" t="s">
        <v>163</v>
      </c>
      <c r="B7" s="48" t="s">
        <v>164</v>
      </c>
      <c r="C7" s="48" t="s">
        <v>33</v>
      </c>
      <c r="D7" s="48" t="s">
        <v>148</v>
      </c>
      <c r="E7" s="49">
        <v>34000</v>
      </c>
      <c r="F7" s="50">
        <v>44194</v>
      </c>
      <c r="G7" s="48">
        <v>1</v>
      </c>
      <c r="H7" s="48" t="s">
        <v>35</v>
      </c>
      <c r="I7" s="51" t="s">
        <v>36</v>
      </c>
      <c r="J7" s="56"/>
      <c r="K7" s="48" t="s">
        <v>57</v>
      </c>
      <c r="L7" s="60">
        <v>88111.990749999997</v>
      </c>
      <c r="M7" s="8">
        <v>8</v>
      </c>
      <c r="N7" s="60">
        <v>704895.92599999998</v>
      </c>
      <c r="P7" s="6" t="s">
        <v>487</v>
      </c>
      <c r="Q7" s="7" t="s">
        <v>489</v>
      </c>
      <c r="R7" s="75" t="s">
        <v>488</v>
      </c>
      <c r="S7" s="6"/>
      <c r="T7" s="19"/>
    </row>
    <row r="8" spans="1:20" ht="14.5" x14ac:dyDescent="0.3">
      <c r="A8" s="52" t="s">
        <v>161</v>
      </c>
      <c r="B8" s="48" t="s">
        <v>162</v>
      </c>
      <c r="C8" s="48" t="s">
        <v>33</v>
      </c>
      <c r="D8" s="48" t="s">
        <v>148</v>
      </c>
      <c r="E8" s="49">
        <v>68980.52</v>
      </c>
      <c r="F8" s="50">
        <v>43494</v>
      </c>
      <c r="G8" s="48">
        <v>0.8</v>
      </c>
      <c r="H8" s="48" t="s">
        <v>35</v>
      </c>
      <c r="I8" s="51" t="s">
        <v>36</v>
      </c>
      <c r="J8" s="56"/>
      <c r="K8" s="48" t="s">
        <v>148</v>
      </c>
      <c r="L8" s="60">
        <v>57006.598333333335</v>
      </c>
      <c r="M8" s="8">
        <v>6</v>
      </c>
      <c r="N8" s="60">
        <v>342039.59</v>
      </c>
      <c r="P8" s="6"/>
      <c r="Q8" s="6"/>
      <c r="R8" s="6"/>
      <c r="S8" s="6"/>
      <c r="T8" s="19"/>
    </row>
    <row r="9" spans="1:20" x14ac:dyDescent="0.3">
      <c r="A9" s="52" t="s">
        <v>165</v>
      </c>
      <c r="B9" s="48" t="s">
        <v>166</v>
      </c>
      <c r="C9" s="48" t="s">
        <v>33</v>
      </c>
      <c r="D9" s="48" t="s">
        <v>88</v>
      </c>
      <c r="E9" s="49">
        <v>63705.4</v>
      </c>
      <c r="F9" s="50">
        <v>43682</v>
      </c>
      <c r="G9" s="48">
        <v>1</v>
      </c>
      <c r="H9" s="48" t="s">
        <v>35</v>
      </c>
      <c r="I9" s="51" t="s">
        <v>102</v>
      </c>
      <c r="J9" s="56"/>
      <c r="K9" s="48" t="s">
        <v>88</v>
      </c>
      <c r="L9" s="60">
        <v>56656.33</v>
      </c>
      <c r="M9" s="8">
        <v>4</v>
      </c>
      <c r="N9" s="60">
        <v>226625.32</v>
      </c>
      <c r="P9" s="6"/>
      <c r="Q9" s="6"/>
      <c r="R9" s="6"/>
      <c r="S9" s="6"/>
      <c r="T9" s="19"/>
    </row>
    <row r="10" spans="1:20" x14ac:dyDescent="0.3">
      <c r="A10" s="52" t="s">
        <v>149</v>
      </c>
      <c r="B10" s="48" t="s">
        <v>150</v>
      </c>
      <c r="C10" s="48" t="s">
        <v>33</v>
      </c>
      <c r="D10" s="48" t="s">
        <v>99</v>
      </c>
      <c r="E10" s="49">
        <v>114177.23</v>
      </c>
      <c r="F10" s="50">
        <v>43908</v>
      </c>
      <c r="G10" s="48">
        <v>1</v>
      </c>
      <c r="H10" s="48" t="s">
        <v>35</v>
      </c>
      <c r="I10" s="51" t="s">
        <v>82</v>
      </c>
      <c r="J10" s="56"/>
      <c r="K10" s="48" t="s">
        <v>99</v>
      </c>
      <c r="L10" s="60">
        <v>72849.237500000003</v>
      </c>
      <c r="M10" s="8">
        <v>8</v>
      </c>
      <c r="N10" s="60">
        <v>582793.9</v>
      </c>
      <c r="P10" s="6"/>
      <c r="Q10" s="6"/>
      <c r="R10" s="6"/>
      <c r="S10" s="7"/>
      <c r="T10" s="19"/>
    </row>
    <row r="11" spans="1:20" x14ac:dyDescent="0.3">
      <c r="A11" s="52" t="s">
        <v>118</v>
      </c>
      <c r="B11" s="48" t="s">
        <v>119</v>
      </c>
      <c r="C11" s="48" t="s">
        <v>47</v>
      </c>
      <c r="D11" s="48" t="s">
        <v>88</v>
      </c>
      <c r="E11" s="49">
        <v>29774.76</v>
      </c>
      <c r="F11" s="50">
        <v>44105</v>
      </c>
      <c r="G11" s="48">
        <v>1</v>
      </c>
      <c r="H11" s="48" t="s">
        <v>35</v>
      </c>
      <c r="I11" s="51" t="s">
        <v>82</v>
      </c>
      <c r="J11" s="56"/>
      <c r="K11" s="48" t="s">
        <v>85</v>
      </c>
      <c r="L11" s="60">
        <v>53930.218000000008</v>
      </c>
      <c r="M11" s="8">
        <v>5</v>
      </c>
      <c r="N11" s="60">
        <v>269651.09000000003</v>
      </c>
      <c r="P11" s="6"/>
      <c r="Q11" s="6"/>
      <c r="R11" s="6"/>
      <c r="S11" s="6"/>
      <c r="T11" s="19"/>
    </row>
    <row r="12" spans="1:20" x14ac:dyDescent="0.3">
      <c r="A12" s="52" t="s">
        <v>97</v>
      </c>
      <c r="B12" s="48" t="s">
        <v>98</v>
      </c>
      <c r="C12" s="48" t="s">
        <v>47</v>
      </c>
      <c r="D12" s="48" t="s">
        <v>99</v>
      </c>
      <c r="E12" s="49">
        <v>52963.65</v>
      </c>
      <c r="F12" s="50">
        <v>44288</v>
      </c>
      <c r="G12" s="48">
        <v>0.3</v>
      </c>
      <c r="H12" s="48" t="s">
        <v>491</v>
      </c>
      <c r="I12" s="51" t="s">
        <v>58</v>
      </c>
      <c r="J12" s="56"/>
      <c r="K12" s="48" t="s">
        <v>76</v>
      </c>
      <c r="L12" s="60">
        <v>72344.182499999995</v>
      </c>
      <c r="M12" s="8">
        <v>4</v>
      </c>
      <c r="N12" s="60">
        <v>289376.73</v>
      </c>
      <c r="P12" s="6"/>
      <c r="Q12" s="6"/>
      <c r="R12" s="6"/>
      <c r="S12" s="6"/>
      <c r="T12" s="19"/>
    </row>
    <row r="13" spans="1:20" x14ac:dyDescent="0.3">
      <c r="A13" s="52" t="s">
        <v>100</v>
      </c>
      <c r="B13" s="48" t="s">
        <v>101</v>
      </c>
      <c r="C13" s="48" t="s">
        <v>47</v>
      </c>
      <c r="D13" s="48" t="s">
        <v>85</v>
      </c>
      <c r="E13" s="49">
        <v>50310.09</v>
      </c>
      <c r="F13" s="50">
        <v>44285</v>
      </c>
      <c r="G13" s="48">
        <v>0.4</v>
      </c>
      <c r="H13" s="48" t="s">
        <v>491</v>
      </c>
      <c r="I13" s="51" t="s">
        <v>102</v>
      </c>
      <c r="J13" s="56"/>
      <c r="K13" s="48" t="s">
        <v>53</v>
      </c>
      <c r="L13" s="60">
        <v>87741.695000000007</v>
      </c>
      <c r="M13" s="8">
        <v>2</v>
      </c>
      <c r="N13" s="60">
        <v>175483.39</v>
      </c>
      <c r="P13" s="6"/>
      <c r="Q13" s="6"/>
      <c r="R13" s="6"/>
      <c r="S13" s="6"/>
      <c r="T13" s="19"/>
    </row>
    <row r="14" spans="1:20" x14ac:dyDescent="0.3">
      <c r="A14" s="52" t="s">
        <v>74</v>
      </c>
      <c r="B14" s="48" t="s">
        <v>75</v>
      </c>
      <c r="C14" s="48" t="s">
        <v>33</v>
      </c>
      <c r="D14" s="48" t="s">
        <v>76</v>
      </c>
      <c r="E14" s="49">
        <v>84309.95</v>
      </c>
      <c r="F14" s="50">
        <v>44501</v>
      </c>
      <c r="G14" s="48">
        <v>1</v>
      </c>
      <c r="H14" s="48" t="s">
        <v>35</v>
      </c>
      <c r="I14" s="51" t="s">
        <v>36</v>
      </c>
      <c r="J14" s="56"/>
      <c r="K14" s="48" t="s">
        <v>48</v>
      </c>
      <c r="L14" s="60">
        <v>83356.77</v>
      </c>
      <c r="M14" s="8">
        <v>4</v>
      </c>
      <c r="N14" s="60">
        <v>333427.08</v>
      </c>
      <c r="P14" s="20"/>
      <c r="Q14" s="20"/>
      <c r="R14" s="20"/>
      <c r="S14" s="20"/>
      <c r="T14" s="20"/>
    </row>
    <row r="15" spans="1:20" x14ac:dyDescent="0.3">
      <c r="A15" s="52" t="s">
        <v>114</v>
      </c>
      <c r="B15" s="48" t="s">
        <v>115</v>
      </c>
      <c r="C15" s="48" t="s">
        <v>47</v>
      </c>
      <c r="D15" s="48" t="s">
        <v>99</v>
      </c>
      <c r="E15" s="49">
        <v>35936.31</v>
      </c>
      <c r="F15" s="50">
        <v>43241</v>
      </c>
      <c r="G15" s="48">
        <v>1</v>
      </c>
      <c r="H15" s="48" t="s">
        <v>35</v>
      </c>
      <c r="I15" s="51" t="s">
        <v>49</v>
      </c>
      <c r="J15" s="56"/>
      <c r="K15" s="48" t="s">
        <v>141</v>
      </c>
      <c r="L15" s="60">
        <v>97343.01</v>
      </c>
      <c r="M15" s="8">
        <v>3</v>
      </c>
      <c r="N15" s="60">
        <v>292029.02999999997</v>
      </c>
      <c r="P15" s="20"/>
      <c r="Q15" s="20"/>
      <c r="R15" s="20"/>
      <c r="S15" s="20"/>
      <c r="T15" s="20"/>
    </row>
    <row r="16" spans="1:20" x14ac:dyDescent="0.3">
      <c r="A16" s="52" t="s">
        <v>146</v>
      </c>
      <c r="B16" s="48" t="s">
        <v>147</v>
      </c>
      <c r="C16" s="48" t="s">
        <v>47</v>
      </c>
      <c r="D16" s="48" t="s">
        <v>148</v>
      </c>
      <c r="E16" s="49">
        <v>112645.99</v>
      </c>
      <c r="F16" s="50">
        <v>43759</v>
      </c>
      <c r="G16" s="48">
        <v>0.6</v>
      </c>
      <c r="H16" s="48" t="s">
        <v>35</v>
      </c>
      <c r="I16" s="51" t="s">
        <v>136</v>
      </c>
      <c r="J16" s="56"/>
      <c r="K16" s="48" t="s">
        <v>34</v>
      </c>
      <c r="L16" s="60">
        <v>72497.333333333328</v>
      </c>
      <c r="M16" s="8">
        <v>3</v>
      </c>
      <c r="N16" s="60">
        <v>217492</v>
      </c>
      <c r="P16" s="20"/>
      <c r="Q16" s="20"/>
      <c r="R16" s="20"/>
      <c r="S16" s="20"/>
      <c r="T16" s="20"/>
    </row>
    <row r="17" spans="1:20" x14ac:dyDescent="0.3">
      <c r="A17" s="52" t="s">
        <v>124</v>
      </c>
      <c r="B17" s="48" t="s">
        <v>125</v>
      </c>
      <c r="C17" s="48" t="s">
        <v>47</v>
      </c>
      <c r="D17" s="48" t="s">
        <v>99</v>
      </c>
      <c r="E17" s="49">
        <v>91645.04</v>
      </c>
      <c r="F17" s="50">
        <v>44223</v>
      </c>
      <c r="G17" s="48">
        <v>1</v>
      </c>
      <c r="H17" s="48" t="s">
        <v>35</v>
      </c>
      <c r="I17" s="51" t="s">
        <v>71</v>
      </c>
      <c r="J17" s="56"/>
      <c r="K17" s="48" t="s">
        <v>42</v>
      </c>
      <c r="L17" s="60">
        <v>50580.652000000002</v>
      </c>
      <c r="M17" s="8">
        <v>5</v>
      </c>
      <c r="N17" s="60">
        <v>252903.26</v>
      </c>
      <c r="P17" s="20"/>
      <c r="Q17" s="20"/>
      <c r="R17" s="20"/>
      <c r="S17" s="20"/>
      <c r="T17" s="20"/>
    </row>
    <row r="18" spans="1:20" x14ac:dyDescent="0.3">
      <c r="A18" s="52" t="s">
        <v>132</v>
      </c>
      <c r="B18" s="48" t="s">
        <v>133</v>
      </c>
      <c r="C18" s="48" t="s">
        <v>33</v>
      </c>
      <c r="D18" s="48" t="s">
        <v>53</v>
      </c>
      <c r="E18" s="49">
        <v>97105.19</v>
      </c>
      <c r="F18" s="50">
        <v>44425</v>
      </c>
      <c r="G18" s="48">
        <v>1</v>
      </c>
      <c r="H18" s="48" t="s">
        <v>491</v>
      </c>
      <c r="I18" s="51" t="s">
        <v>58</v>
      </c>
      <c r="J18" s="56"/>
      <c r="K18" s="48" t="s">
        <v>92</v>
      </c>
      <c r="L18" s="60">
        <v>51530.66</v>
      </c>
      <c r="M18" s="8">
        <v>2</v>
      </c>
      <c r="N18" s="60">
        <v>103061.32</v>
      </c>
      <c r="P18" s="20"/>
      <c r="Q18" s="20"/>
      <c r="R18" s="20"/>
      <c r="S18" s="20"/>
      <c r="T18" s="20"/>
    </row>
    <row r="19" spans="1:20" x14ac:dyDescent="0.3">
      <c r="A19" s="52" t="s">
        <v>77</v>
      </c>
      <c r="B19" s="48" t="s">
        <v>78</v>
      </c>
      <c r="C19" s="48" t="s">
        <v>47</v>
      </c>
      <c r="D19" s="48" t="s">
        <v>48</v>
      </c>
      <c r="E19" s="49">
        <v>84742.86</v>
      </c>
      <c r="F19" s="50">
        <v>44098</v>
      </c>
      <c r="G19" s="48">
        <v>1</v>
      </c>
      <c r="H19" s="48" t="s">
        <v>491</v>
      </c>
      <c r="I19" s="51" t="s">
        <v>71</v>
      </c>
      <c r="J19" s="56"/>
      <c r="P19" s="20"/>
      <c r="Q19" s="20"/>
      <c r="R19" s="20"/>
      <c r="S19" s="20"/>
      <c r="T19" s="20"/>
    </row>
    <row r="20" spans="1:20" x14ac:dyDescent="0.3">
      <c r="A20" s="52" t="s">
        <v>120</v>
      </c>
      <c r="B20" s="48" t="s">
        <v>121</v>
      </c>
      <c r="C20" s="48" t="s">
        <v>47</v>
      </c>
      <c r="D20" s="48" t="s">
        <v>57</v>
      </c>
      <c r="E20" s="49">
        <v>85918.61</v>
      </c>
      <c r="F20" s="50">
        <v>43136</v>
      </c>
      <c r="G20" s="48">
        <v>1</v>
      </c>
      <c r="H20" s="48" t="s">
        <v>491</v>
      </c>
      <c r="I20" s="51" t="s">
        <v>58</v>
      </c>
      <c r="J20" s="56"/>
      <c r="P20" s="21" t="s">
        <v>2</v>
      </c>
      <c r="Q20" s="21" t="s">
        <v>3</v>
      </c>
      <c r="R20" s="21" t="s">
        <v>4</v>
      </c>
      <c r="S20" s="21" t="s">
        <v>6</v>
      </c>
      <c r="T20" s="21" t="s">
        <v>187</v>
      </c>
    </row>
    <row r="21" spans="1:20" x14ac:dyDescent="0.3">
      <c r="A21" s="52" t="s">
        <v>155</v>
      </c>
      <c r="B21" s="48" t="s">
        <v>156</v>
      </c>
      <c r="C21" s="48" t="s">
        <v>33</v>
      </c>
      <c r="D21" s="48" t="s">
        <v>141</v>
      </c>
      <c r="E21" s="49">
        <v>72502.61</v>
      </c>
      <c r="F21" s="50">
        <v>44235</v>
      </c>
      <c r="G21" s="48">
        <v>1</v>
      </c>
      <c r="H21" s="48" t="s">
        <v>491</v>
      </c>
      <c r="I21" s="51" t="s">
        <v>82</v>
      </c>
      <c r="J21" s="56"/>
      <c r="K21" s="16" t="s">
        <v>29</v>
      </c>
      <c r="L21" s="16" t="s">
        <v>490</v>
      </c>
      <c r="P21" s="170" t="s">
        <v>7</v>
      </c>
      <c r="Q21" s="6" t="s">
        <v>8</v>
      </c>
      <c r="R21" s="6" t="s">
        <v>9</v>
      </c>
      <c r="S21" s="6" t="s">
        <v>10</v>
      </c>
      <c r="T21" s="6"/>
    </row>
    <row r="22" spans="1:20" x14ac:dyDescent="0.3">
      <c r="A22" s="52" t="s">
        <v>45</v>
      </c>
      <c r="B22" s="48" t="s">
        <v>46</v>
      </c>
      <c r="C22" s="48" t="s">
        <v>47</v>
      </c>
      <c r="D22" s="48" t="s">
        <v>48</v>
      </c>
      <c r="E22" s="49">
        <v>77096.05</v>
      </c>
      <c r="F22" s="50">
        <v>43217</v>
      </c>
      <c r="G22" s="48">
        <v>1</v>
      </c>
      <c r="H22" s="48" t="s">
        <v>35</v>
      </c>
      <c r="I22" s="51" t="s">
        <v>49</v>
      </c>
      <c r="J22" s="56"/>
      <c r="K22" s="8" t="s">
        <v>35</v>
      </c>
      <c r="L22" s="8" cm="1">
        <f t="array" ref="L22:L24">COUNTIFS(Table2[Employee type],K22:K24)</f>
        <v>31</v>
      </c>
      <c r="P22" s="171"/>
      <c r="Q22" s="6" t="s">
        <v>11</v>
      </c>
      <c r="R22" s="6" t="s">
        <v>12</v>
      </c>
      <c r="S22" s="6" t="s">
        <v>13</v>
      </c>
      <c r="T22" s="6"/>
    </row>
    <row r="23" spans="1:20" ht="42.55" x14ac:dyDescent="0.3">
      <c r="A23" s="52" t="s">
        <v>171</v>
      </c>
      <c r="B23" s="48" t="s">
        <v>172</v>
      </c>
      <c r="C23" s="48" t="s">
        <v>33</v>
      </c>
      <c r="D23" s="48" t="s">
        <v>76</v>
      </c>
      <c r="E23" s="49">
        <v>50449.46</v>
      </c>
      <c r="F23" s="50">
        <v>43418</v>
      </c>
      <c r="G23" s="48">
        <v>0.8</v>
      </c>
      <c r="H23" s="48" t="s">
        <v>35</v>
      </c>
      <c r="I23" s="51" t="s">
        <v>71</v>
      </c>
      <c r="J23" s="56"/>
      <c r="K23" s="8" t="s">
        <v>491</v>
      </c>
      <c r="L23" s="8">
        <v>12</v>
      </c>
      <c r="P23" s="6" t="s">
        <v>188</v>
      </c>
      <c r="Q23" s="6"/>
      <c r="R23" s="6" t="s">
        <v>186</v>
      </c>
      <c r="S23" s="6" t="s">
        <v>189</v>
      </c>
      <c r="T23" s="6" t="s">
        <v>190</v>
      </c>
    </row>
    <row r="24" spans="1:20" x14ac:dyDescent="0.3">
      <c r="A24" s="52" t="s">
        <v>103</v>
      </c>
      <c r="B24" s="48" t="s">
        <v>104</v>
      </c>
      <c r="C24" s="48" t="s">
        <v>47</v>
      </c>
      <c r="D24" s="48" t="s">
        <v>85</v>
      </c>
      <c r="E24" s="49">
        <v>48525.71</v>
      </c>
      <c r="F24" s="50">
        <v>43264</v>
      </c>
      <c r="G24" s="48">
        <v>1</v>
      </c>
      <c r="H24" s="48" t="s">
        <v>35</v>
      </c>
      <c r="I24" s="51" t="s">
        <v>102</v>
      </c>
      <c r="J24" s="56"/>
      <c r="K24" s="8" t="s">
        <v>492</v>
      </c>
      <c r="L24" s="8">
        <v>14</v>
      </c>
      <c r="P24" s="6" t="s">
        <v>495</v>
      </c>
      <c r="Q24" s="6" t="s">
        <v>496</v>
      </c>
      <c r="R24" s="6"/>
      <c r="S24" s="6"/>
      <c r="T24" s="6"/>
    </row>
    <row r="25" spans="1:20" x14ac:dyDescent="0.3">
      <c r="A25" s="52" t="s">
        <v>112</v>
      </c>
      <c r="B25" s="48" t="s">
        <v>113</v>
      </c>
      <c r="C25" s="48" t="s">
        <v>47</v>
      </c>
      <c r="D25" s="48" t="s">
        <v>99</v>
      </c>
      <c r="E25" s="49">
        <v>36547.58</v>
      </c>
      <c r="F25" s="50">
        <v>43416</v>
      </c>
      <c r="G25" s="48">
        <v>1</v>
      </c>
      <c r="H25" s="48" t="s">
        <v>35</v>
      </c>
      <c r="I25" s="51" t="s">
        <v>36</v>
      </c>
      <c r="J25" s="56"/>
      <c r="P25" s="6"/>
      <c r="Q25" s="6"/>
      <c r="R25" s="6"/>
      <c r="S25" s="6"/>
      <c r="T25" s="6"/>
    </row>
    <row r="26" spans="1:20" x14ac:dyDescent="0.3">
      <c r="A26" s="52" t="s">
        <v>112</v>
      </c>
      <c r="B26" s="48" t="s">
        <v>113</v>
      </c>
      <c r="C26" s="48" t="s">
        <v>47</v>
      </c>
      <c r="D26" s="48" t="s">
        <v>99</v>
      </c>
      <c r="E26" s="49">
        <v>36547.58</v>
      </c>
      <c r="F26" s="50">
        <v>43416</v>
      </c>
      <c r="G26" s="48">
        <v>1</v>
      </c>
      <c r="H26" s="48" t="s">
        <v>35</v>
      </c>
      <c r="I26" s="51" t="s">
        <v>36</v>
      </c>
      <c r="J26" s="56"/>
      <c r="M26" s="20"/>
      <c r="N26" s="38"/>
      <c r="O26" s="20"/>
      <c r="P26" s="20"/>
      <c r="Q26" s="20"/>
    </row>
    <row r="27" spans="1:20" x14ac:dyDescent="0.3">
      <c r="A27" s="52" t="s">
        <v>151</v>
      </c>
      <c r="B27" s="48" t="s">
        <v>152</v>
      </c>
      <c r="C27" s="48" t="s">
        <v>47</v>
      </c>
      <c r="D27" s="48" t="s">
        <v>141</v>
      </c>
      <c r="E27" s="49">
        <v>115191.38</v>
      </c>
      <c r="F27" s="50">
        <v>44004</v>
      </c>
      <c r="G27" s="48">
        <v>1</v>
      </c>
      <c r="H27" s="48" t="s">
        <v>35</v>
      </c>
      <c r="I27" s="51" t="s">
        <v>102</v>
      </c>
      <c r="J27" s="56"/>
      <c r="M27" s="20"/>
      <c r="N27" s="38"/>
      <c r="O27" s="20"/>
      <c r="P27" s="20"/>
      <c r="Q27" s="20"/>
    </row>
    <row r="28" spans="1:20" x14ac:dyDescent="0.3">
      <c r="A28" s="52" t="s">
        <v>169</v>
      </c>
      <c r="B28" s="48" t="s">
        <v>170</v>
      </c>
      <c r="C28" s="48" t="s">
        <v>33</v>
      </c>
      <c r="D28" s="48" t="s">
        <v>148</v>
      </c>
      <c r="E28" s="49">
        <v>58861.19</v>
      </c>
      <c r="F28" s="50">
        <v>43654</v>
      </c>
      <c r="G28" s="48">
        <v>1</v>
      </c>
      <c r="H28" s="48" t="s">
        <v>492</v>
      </c>
      <c r="I28" s="51" t="s">
        <v>58</v>
      </c>
      <c r="J28" s="56"/>
      <c r="O28" s="5"/>
      <c r="R28" s="39"/>
    </row>
    <row r="29" spans="1:20" x14ac:dyDescent="0.3">
      <c r="A29" s="52" t="s">
        <v>31</v>
      </c>
      <c r="B29" s="48" t="s">
        <v>32</v>
      </c>
      <c r="C29" s="48" t="s">
        <v>33</v>
      </c>
      <c r="D29" s="48" t="s">
        <v>34</v>
      </c>
      <c r="E29" s="49">
        <v>75974.990000000005</v>
      </c>
      <c r="F29" s="50">
        <v>44172</v>
      </c>
      <c r="G29" s="48">
        <v>1</v>
      </c>
      <c r="H29" s="48" t="s">
        <v>492</v>
      </c>
      <c r="I29" s="51" t="s">
        <v>36</v>
      </c>
      <c r="J29" s="56"/>
      <c r="R29" s="37"/>
    </row>
    <row r="30" spans="1:20" x14ac:dyDescent="0.3">
      <c r="A30" s="52" t="s">
        <v>128</v>
      </c>
      <c r="B30" s="48" t="s">
        <v>129</v>
      </c>
      <c r="C30" s="48" t="s">
        <v>47</v>
      </c>
      <c r="D30" s="48" t="s">
        <v>99</v>
      </c>
      <c r="E30" s="49">
        <v>95954.02</v>
      </c>
      <c r="F30" s="50">
        <v>43567</v>
      </c>
      <c r="G30" s="48">
        <v>0.3</v>
      </c>
      <c r="H30" s="48" t="s">
        <v>491</v>
      </c>
      <c r="I30" s="51" t="s">
        <v>102</v>
      </c>
      <c r="J30" s="56"/>
      <c r="R30" s="37"/>
    </row>
    <row r="31" spans="1:20" x14ac:dyDescent="0.3">
      <c r="A31" s="52" t="s">
        <v>137</v>
      </c>
      <c r="B31" s="48" t="s">
        <v>138</v>
      </c>
      <c r="C31" s="48" t="s">
        <v>33</v>
      </c>
      <c r="D31" s="48" t="s">
        <v>81</v>
      </c>
      <c r="E31" s="49">
        <v>102934.09</v>
      </c>
      <c r="F31" s="50">
        <v>44315</v>
      </c>
      <c r="G31" s="48">
        <v>1</v>
      </c>
      <c r="H31" s="48" t="s">
        <v>35</v>
      </c>
      <c r="I31" s="51" t="s">
        <v>102</v>
      </c>
      <c r="J31" s="56"/>
      <c r="R31" s="37"/>
    </row>
    <row r="32" spans="1:20" x14ac:dyDescent="0.3">
      <c r="A32" s="52" t="s">
        <v>175</v>
      </c>
      <c r="B32" s="48" t="s">
        <v>176</v>
      </c>
      <c r="C32" s="48" t="s">
        <v>33</v>
      </c>
      <c r="D32" s="48" t="s">
        <v>42</v>
      </c>
      <c r="E32" s="49">
        <v>41934.71</v>
      </c>
      <c r="F32" s="50">
        <v>43780</v>
      </c>
      <c r="G32" s="48">
        <v>1</v>
      </c>
      <c r="H32" s="48" t="s">
        <v>35</v>
      </c>
      <c r="I32" s="51" t="s">
        <v>36</v>
      </c>
      <c r="J32" s="56"/>
    </row>
    <row r="33" spans="1:10" x14ac:dyDescent="0.3">
      <c r="A33" s="52" t="s">
        <v>139</v>
      </c>
      <c r="B33" s="48" t="s">
        <v>140</v>
      </c>
      <c r="C33" s="48" t="s">
        <v>47</v>
      </c>
      <c r="D33" s="48" t="s">
        <v>141</v>
      </c>
      <c r="E33" s="49">
        <v>104335.03999999999</v>
      </c>
      <c r="F33" s="50">
        <v>43874</v>
      </c>
      <c r="G33" s="48">
        <v>1</v>
      </c>
      <c r="H33" s="48" t="s">
        <v>492</v>
      </c>
      <c r="I33" s="51" t="s">
        <v>58</v>
      </c>
      <c r="J33" s="56"/>
    </row>
    <row r="34" spans="1:10" x14ac:dyDescent="0.3">
      <c r="A34" s="52" t="s">
        <v>69</v>
      </c>
      <c r="B34" s="48" t="s">
        <v>70</v>
      </c>
      <c r="C34" s="48" t="s">
        <v>33</v>
      </c>
      <c r="D34" s="48" t="s">
        <v>48</v>
      </c>
      <c r="E34" s="49">
        <v>81897.789999999994</v>
      </c>
      <c r="F34" s="50">
        <v>43146</v>
      </c>
      <c r="G34" s="48">
        <v>1</v>
      </c>
      <c r="H34" s="48" t="s">
        <v>492</v>
      </c>
      <c r="I34" s="51" t="s">
        <v>71</v>
      </c>
      <c r="J34" s="56"/>
    </row>
    <row r="35" spans="1:10" x14ac:dyDescent="0.3">
      <c r="A35" s="52" t="s">
        <v>51</v>
      </c>
      <c r="B35" s="48" t="s">
        <v>52</v>
      </c>
      <c r="C35" s="48" t="s">
        <v>33</v>
      </c>
      <c r="D35" s="48" t="s">
        <v>53</v>
      </c>
      <c r="E35" s="49">
        <v>78378.2</v>
      </c>
      <c r="F35" s="50">
        <v>43465</v>
      </c>
      <c r="G35" s="48">
        <v>0.4</v>
      </c>
      <c r="H35" s="48" t="s">
        <v>492</v>
      </c>
      <c r="I35" s="51" t="s">
        <v>36</v>
      </c>
      <c r="J35" s="56"/>
    </row>
    <row r="36" spans="1:10" x14ac:dyDescent="0.3">
      <c r="A36" s="52" t="s">
        <v>167</v>
      </c>
      <c r="B36" s="48" t="s">
        <v>168</v>
      </c>
      <c r="C36" s="48" t="s">
        <v>33</v>
      </c>
      <c r="D36" s="48" t="s">
        <v>85</v>
      </c>
      <c r="E36" s="49">
        <v>61994.76</v>
      </c>
      <c r="F36" s="50">
        <v>43794</v>
      </c>
      <c r="G36" s="48">
        <v>0.3</v>
      </c>
      <c r="H36" s="48" t="s">
        <v>35</v>
      </c>
      <c r="I36" s="51" t="s">
        <v>102</v>
      </c>
      <c r="J36" s="56"/>
    </row>
    <row r="37" spans="1:10" x14ac:dyDescent="0.3">
      <c r="A37" s="52" t="s">
        <v>105</v>
      </c>
      <c r="B37" s="48" t="s">
        <v>106</v>
      </c>
      <c r="C37" s="48" t="s">
        <v>47</v>
      </c>
      <c r="D37" s="48" t="s">
        <v>92</v>
      </c>
      <c r="E37" s="49">
        <v>37362.300000000003</v>
      </c>
      <c r="F37" s="50">
        <v>43642</v>
      </c>
      <c r="G37" s="48">
        <v>1</v>
      </c>
      <c r="H37" s="48" t="s">
        <v>35</v>
      </c>
      <c r="I37" s="51" t="s">
        <v>71</v>
      </c>
      <c r="J37" s="56"/>
    </row>
    <row r="38" spans="1:10" x14ac:dyDescent="0.3">
      <c r="A38" s="52" t="s">
        <v>79</v>
      </c>
      <c r="B38" s="48" t="s">
        <v>80</v>
      </c>
      <c r="C38" s="48" t="s">
        <v>33</v>
      </c>
      <c r="D38" s="48" t="s">
        <v>81</v>
      </c>
      <c r="E38" s="49">
        <v>84745.93</v>
      </c>
      <c r="F38" s="50">
        <v>43707</v>
      </c>
      <c r="G38" s="48">
        <v>1</v>
      </c>
      <c r="H38" s="48" t="s">
        <v>491</v>
      </c>
      <c r="I38" s="51" t="s">
        <v>82</v>
      </c>
      <c r="J38" s="56"/>
    </row>
    <row r="39" spans="1:10" x14ac:dyDescent="0.3">
      <c r="A39" s="52" t="s">
        <v>116</v>
      </c>
      <c r="B39" s="48" t="s">
        <v>117</v>
      </c>
      <c r="C39" s="48" t="s">
        <v>47</v>
      </c>
      <c r="D39" s="48" t="s">
        <v>42</v>
      </c>
      <c r="E39" s="49">
        <v>32192.15</v>
      </c>
      <c r="F39" s="50">
        <v>44473</v>
      </c>
      <c r="G39" s="48">
        <v>1</v>
      </c>
      <c r="H39" s="48" t="s">
        <v>491</v>
      </c>
      <c r="I39" s="51" t="s">
        <v>102</v>
      </c>
      <c r="J39" s="56"/>
    </row>
    <row r="40" spans="1:10" x14ac:dyDescent="0.3">
      <c r="A40" s="52" t="s">
        <v>107</v>
      </c>
      <c r="B40" s="48" t="s">
        <v>108</v>
      </c>
      <c r="C40" s="48" t="s">
        <v>47</v>
      </c>
      <c r="D40" s="48" t="s">
        <v>34</v>
      </c>
      <c r="E40" s="49">
        <v>36714.379999999997</v>
      </c>
      <c r="F40" s="50">
        <v>44175</v>
      </c>
      <c r="G40" s="48">
        <v>1</v>
      </c>
      <c r="H40" s="48" t="s">
        <v>491</v>
      </c>
      <c r="I40" s="51" t="s">
        <v>49</v>
      </c>
      <c r="J40" s="56"/>
    </row>
    <row r="41" spans="1:10" x14ac:dyDescent="0.3">
      <c r="A41" s="52" t="s">
        <v>122</v>
      </c>
      <c r="B41" s="48" t="s">
        <v>123</v>
      </c>
      <c r="C41" s="48" t="s">
        <v>33</v>
      </c>
      <c r="D41" s="48" t="s">
        <v>48</v>
      </c>
      <c r="E41" s="49">
        <v>89690.38</v>
      </c>
      <c r="F41" s="50">
        <v>43206</v>
      </c>
      <c r="G41" s="48">
        <v>1</v>
      </c>
      <c r="H41" s="48" t="s">
        <v>35</v>
      </c>
      <c r="I41" s="51" t="s">
        <v>82</v>
      </c>
      <c r="J41" s="56"/>
    </row>
    <row r="42" spans="1:10" x14ac:dyDescent="0.3">
      <c r="A42" s="52" t="s">
        <v>177</v>
      </c>
      <c r="B42" s="48" t="s">
        <v>178</v>
      </c>
      <c r="C42" s="48" t="s">
        <v>33</v>
      </c>
      <c r="D42" s="48" t="s">
        <v>42</v>
      </c>
      <c r="E42" s="49">
        <v>39535.49</v>
      </c>
      <c r="F42" s="50">
        <v>43397</v>
      </c>
      <c r="G42" s="48">
        <v>0.3</v>
      </c>
      <c r="H42" s="48" t="s">
        <v>35</v>
      </c>
      <c r="I42" s="51" t="s">
        <v>36</v>
      </c>
      <c r="J42" s="56"/>
    </row>
    <row r="43" spans="1:10" x14ac:dyDescent="0.3">
      <c r="A43" s="52" t="s">
        <v>95</v>
      </c>
      <c r="B43" s="48" t="s">
        <v>96</v>
      </c>
      <c r="C43" s="48" t="s">
        <v>47</v>
      </c>
      <c r="D43" s="48" t="s">
        <v>42</v>
      </c>
      <c r="E43" s="49">
        <v>62195.47</v>
      </c>
      <c r="F43" s="50">
        <v>44434</v>
      </c>
      <c r="G43" s="48">
        <v>1</v>
      </c>
      <c r="H43" s="48" t="s">
        <v>35</v>
      </c>
      <c r="I43" s="51" t="s">
        <v>36</v>
      </c>
      <c r="J43" s="56"/>
    </row>
    <row r="44" spans="1:10" x14ac:dyDescent="0.3">
      <c r="A44" s="52" t="s">
        <v>83</v>
      </c>
      <c r="B44" s="48" t="s">
        <v>84</v>
      </c>
      <c r="C44" s="48" t="s">
        <v>47</v>
      </c>
      <c r="D44" s="48" t="s">
        <v>85</v>
      </c>
      <c r="E44" s="49">
        <v>72876.91</v>
      </c>
      <c r="F44" s="50">
        <v>43837</v>
      </c>
      <c r="G44" s="48">
        <v>1</v>
      </c>
      <c r="H44" s="48" t="s">
        <v>494</v>
      </c>
      <c r="I44" s="51" t="s">
        <v>36</v>
      </c>
      <c r="J44" s="56"/>
    </row>
    <row r="45" spans="1:10" x14ac:dyDescent="0.3">
      <c r="A45" s="52" t="s">
        <v>86</v>
      </c>
      <c r="B45" s="48" t="s">
        <v>87</v>
      </c>
      <c r="C45" s="48" t="s">
        <v>47</v>
      </c>
      <c r="D45" s="48" t="s">
        <v>88</v>
      </c>
      <c r="E45" s="49">
        <v>66572.58</v>
      </c>
      <c r="F45" s="50">
        <v>44193</v>
      </c>
      <c r="G45" s="48">
        <v>1</v>
      </c>
      <c r="H45" s="48" t="s">
        <v>35</v>
      </c>
      <c r="I45" s="51" t="s">
        <v>49</v>
      </c>
      <c r="J45" s="56"/>
    </row>
    <row r="46" spans="1:10" x14ac:dyDescent="0.3">
      <c r="A46" s="52" t="s">
        <v>86</v>
      </c>
      <c r="B46" s="48" t="s">
        <v>89</v>
      </c>
      <c r="C46" s="48" t="s">
        <v>47</v>
      </c>
      <c r="D46" s="48" t="s">
        <v>88</v>
      </c>
      <c r="E46" s="49">
        <v>66572.58</v>
      </c>
      <c r="F46" s="50">
        <v>44193</v>
      </c>
      <c r="G46" s="48">
        <v>1</v>
      </c>
      <c r="H46" s="48" t="s">
        <v>35</v>
      </c>
      <c r="I46" s="51" t="s">
        <v>49</v>
      </c>
      <c r="J46" s="56"/>
    </row>
    <row r="47" spans="1:10" x14ac:dyDescent="0.3">
      <c r="A47" s="52" t="s">
        <v>179</v>
      </c>
      <c r="B47" s="48" t="s">
        <v>180</v>
      </c>
      <c r="C47" s="48" t="s">
        <v>33</v>
      </c>
      <c r="D47" s="48" t="s">
        <v>85</v>
      </c>
      <c r="E47" s="49">
        <v>35943.620000000003</v>
      </c>
      <c r="F47" s="50">
        <v>44078</v>
      </c>
      <c r="G47" s="48">
        <v>1</v>
      </c>
      <c r="H47" s="48" t="s">
        <v>494</v>
      </c>
      <c r="I47" s="51" t="s">
        <v>58</v>
      </c>
      <c r="J47" s="56"/>
    </row>
    <row r="48" spans="1:10" x14ac:dyDescent="0.3">
      <c r="A48" s="52" t="s">
        <v>153</v>
      </c>
      <c r="B48" s="48" t="s">
        <v>154</v>
      </c>
      <c r="C48" s="48" t="s">
        <v>47</v>
      </c>
      <c r="D48" s="48" t="s">
        <v>99</v>
      </c>
      <c r="E48" s="49">
        <v>119022.49</v>
      </c>
      <c r="F48" s="50">
        <v>44431</v>
      </c>
      <c r="G48" s="48">
        <v>1</v>
      </c>
      <c r="H48" s="48" t="s">
        <v>35</v>
      </c>
      <c r="I48" s="51" t="s">
        <v>71</v>
      </c>
      <c r="J48" s="56"/>
    </row>
    <row r="49" spans="1:10" x14ac:dyDescent="0.3">
      <c r="A49" s="52" t="s">
        <v>90</v>
      </c>
      <c r="B49" s="48" t="s">
        <v>91</v>
      </c>
      <c r="C49" s="48" t="s">
        <v>47</v>
      </c>
      <c r="D49" s="48" t="s">
        <v>92</v>
      </c>
      <c r="E49" s="49">
        <v>65699.02</v>
      </c>
      <c r="F49" s="50">
        <v>43951</v>
      </c>
      <c r="G49" s="48">
        <v>1</v>
      </c>
      <c r="H49" s="48" t="s">
        <v>35</v>
      </c>
      <c r="I49" s="51" t="s">
        <v>58</v>
      </c>
      <c r="J49" s="56"/>
    </row>
    <row r="50" spans="1:10" x14ac:dyDescent="0.3">
      <c r="A50" s="52" t="s">
        <v>173</v>
      </c>
      <c r="B50" s="48" t="s">
        <v>174</v>
      </c>
      <c r="C50" s="48" t="s">
        <v>33</v>
      </c>
      <c r="D50" s="48" t="s">
        <v>148</v>
      </c>
      <c r="E50" s="49">
        <v>47551.89</v>
      </c>
      <c r="F50" s="50">
        <v>43468</v>
      </c>
      <c r="G50" s="48">
        <v>1</v>
      </c>
      <c r="H50" s="48" t="s">
        <v>492</v>
      </c>
      <c r="I50" s="51" t="s">
        <v>71</v>
      </c>
      <c r="J50" s="56"/>
    </row>
    <row r="51" spans="1:10" x14ac:dyDescent="0.3">
      <c r="A51" s="52" t="s">
        <v>66</v>
      </c>
      <c r="B51" s="48" t="s">
        <v>56</v>
      </c>
      <c r="C51" s="48" t="s">
        <v>33</v>
      </c>
      <c r="D51" s="48" t="s">
        <v>57</v>
      </c>
      <c r="E51" s="49">
        <v>80695.740000000005</v>
      </c>
      <c r="F51" s="50">
        <v>43787</v>
      </c>
      <c r="G51" s="48">
        <v>0.8</v>
      </c>
      <c r="H51" s="48" t="s">
        <v>492</v>
      </c>
      <c r="I51" s="51" t="s">
        <v>58</v>
      </c>
      <c r="J51" s="56"/>
    </row>
    <row r="52" spans="1:10" x14ac:dyDescent="0.3">
      <c r="A52" s="52" t="s">
        <v>126</v>
      </c>
      <c r="B52" s="48" t="s">
        <v>127</v>
      </c>
      <c r="C52" s="48" t="s">
        <v>33</v>
      </c>
      <c r="D52" s="48" t="s">
        <v>76</v>
      </c>
      <c r="E52" s="49">
        <v>92336.08</v>
      </c>
      <c r="F52" s="50">
        <v>44431</v>
      </c>
      <c r="G52" s="48">
        <v>1</v>
      </c>
      <c r="H52" s="48" t="s">
        <v>492</v>
      </c>
      <c r="I52" s="51" t="s">
        <v>102</v>
      </c>
      <c r="J52" s="56"/>
    </row>
    <row r="53" spans="1:10" x14ac:dyDescent="0.3">
      <c r="A53" s="52" t="s">
        <v>159</v>
      </c>
      <c r="B53" s="48" t="s">
        <v>160</v>
      </c>
      <c r="C53" s="48" t="s">
        <v>33</v>
      </c>
      <c r="D53" s="48" t="s">
        <v>57</v>
      </c>
      <c r="E53" s="49">
        <v>69192.850000000006</v>
      </c>
      <c r="F53" s="50">
        <v>44305</v>
      </c>
      <c r="G53" s="48">
        <v>1</v>
      </c>
      <c r="H53" s="48" t="s">
        <v>492</v>
      </c>
      <c r="I53" s="51" t="s">
        <v>58</v>
      </c>
      <c r="J53" s="56"/>
    </row>
    <row r="54" spans="1:10" x14ac:dyDescent="0.3">
      <c r="A54" s="52" t="s">
        <v>142</v>
      </c>
      <c r="B54" s="48" t="s">
        <v>143</v>
      </c>
      <c r="C54" s="48"/>
      <c r="D54" s="48" t="s">
        <v>34</v>
      </c>
      <c r="E54" s="49">
        <v>104802.63</v>
      </c>
      <c r="F54" s="50">
        <v>44502</v>
      </c>
      <c r="G54" s="48">
        <v>1</v>
      </c>
      <c r="H54" s="48" t="s">
        <v>492</v>
      </c>
      <c r="I54" s="51" t="s">
        <v>102</v>
      </c>
      <c r="J54" s="56"/>
    </row>
    <row r="55" spans="1:10" x14ac:dyDescent="0.3">
      <c r="A55" s="52" t="s">
        <v>134</v>
      </c>
      <c r="B55" s="48" t="s">
        <v>135</v>
      </c>
      <c r="C55" s="48" t="s">
        <v>33</v>
      </c>
      <c r="D55" s="48" t="s">
        <v>57</v>
      </c>
      <c r="E55" s="49">
        <v>98000</v>
      </c>
      <c r="F55" s="50">
        <v>43710</v>
      </c>
      <c r="G55" s="48">
        <v>0.9</v>
      </c>
      <c r="H55" s="48" t="s">
        <v>492</v>
      </c>
      <c r="I55" s="51" t="s">
        <v>136</v>
      </c>
      <c r="J55" s="56"/>
    </row>
    <row r="56" spans="1:10" x14ac:dyDescent="0.3">
      <c r="A56" s="52" t="s">
        <v>40</v>
      </c>
      <c r="B56" s="48" t="s">
        <v>41</v>
      </c>
      <c r="C56" s="48" t="s">
        <v>33</v>
      </c>
      <c r="D56" s="48" t="s">
        <v>42</v>
      </c>
      <c r="E56" s="49">
        <v>77045.440000000002</v>
      </c>
      <c r="F56" s="50">
        <v>43636</v>
      </c>
      <c r="G56" s="48">
        <v>1</v>
      </c>
      <c r="H56" s="48" t="s">
        <v>492</v>
      </c>
      <c r="I56" s="51" t="s">
        <v>36</v>
      </c>
      <c r="J56" s="56"/>
    </row>
    <row r="57" spans="1:10" x14ac:dyDescent="0.3">
      <c r="A57" s="52" t="s">
        <v>144</v>
      </c>
      <c r="B57" s="48" t="s">
        <v>145</v>
      </c>
      <c r="C57" s="48" t="s">
        <v>47</v>
      </c>
      <c r="D57" s="48" t="s">
        <v>57</v>
      </c>
      <c r="E57" s="49">
        <v>110042.37</v>
      </c>
      <c r="F57" s="50">
        <v>43914</v>
      </c>
      <c r="G57" s="48">
        <v>1</v>
      </c>
      <c r="H57" s="48" t="s">
        <v>491</v>
      </c>
      <c r="I57" s="51" t="s">
        <v>58</v>
      </c>
      <c r="J57" s="56"/>
    </row>
    <row r="58" spans="1:10" x14ac:dyDescent="0.3">
      <c r="A58" s="52" t="s">
        <v>93</v>
      </c>
      <c r="B58" s="48" t="s">
        <v>94</v>
      </c>
      <c r="C58" s="48" t="s">
        <v>47</v>
      </c>
      <c r="D58" s="48" t="s">
        <v>76</v>
      </c>
      <c r="E58" s="49">
        <v>62281.24</v>
      </c>
      <c r="F58" s="50">
        <v>43272</v>
      </c>
      <c r="G58" s="48">
        <v>1</v>
      </c>
      <c r="H58" s="48" t="s">
        <v>35</v>
      </c>
      <c r="I58" s="51" t="s">
        <v>36</v>
      </c>
      <c r="J58" s="56"/>
    </row>
    <row r="59" spans="1:10" x14ac:dyDescent="0.3">
      <c r="A59" s="42"/>
      <c r="B59" s="43"/>
      <c r="C59" s="43"/>
      <c r="D59" s="44" t="s">
        <v>183</v>
      </c>
      <c r="E59" s="45">
        <f>SUM(E2:E58)</f>
        <v>4073594.4060000018</v>
      </c>
      <c r="F59" s="43"/>
      <c r="G59" s="46">
        <f>SUM(G2:G58)</f>
        <v>51.199999999999996</v>
      </c>
      <c r="H59" s="43"/>
      <c r="I59" s="47"/>
      <c r="J59" s="1"/>
    </row>
    <row r="60" spans="1:10" x14ac:dyDescent="0.3">
      <c r="D60" s="22"/>
    </row>
  </sheetData>
  <mergeCells count="1">
    <mergeCell ref="P21:P2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50C4A-1246-453D-8CF0-B71B14744A19}">
  <dimension ref="A1:M66"/>
  <sheetViews>
    <sheetView workbookViewId="0">
      <selection activeCell="G23" sqref="G23"/>
    </sheetView>
  </sheetViews>
  <sheetFormatPr defaultRowHeight="14.2" x14ac:dyDescent="0.3"/>
  <cols>
    <col min="1" max="1" width="9.09765625" customWidth="1"/>
    <col min="2" max="2" width="12.296875" customWidth="1"/>
    <col min="3" max="3" width="14.19921875" customWidth="1"/>
    <col min="4" max="4" width="11" customWidth="1"/>
    <col min="5" max="5" width="23.19921875" customWidth="1"/>
    <col min="6" max="6" width="11" customWidth="1"/>
    <col min="7" max="7" width="13.796875" customWidth="1"/>
    <col min="8" max="8" width="11.59765625" customWidth="1"/>
    <col min="9" max="9" width="10.69921875" customWidth="1"/>
    <col min="10" max="10" width="12.19921875" customWidth="1"/>
    <col min="11" max="11" width="6.09765625" customWidth="1"/>
    <col min="12" max="12" width="15.59765625" customWidth="1"/>
    <col min="13" max="13" width="20.8984375" customWidth="1"/>
  </cols>
  <sheetData>
    <row r="1" spans="1:13" x14ac:dyDescent="0.3">
      <c r="A1" t="s">
        <v>22</v>
      </c>
      <c r="B1" t="s">
        <v>370</v>
      </c>
      <c r="C1" t="s">
        <v>371</v>
      </c>
      <c r="D1" t="s">
        <v>24</v>
      </c>
      <c r="E1" t="s">
        <v>25</v>
      </c>
      <c r="F1" t="s">
        <v>26</v>
      </c>
      <c r="G1" t="s">
        <v>476</v>
      </c>
      <c r="H1" t="s">
        <v>27</v>
      </c>
      <c r="I1" t="s">
        <v>477</v>
      </c>
      <c r="J1" t="s">
        <v>479</v>
      </c>
      <c r="K1" t="s">
        <v>28</v>
      </c>
      <c r="L1" t="s">
        <v>29</v>
      </c>
      <c r="M1" t="s">
        <v>30</v>
      </c>
    </row>
    <row r="2" spans="1:13" x14ac:dyDescent="0.3">
      <c r="A2" t="s">
        <v>130</v>
      </c>
      <c r="B2" t="s">
        <v>372</v>
      </c>
      <c r="C2" t="s">
        <v>373</v>
      </c>
      <c r="D2" t="s">
        <v>33</v>
      </c>
      <c r="E2" t="s">
        <v>81</v>
      </c>
      <c r="F2">
        <v>96135.75</v>
      </c>
      <c r="G2" t="s">
        <v>480</v>
      </c>
      <c r="H2" s="30">
        <v>44025</v>
      </c>
      <c r="I2" s="31">
        <v>1793</v>
      </c>
      <c r="J2">
        <v>4.912328767123288</v>
      </c>
      <c r="K2">
        <v>0.3</v>
      </c>
      <c r="L2" t="s">
        <v>35</v>
      </c>
      <c r="M2" t="s">
        <v>82</v>
      </c>
    </row>
    <row r="3" spans="1:13" x14ac:dyDescent="0.3">
      <c r="A3" t="s">
        <v>157</v>
      </c>
      <c r="B3" t="s">
        <v>374</v>
      </c>
      <c r="C3" t="s">
        <v>375</v>
      </c>
      <c r="D3" t="s">
        <v>33</v>
      </c>
      <c r="E3" t="s">
        <v>57</v>
      </c>
      <c r="F3">
        <v>70649.460000000006</v>
      </c>
      <c r="G3" t="s">
        <v>480</v>
      </c>
      <c r="H3" s="30">
        <v>43843</v>
      </c>
      <c r="I3" s="31">
        <v>1975</v>
      </c>
      <c r="J3">
        <v>5.4109589041095889</v>
      </c>
      <c r="K3">
        <v>1</v>
      </c>
      <c r="L3" t="s">
        <v>35</v>
      </c>
      <c r="M3" t="s">
        <v>102</v>
      </c>
    </row>
    <row r="4" spans="1:13" x14ac:dyDescent="0.3">
      <c r="A4" t="s">
        <v>55</v>
      </c>
      <c r="B4" t="s">
        <v>376</v>
      </c>
      <c r="C4" t="s">
        <v>377</v>
      </c>
      <c r="D4" t="s">
        <v>33</v>
      </c>
      <c r="E4" t="s">
        <v>57</v>
      </c>
      <c r="F4">
        <v>80695.740000000005</v>
      </c>
      <c r="G4" t="s">
        <v>480</v>
      </c>
      <c r="H4" s="30">
        <v>43360</v>
      </c>
      <c r="I4" s="31">
        <v>2458</v>
      </c>
      <c r="J4">
        <v>6.7342465753424658</v>
      </c>
      <c r="K4">
        <v>1</v>
      </c>
      <c r="L4" t="s">
        <v>35</v>
      </c>
      <c r="M4" t="s">
        <v>58</v>
      </c>
    </row>
    <row r="5" spans="1:13" x14ac:dyDescent="0.3">
      <c r="A5" t="s">
        <v>55</v>
      </c>
      <c r="B5" t="s">
        <v>376</v>
      </c>
      <c r="C5" t="s">
        <v>377</v>
      </c>
      <c r="D5" t="s">
        <v>33</v>
      </c>
      <c r="E5" t="s">
        <v>57</v>
      </c>
      <c r="F5">
        <v>80695.740000000005</v>
      </c>
      <c r="G5" t="s">
        <v>480</v>
      </c>
      <c r="H5" s="30">
        <v>43360</v>
      </c>
      <c r="I5" s="31">
        <v>2458</v>
      </c>
      <c r="J5">
        <v>6.7342465753424658</v>
      </c>
      <c r="K5">
        <v>1</v>
      </c>
      <c r="L5" t="s">
        <v>35</v>
      </c>
      <c r="M5" t="s">
        <v>58</v>
      </c>
    </row>
    <row r="6" spans="1:13" x14ac:dyDescent="0.3">
      <c r="A6" t="s">
        <v>181</v>
      </c>
      <c r="B6" t="s">
        <v>378</v>
      </c>
      <c r="C6" t="s">
        <v>379</v>
      </c>
      <c r="D6" t="s">
        <v>47</v>
      </c>
      <c r="E6" t="s">
        <v>148</v>
      </c>
      <c r="F6">
        <v>120000</v>
      </c>
      <c r="G6" t="s">
        <v>478</v>
      </c>
      <c r="H6" s="30">
        <v>43416</v>
      </c>
      <c r="I6" s="31">
        <v>2402</v>
      </c>
      <c r="J6">
        <v>6.580821917808219</v>
      </c>
      <c r="K6">
        <v>1</v>
      </c>
      <c r="L6" t="s">
        <v>35</v>
      </c>
      <c r="M6" t="s">
        <v>36</v>
      </c>
    </row>
    <row r="7" spans="1:13" x14ac:dyDescent="0.3">
      <c r="A7" t="s">
        <v>163</v>
      </c>
      <c r="B7" t="s">
        <v>380</v>
      </c>
      <c r="C7" t="s">
        <v>381</v>
      </c>
      <c r="D7" t="s">
        <v>33</v>
      </c>
      <c r="E7" t="s">
        <v>92</v>
      </c>
      <c r="F7">
        <v>67905.8</v>
      </c>
      <c r="G7" t="s">
        <v>480</v>
      </c>
      <c r="H7" s="30">
        <v>44194</v>
      </c>
      <c r="I7" s="31">
        <v>1624</v>
      </c>
      <c r="J7">
        <v>4.4493150684931511</v>
      </c>
      <c r="K7">
        <v>1</v>
      </c>
      <c r="L7" t="s">
        <v>35</v>
      </c>
      <c r="M7" t="s">
        <v>36</v>
      </c>
    </row>
    <row r="8" spans="1:13" x14ac:dyDescent="0.3">
      <c r="A8" t="s">
        <v>161</v>
      </c>
      <c r="B8" t="s">
        <v>382</v>
      </c>
      <c r="C8" t="s">
        <v>383</v>
      </c>
      <c r="D8" t="s">
        <v>33</v>
      </c>
      <c r="E8" t="s">
        <v>57</v>
      </c>
      <c r="F8">
        <v>68980.52</v>
      </c>
      <c r="G8" t="s">
        <v>480</v>
      </c>
      <c r="H8" s="30">
        <v>43494</v>
      </c>
      <c r="I8" s="31">
        <v>2324</v>
      </c>
      <c r="J8">
        <v>6.3671232876712329</v>
      </c>
      <c r="K8">
        <v>0.8</v>
      </c>
      <c r="L8" t="s">
        <v>35</v>
      </c>
      <c r="M8" t="s">
        <v>36</v>
      </c>
    </row>
    <row r="9" spans="1:13" x14ac:dyDescent="0.3">
      <c r="A9" t="s">
        <v>165</v>
      </c>
      <c r="B9" t="s">
        <v>384</v>
      </c>
      <c r="C9" t="s">
        <v>385</v>
      </c>
      <c r="D9" t="s">
        <v>33</v>
      </c>
      <c r="E9" t="s">
        <v>88</v>
      </c>
      <c r="F9">
        <v>63705.4</v>
      </c>
      <c r="G9" t="s">
        <v>480</v>
      </c>
      <c r="H9" s="30">
        <v>43682</v>
      </c>
      <c r="I9" s="31">
        <v>2136</v>
      </c>
      <c r="J9">
        <v>5.8520547945205479</v>
      </c>
      <c r="K9">
        <v>1</v>
      </c>
      <c r="L9" t="s">
        <v>35</v>
      </c>
      <c r="M9" t="s">
        <v>102</v>
      </c>
    </row>
    <row r="10" spans="1:13" x14ac:dyDescent="0.3">
      <c r="A10" t="s">
        <v>149</v>
      </c>
      <c r="B10" t="s">
        <v>386</v>
      </c>
      <c r="C10" t="s">
        <v>387</v>
      </c>
      <c r="D10" t="s">
        <v>33</v>
      </c>
      <c r="E10" t="s">
        <v>99</v>
      </c>
      <c r="F10">
        <v>114177.23</v>
      </c>
      <c r="G10" t="s">
        <v>478</v>
      </c>
      <c r="H10" s="30">
        <v>43908</v>
      </c>
      <c r="I10" s="31">
        <v>1910</v>
      </c>
      <c r="J10">
        <v>5.2328767123287667</v>
      </c>
      <c r="K10">
        <v>1</v>
      </c>
      <c r="L10" t="s">
        <v>35</v>
      </c>
      <c r="M10" t="s">
        <v>82</v>
      </c>
    </row>
    <row r="11" spans="1:13" x14ac:dyDescent="0.3">
      <c r="A11" t="s">
        <v>118</v>
      </c>
      <c r="B11" t="s">
        <v>388</v>
      </c>
      <c r="C11" t="s">
        <v>389</v>
      </c>
      <c r="D11" t="s">
        <v>47</v>
      </c>
      <c r="E11" t="s">
        <v>88</v>
      </c>
      <c r="F11">
        <v>29774.76</v>
      </c>
      <c r="G11" t="s">
        <v>480</v>
      </c>
      <c r="H11" s="30">
        <v>44105</v>
      </c>
      <c r="I11" s="31">
        <v>1713</v>
      </c>
      <c r="J11">
        <v>4.6931506849315072</v>
      </c>
      <c r="K11">
        <v>1</v>
      </c>
      <c r="L11" t="s">
        <v>35</v>
      </c>
      <c r="M11" t="s">
        <v>82</v>
      </c>
    </row>
    <row r="12" spans="1:13" x14ac:dyDescent="0.3">
      <c r="A12" t="s">
        <v>97</v>
      </c>
      <c r="B12" t="s">
        <v>390</v>
      </c>
      <c r="C12" t="s">
        <v>391</v>
      </c>
      <c r="D12" t="s">
        <v>47</v>
      </c>
      <c r="E12" t="s">
        <v>99</v>
      </c>
      <c r="F12">
        <v>52963.65</v>
      </c>
      <c r="G12" t="s">
        <v>480</v>
      </c>
      <c r="H12" s="30">
        <v>44288</v>
      </c>
      <c r="I12" s="31">
        <v>1530</v>
      </c>
      <c r="J12">
        <v>4.1917808219178081</v>
      </c>
      <c r="K12">
        <v>0.3</v>
      </c>
      <c r="L12" t="s">
        <v>35</v>
      </c>
      <c r="M12" t="s">
        <v>58</v>
      </c>
    </row>
    <row r="13" spans="1:13" x14ac:dyDescent="0.3">
      <c r="A13" t="s">
        <v>100</v>
      </c>
      <c r="B13" t="s">
        <v>392</v>
      </c>
      <c r="C13" t="s">
        <v>393</v>
      </c>
      <c r="D13" t="s">
        <v>47</v>
      </c>
      <c r="E13" t="s">
        <v>85</v>
      </c>
      <c r="F13">
        <v>50310.09</v>
      </c>
      <c r="G13" t="s">
        <v>480</v>
      </c>
      <c r="H13" s="30">
        <v>44285</v>
      </c>
      <c r="I13" s="31">
        <v>1533</v>
      </c>
      <c r="J13">
        <v>4.2</v>
      </c>
      <c r="K13">
        <v>0.4</v>
      </c>
      <c r="L13" t="s">
        <v>35</v>
      </c>
      <c r="M13" t="s">
        <v>102</v>
      </c>
    </row>
    <row r="14" spans="1:13" x14ac:dyDescent="0.3">
      <c r="A14" t="s">
        <v>74</v>
      </c>
      <c r="B14" t="s">
        <v>394</v>
      </c>
      <c r="C14" t="s">
        <v>395</v>
      </c>
      <c r="D14" t="s">
        <v>33</v>
      </c>
      <c r="E14" t="s">
        <v>76</v>
      </c>
      <c r="F14">
        <v>84309.95</v>
      </c>
      <c r="G14" t="s">
        <v>480</v>
      </c>
      <c r="H14" s="30">
        <v>44501</v>
      </c>
      <c r="I14" s="31">
        <v>1317</v>
      </c>
      <c r="J14">
        <v>3.6082191780821917</v>
      </c>
      <c r="K14">
        <v>1</v>
      </c>
      <c r="L14" t="s">
        <v>35</v>
      </c>
      <c r="M14" t="s">
        <v>36</v>
      </c>
    </row>
    <row r="15" spans="1:13" x14ac:dyDescent="0.3">
      <c r="A15" t="s">
        <v>114</v>
      </c>
      <c r="B15" t="s">
        <v>396</v>
      </c>
      <c r="C15" t="s">
        <v>397</v>
      </c>
      <c r="D15" t="s">
        <v>47</v>
      </c>
      <c r="E15" t="s">
        <v>99</v>
      </c>
      <c r="F15">
        <v>35936.31</v>
      </c>
      <c r="G15" t="s">
        <v>480</v>
      </c>
      <c r="H15" s="30">
        <v>43241</v>
      </c>
      <c r="I15" s="31">
        <v>2577</v>
      </c>
      <c r="J15">
        <v>7.0602739726027401</v>
      </c>
      <c r="K15">
        <v>1</v>
      </c>
      <c r="L15" t="s">
        <v>35</v>
      </c>
      <c r="M15" t="s">
        <v>49</v>
      </c>
    </row>
    <row r="16" spans="1:13" x14ac:dyDescent="0.3">
      <c r="A16" t="s">
        <v>146</v>
      </c>
      <c r="B16" t="s">
        <v>398</v>
      </c>
      <c r="C16" t="s">
        <v>399</v>
      </c>
      <c r="D16" t="s">
        <v>47</v>
      </c>
      <c r="E16" t="s">
        <v>148</v>
      </c>
      <c r="F16">
        <v>112645.99</v>
      </c>
      <c r="G16" t="s">
        <v>478</v>
      </c>
      <c r="H16" s="30">
        <v>43759</v>
      </c>
      <c r="I16" s="31">
        <v>2059</v>
      </c>
      <c r="J16">
        <v>5.6410958904109592</v>
      </c>
      <c r="K16">
        <v>0.6</v>
      </c>
      <c r="L16" t="s">
        <v>35</v>
      </c>
      <c r="M16" t="s">
        <v>136</v>
      </c>
    </row>
    <row r="17" spans="1:13" x14ac:dyDescent="0.3">
      <c r="A17" t="s">
        <v>124</v>
      </c>
      <c r="B17" t="s">
        <v>400</v>
      </c>
      <c r="C17" t="s">
        <v>401</v>
      </c>
      <c r="D17" t="s">
        <v>47</v>
      </c>
      <c r="E17" t="s">
        <v>99</v>
      </c>
      <c r="F17">
        <v>91645.04</v>
      </c>
      <c r="G17" t="s">
        <v>480</v>
      </c>
      <c r="H17" s="30">
        <v>44223</v>
      </c>
      <c r="I17" s="31">
        <v>1595</v>
      </c>
      <c r="J17">
        <v>4.3698630136986303</v>
      </c>
      <c r="K17">
        <v>1</v>
      </c>
      <c r="L17" t="s">
        <v>35</v>
      </c>
      <c r="M17" t="s">
        <v>71</v>
      </c>
    </row>
    <row r="18" spans="1:13" x14ac:dyDescent="0.3">
      <c r="A18" t="s">
        <v>132</v>
      </c>
      <c r="B18" t="s">
        <v>402</v>
      </c>
      <c r="C18" t="s">
        <v>403</v>
      </c>
      <c r="D18" t="s">
        <v>33</v>
      </c>
      <c r="E18" t="s">
        <v>53</v>
      </c>
      <c r="F18">
        <v>97105.19</v>
      </c>
      <c r="G18" t="s">
        <v>480</v>
      </c>
      <c r="H18" s="30">
        <v>44425</v>
      </c>
      <c r="I18" s="31">
        <v>1393</v>
      </c>
      <c r="J18">
        <v>3.8164383561643835</v>
      </c>
      <c r="K18">
        <v>1</v>
      </c>
      <c r="L18" t="s">
        <v>35</v>
      </c>
      <c r="M18" t="s">
        <v>58</v>
      </c>
    </row>
    <row r="19" spans="1:13" x14ac:dyDescent="0.3">
      <c r="A19" t="s">
        <v>77</v>
      </c>
      <c r="B19" t="s">
        <v>404</v>
      </c>
      <c r="C19" t="s">
        <v>405</v>
      </c>
      <c r="D19" t="s">
        <v>47</v>
      </c>
      <c r="E19" t="s">
        <v>48</v>
      </c>
      <c r="F19">
        <v>84742.86</v>
      </c>
      <c r="G19" t="s">
        <v>480</v>
      </c>
      <c r="H19" s="30">
        <v>44098</v>
      </c>
      <c r="I19" s="31">
        <v>1720</v>
      </c>
      <c r="J19">
        <v>4.7123287671232879</v>
      </c>
      <c r="K19">
        <v>1</v>
      </c>
      <c r="L19" t="s">
        <v>35</v>
      </c>
      <c r="M19" t="s">
        <v>71</v>
      </c>
    </row>
    <row r="20" spans="1:13" x14ac:dyDescent="0.3">
      <c r="A20" t="s">
        <v>120</v>
      </c>
      <c r="B20" t="s">
        <v>406</v>
      </c>
      <c r="C20" t="s">
        <v>407</v>
      </c>
      <c r="D20" t="s">
        <v>47</v>
      </c>
      <c r="E20" t="s">
        <v>57</v>
      </c>
      <c r="F20">
        <v>85918.61</v>
      </c>
      <c r="G20" t="s">
        <v>480</v>
      </c>
      <c r="H20" s="30">
        <v>43136</v>
      </c>
      <c r="I20" s="31">
        <v>2682</v>
      </c>
      <c r="J20">
        <v>7.3479452054794523</v>
      </c>
      <c r="K20">
        <v>1</v>
      </c>
      <c r="L20" t="s">
        <v>35</v>
      </c>
      <c r="M20" t="s">
        <v>58</v>
      </c>
    </row>
    <row r="21" spans="1:13" x14ac:dyDescent="0.3">
      <c r="A21" t="s">
        <v>155</v>
      </c>
      <c r="B21" t="s">
        <v>408</v>
      </c>
      <c r="C21" t="s">
        <v>409</v>
      </c>
      <c r="D21" t="s">
        <v>33</v>
      </c>
      <c r="E21" t="s">
        <v>141</v>
      </c>
      <c r="F21">
        <v>72502.61</v>
      </c>
      <c r="G21" t="s">
        <v>480</v>
      </c>
      <c r="H21" s="30">
        <v>44235</v>
      </c>
      <c r="I21" s="31">
        <v>1583</v>
      </c>
      <c r="J21">
        <v>4.3369863013698629</v>
      </c>
      <c r="K21">
        <v>1</v>
      </c>
      <c r="L21" t="s">
        <v>35</v>
      </c>
      <c r="M21" t="s">
        <v>82</v>
      </c>
    </row>
    <row r="22" spans="1:13" x14ac:dyDescent="0.3">
      <c r="A22" t="s">
        <v>45</v>
      </c>
      <c r="B22" t="s">
        <v>410</v>
      </c>
      <c r="C22" t="s">
        <v>411</v>
      </c>
      <c r="D22" t="s">
        <v>47</v>
      </c>
      <c r="E22" t="s">
        <v>48</v>
      </c>
      <c r="F22">
        <v>77096.05</v>
      </c>
      <c r="G22" t="s">
        <v>480</v>
      </c>
      <c r="H22" s="30">
        <v>43217</v>
      </c>
      <c r="I22" s="31">
        <v>2601</v>
      </c>
      <c r="J22">
        <v>7.1260273972602741</v>
      </c>
      <c r="K22">
        <v>1</v>
      </c>
      <c r="L22" t="s">
        <v>35</v>
      </c>
      <c r="M22" t="s">
        <v>49</v>
      </c>
    </row>
    <row r="23" spans="1:13" x14ac:dyDescent="0.3">
      <c r="A23" t="s">
        <v>171</v>
      </c>
      <c r="B23" t="s">
        <v>412</v>
      </c>
      <c r="C23" t="s">
        <v>413</v>
      </c>
      <c r="D23" t="s">
        <v>33</v>
      </c>
      <c r="E23" t="s">
        <v>76</v>
      </c>
      <c r="F23">
        <v>50449.46</v>
      </c>
      <c r="G23" t="s">
        <v>480</v>
      </c>
      <c r="H23" s="30">
        <v>43418</v>
      </c>
      <c r="I23" s="31">
        <v>2400</v>
      </c>
      <c r="J23">
        <v>6.5753424657534243</v>
      </c>
      <c r="K23">
        <v>0.8</v>
      </c>
      <c r="L23" t="s">
        <v>35</v>
      </c>
      <c r="M23" t="s">
        <v>71</v>
      </c>
    </row>
    <row r="24" spans="1:13" x14ac:dyDescent="0.3">
      <c r="A24" t="s">
        <v>103</v>
      </c>
      <c r="B24" t="s">
        <v>414</v>
      </c>
      <c r="C24" t="s">
        <v>415</v>
      </c>
      <c r="D24" t="s">
        <v>47</v>
      </c>
      <c r="E24" t="s">
        <v>85</v>
      </c>
      <c r="F24">
        <v>48525.71</v>
      </c>
      <c r="G24" t="s">
        <v>480</v>
      </c>
      <c r="H24" s="30">
        <v>43264</v>
      </c>
      <c r="I24" s="31">
        <v>2554</v>
      </c>
      <c r="J24">
        <v>6.9972602739726026</v>
      </c>
      <c r="K24">
        <v>1</v>
      </c>
      <c r="L24" t="s">
        <v>35</v>
      </c>
      <c r="M24" t="s">
        <v>102</v>
      </c>
    </row>
    <row r="25" spans="1:13" x14ac:dyDescent="0.3">
      <c r="A25" t="s">
        <v>112</v>
      </c>
      <c r="B25" t="s">
        <v>390</v>
      </c>
      <c r="C25" t="s">
        <v>416</v>
      </c>
      <c r="D25" t="s">
        <v>47</v>
      </c>
      <c r="E25" t="s">
        <v>99</v>
      </c>
      <c r="F25">
        <v>36547.58</v>
      </c>
      <c r="G25" t="s">
        <v>480</v>
      </c>
      <c r="H25" s="30">
        <v>43416</v>
      </c>
      <c r="I25" s="31">
        <v>2402</v>
      </c>
      <c r="J25">
        <v>6.580821917808219</v>
      </c>
      <c r="K25">
        <v>1</v>
      </c>
      <c r="L25" t="s">
        <v>35</v>
      </c>
      <c r="M25" t="s">
        <v>36</v>
      </c>
    </row>
    <row r="26" spans="1:13" x14ac:dyDescent="0.3">
      <c r="A26" t="s">
        <v>112</v>
      </c>
      <c r="B26" t="s">
        <v>390</v>
      </c>
      <c r="C26" t="s">
        <v>416</v>
      </c>
      <c r="D26" t="s">
        <v>47</v>
      </c>
      <c r="E26" t="s">
        <v>99</v>
      </c>
      <c r="F26">
        <v>36547.58</v>
      </c>
      <c r="G26" t="s">
        <v>480</v>
      </c>
      <c r="H26" s="30">
        <v>43416</v>
      </c>
      <c r="I26" s="31">
        <v>2402</v>
      </c>
      <c r="J26">
        <v>6.580821917808219</v>
      </c>
      <c r="K26">
        <v>1</v>
      </c>
      <c r="L26" t="s">
        <v>35</v>
      </c>
      <c r="M26" t="s">
        <v>36</v>
      </c>
    </row>
    <row r="27" spans="1:13" x14ac:dyDescent="0.3">
      <c r="A27" t="s">
        <v>151</v>
      </c>
      <c r="B27" t="s">
        <v>417</v>
      </c>
      <c r="C27" t="s">
        <v>418</v>
      </c>
      <c r="D27" t="s">
        <v>47</v>
      </c>
      <c r="E27" t="s">
        <v>141</v>
      </c>
      <c r="F27">
        <v>115191.38</v>
      </c>
      <c r="G27" t="s">
        <v>478</v>
      </c>
      <c r="H27" s="30">
        <v>44004</v>
      </c>
      <c r="I27" s="31">
        <v>1814</v>
      </c>
      <c r="J27">
        <v>4.9698630136986299</v>
      </c>
      <c r="K27">
        <v>1</v>
      </c>
      <c r="L27" t="s">
        <v>35</v>
      </c>
      <c r="M27" t="s">
        <v>102</v>
      </c>
    </row>
    <row r="28" spans="1:13" x14ac:dyDescent="0.3">
      <c r="A28" t="s">
        <v>169</v>
      </c>
      <c r="B28" t="s">
        <v>419</v>
      </c>
      <c r="C28" t="s">
        <v>420</v>
      </c>
      <c r="D28" t="s">
        <v>33</v>
      </c>
      <c r="E28" t="s">
        <v>148</v>
      </c>
      <c r="F28">
        <v>58861.19</v>
      </c>
      <c r="G28" t="s">
        <v>480</v>
      </c>
      <c r="H28" s="30">
        <v>43654</v>
      </c>
      <c r="I28" s="31">
        <v>2164</v>
      </c>
      <c r="J28">
        <v>5.9287671232876713</v>
      </c>
      <c r="K28">
        <v>1</v>
      </c>
      <c r="L28" t="s">
        <v>35</v>
      </c>
      <c r="M28" t="s">
        <v>58</v>
      </c>
    </row>
    <row r="29" spans="1:13" x14ac:dyDescent="0.3">
      <c r="A29" t="s">
        <v>31</v>
      </c>
      <c r="B29" t="s">
        <v>421</v>
      </c>
      <c r="C29" t="s">
        <v>422</v>
      </c>
      <c r="D29" t="s">
        <v>33</v>
      </c>
      <c r="E29" t="s">
        <v>34</v>
      </c>
      <c r="F29">
        <v>75974.990000000005</v>
      </c>
      <c r="G29" t="s">
        <v>480</v>
      </c>
      <c r="H29" s="30">
        <v>44172</v>
      </c>
      <c r="I29" s="31">
        <v>1646</v>
      </c>
      <c r="J29">
        <v>4.5095890410958903</v>
      </c>
      <c r="K29">
        <v>1</v>
      </c>
      <c r="L29" t="s">
        <v>35</v>
      </c>
      <c r="M29" t="s">
        <v>36</v>
      </c>
    </row>
    <row r="30" spans="1:13" x14ac:dyDescent="0.3">
      <c r="A30" t="s">
        <v>128</v>
      </c>
      <c r="B30" t="s">
        <v>423</v>
      </c>
      <c r="C30" t="s">
        <v>424</v>
      </c>
      <c r="D30" t="s">
        <v>47</v>
      </c>
      <c r="E30" t="s">
        <v>99</v>
      </c>
      <c r="F30">
        <v>95954.02</v>
      </c>
      <c r="G30" t="s">
        <v>480</v>
      </c>
      <c r="H30" s="30">
        <v>43567</v>
      </c>
      <c r="I30" s="31">
        <v>2251</v>
      </c>
      <c r="J30">
        <v>6.1671232876712327</v>
      </c>
      <c r="K30">
        <v>0.3</v>
      </c>
      <c r="L30" t="s">
        <v>35</v>
      </c>
      <c r="M30" t="s">
        <v>102</v>
      </c>
    </row>
    <row r="31" spans="1:13" x14ac:dyDescent="0.3">
      <c r="A31" t="s">
        <v>137</v>
      </c>
      <c r="B31" t="s">
        <v>425</v>
      </c>
      <c r="C31" t="s">
        <v>426</v>
      </c>
      <c r="D31" t="s">
        <v>33</v>
      </c>
      <c r="E31" t="s">
        <v>81</v>
      </c>
      <c r="F31">
        <v>102934.09</v>
      </c>
      <c r="G31" t="s">
        <v>478</v>
      </c>
      <c r="H31" s="30">
        <v>44315</v>
      </c>
      <c r="I31" s="31">
        <v>1503</v>
      </c>
      <c r="J31">
        <v>4.117808219178082</v>
      </c>
      <c r="K31">
        <v>1</v>
      </c>
      <c r="L31" t="s">
        <v>35</v>
      </c>
      <c r="M31" t="s">
        <v>102</v>
      </c>
    </row>
    <row r="32" spans="1:13" x14ac:dyDescent="0.3">
      <c r="A32" t="s">
        <v>175</v>
      </c>
      <c r="B32" t="s">
        <v>427</v>
      </c>
      <c r="C32" t="s">
        <v>428</v>
      </c>
      <c r="D32" t="s">
        <v>33</v>
      </c>
      <c r="E32" t="s">
        <v>42</v>
      </c>
      <c r="F32">
        <v>41934.71</v>
      </c>
      <c r="G32" t="s">
        <v>480</v>
      </c>
      <c r="H32" s="30">
        <v>43780</v>
      </c>
      <c r="I32" s="31">
        <v>2038</v>
      </c>
      <c r="J32">
        <v>5.5835616438356164</v>
      </c>
      <c r="K32">
        <v>1</v>
      </c>
      <c r="L32" t="s">
        <v>35</v>
      </c>
      <c r="M32" t="s">
        <v>36</v>
      </c>
    </row>
    <row r="33" spans="1:13" x14ac:dyDescent="0.3">
      <c r="A33" t="s">
        <v>139</v>
      </c>
      <c r="B33" t="s">
        <v>429</v>
      </c>
      <c r="C33" t="s">
        <v>430</v>
      </c>
      <c r="D33" t="s">
        <v>47</v>
      </c>
      <c r="E33" t="s">
        <v>141</v>
      </c>
      <c r="F33">
        <v>104335.03999999999</v>
      </c>
      <c r="G33" t="s">
        <v>478</v>
      </c>
      <c r="H33" s="30">
        <v>43874</v>
      </c>
      <c r="I33" s="31">
        <v>1944</v>
      </c>
      <c r="J33">
        <v>5.3260273972602743</v>
      </c>
      <c r="K33">
        <v>1</v>
      </c>
      <c r="L33" t="s">
        <v>35</v>
      </c>
      <c r="M33" t="s">
        <v>58</v>
      </c>
    </row>
    <row r="34" spans="1:13" x14ac:dyDescent="0.3">
      <c r="A34" t="s">
        <v>69</v>
      </c>
      <c r="B34" t="s">
        <v>431</v>
      </c>
      <c r="C34" t="s">
        <v>432</v>
      </c>
      <c r="D34" t="s">
        <v>33</v>
      </c>
      <c r="E34" t="s">
        <v>48</v>
      </c>
      <c r="F34">
        <v>81897.789999999994</v>
      </c>
      <c r="G34" t="s">
        <v>480</v>
      </c>
      <c r="H34" s="30">
        <v>43146</v>
      </c>
      <c r="I34" s="31">
        <v>2672</v>
      </c>
      <c r="J34">
        <v>7.3205479452054796</v>
      </c>
      <c r="K34">
        <v>1</v>
      </c>
      <c r="L34" t="s">
        <v>35</v>
      </c>
      <c r="M34" t="s">
        <v>71</v>
      </c>
    </row>
    <row r="35" spans="1:13" x14ac:dyDescent="0.3">
      <c r="A35" t="s">
        <v>51</v>
      </c>
      <c r="B35" t="s">
        <v>433</v>
      </c>
      <c r="C35" t="s">
        <v>434</v>
      </c>
      <c r="D35" t="s">
        <v>33</v>
      </c>
      <c r="E35" t="s">
        <v>53</v>
      </c>
      <c r="F35">
        <v>78378.2</v>
      </c>
      <c r="G35" t="s">
        <v>480</v>
      </c>
      <c r="H35" s="30">
        <v>43465</v>
      </c>
      <c r="I35" s="31">
        <v>2353</v>
      </c>
      <c r="J35">
        <v>6.4465753424657537</v>
      </c>
      <c r="K35">
        <v>0.4</v>
      </c>
      <c r="L35" t="s">
        <v>35</v>
      </c>
      <c r="M35" t="s">
        <v>36</v>
      </c>
    </row>
    <row r="36" spans="1:13" x14ac:dyDescent="0.3">
      <c r="A36" t="s">
        <v>167</v>
      </c>
      <c r="B36" t="s">
        <v>435</v>
      </c>
      <c r="C36" t="s">
        <v>436</v>
      </c>
      <c r="D36" t="s">
        <v>33</v>
      </c>
      <c r="E36" t="s">
        <v>85</v>
      </c>
      <c r="F36">
        <v>61994.76</v>
      </c>
      <c r="G36" t="s">
        <v>480</v>
      </c>
      <c r="H36" s="30">
        <v>43794</v>
      </c>
      <c r="I36" s="31">
        <v>2024</v>
      </c>
      <c r="J36">
        <v>5.5452054794520551</v>
      </c>
      <c r="K36">
        <v>0.3</v>
      </c>
      <c r="L36" t="s">
        <v>35</v>
      </c>
      <c r="M36" t="s">
        <v>102</v>
      </c>
    </row>
    <row r="37" spans="1:13" x14ac:dyDescent="0.3">
      <c r="A37" t="s">
        <v>105</v>
      </c>
      <c r="B37" t="s">
        <v>437</v>
      </c>
      <c r="C37" t="s">
        <v>438</v>
      </c>
      <c r="D37" t="s">
        <v>47</v>
      </c>
      <c r="E37" t="s">
        <v>92</v>
      </c>
      <c r="F37">
        <v>37362.300000000003</v>
      </c>
      <c r="G37" t="s">
        <v>480</v>
      </c>
      <c r="H37" s="30">
        <v>43642</v>
      </c>
      <c r="I37" s="31">
        <v>2176</v>
      </c>
      <c r="J37">
        <v>5.9616438356164387</v>
      </c>
      <c r="K37">
        <v>1</v>
      </c>
      <c r="L37" t="s">
        <v>35</v>
      </c>
      <c r="M37" t="s">
        <v>71</v>
      </c>
    </row>
    <row r="38" spans="1:13" x14ac:dyDescent="0.3">
      <c r="A38" t="s">
        <v>79</v>
      </c>
      <c r="B38" t="s">
        <v>439</v>
      </c>
      <c r="C38" t="s">
        <v>440</v>
      </c>
      <c r="D38" t="s">
        <v>33</v>
      </c>
      <c r="E38" t="s">
        <v>81</v>
      </c>
      <c r="F38">
        <v>84745.93</v>
      </c>
      <c r="G38" t="s">
        <v>480</v>
      </c>
      <c r="H38" s="30">
        <v>43707</v>
      </c>
      <c r="I38" s="31">
        <v>2111</v>
      </c>
      <c r="J38">
        <v>5.7835616438356166</v>
      </c>
      <c r="K38">
        <v>1</v>
      </c>
      <c r="L38" t="s">
        <v>35</v>
      </c>
      <c r="M38" t="s">
        <v>82</v>
      </c>
    </row>
    <row r="39" spans="1:13" x14ac:dyDescent="0.3">
      <c r="A39" t="s">
        <v>116</v>
      </c>
      <c r="B39" t="s">
        <v>441</v>
      </c>
      <c r="C39" t="s">
        <v>442</v>
      </c>
      <c r="D39" t="s">
        <v>47</v>
      </c>
      <c r="E39" t="s">
        <v>42</v>
      </c>
      <c r="F39">
        <v>32192.15</v>
      </c>
      <c r="G39" t="s">
        <v>480</v>
      </c>
      <c r="H39" s="30">
        <v>44473</v>
      </c>
      <c r="I39" s="31">
        <v>1345</v>
      </c>
      <c r="J39">
        <v>3.6849315068493151</v>
      </c>
      <c r="K39">
        <v>1</v>
      </c>
      <c r="L39" t="s">
        <v>35</v>
      </c>
      <c r="M39" t="s">
        <v>102</v>
      </c>
    </row>
    <row r="40" spans="1:13" x14ac:dyDescent="0.3">
      <c r="A40" t="s">
        <v>107</v>
      </c>
      <c r="B40" t="s">
        <v>443</v>
      </c>
      <c r="C40" t="s">
        <v>444</v>
      </c>
      <c r="D40" t="s">
        <v>47</v>
      </c>
      <c r="E40" t="s">
        <v>34</v>
      </c>
      <c r="F40">
        <v>36714.379999999997</v>
      </c>
      <c r="G40" t="s">
        <v>480</v>
      </c>
      <c r="H40" s="30">
        <v>44175</v>
      </c>
      <c r="I40" s="31">
        <v>1643</v>
      </c>
      <c r="J40">
        <v>4.5013698630136982</v>
      </c>
      <c r="K40">
        <v>1</v>
      </c>
      <c r="L40" t="s">
        <v>35</v>
      </c>
      <c r="M40" t="s">
        <v>49</v>
      </c>
    </row>
    <row r="41" spans="1:13" x14ac:dyDescent="0.3">
      <c r="A41" t="s">
        <v>122</v>
      </c>
      <c r="B41" t="s">
        <v>445</v>
      </c>
      <c r="C41" t="s">
        <v>446</v>
      </c>
      <c r="D41" t="s">
        <v>33</v>
      </c>
      <c r="E41" t="s">
        <v>48</v>
      </c>
      <c r="F41">
        <v>89690.38</v>
      </c>
      <c r="G41" t="s">
        <v>480</v>
      </c>
      <c r="H41" s="30">
        <v>43206</v>
      </c>
      <c r="I41" s="31">
        <v>2612</v>
      </c>
      <c r="J41">
        <v>7.1561643835616442</v>
      </c>
      <c r="K41">
        <v>1</v>
      </c>
      <c r="L41" t="s">
        <v>35</v>
      </c>
      <c r="M41" t="s">
        <v>82</v>
      </c>
    </row>
    <row r="42" spans="1:13" x14ac:dyDescent="0.3">
      <c r="A42" t="s">
        <v>177</v>
      </c>
      <c r="B42" t="s">
        <v>447</v>
      </c>
      <c r="C42" t="s">
        <v>448</v>
      </c>
      <c r="D42" t="s">
        <v>33</v>
      </c>
      <c r="E42" t="s">
        <v>42</v>
      </c>
      <c r="F42">
        <v>39535.49</v>
      </c>
      <c r="G42" t="s">
        <v>480</v>
      </c>
      <c r="H42" s="30">
        <v>43397</v>
      </c>
      <c r="I42" s="31">
        <v>2421</v>
      </c>
      <c r="J42">
        <v>6.6328767123287671</v>
      </c>
      <c r="K42">
        <v>0.3</v>
      </c>
      <c r="L42" t="s">
        <v>35</v>
      </c>
      <c r="M42" t="s">
        <v>36</v>
      </c>
    </row>
    <row r="43" spans="1:13" x14ac:dyDescent="0.3">
      <c r="A43" t="s">
        <v>95</v>
      </c>
      <c r="B43" t="s">
        <v>449</v>
      </c>
      <c r="C43" t="s">
        <v>450</v>
      </c>
      <c r="D43" t="s">
        <v>47</v>
      </c>
      <c r="E43" t="s">
        <v>42</v>
      </c>
      <c r="F43">
        <v>62195.47</v>
      </c>
      <c r="G43" t="s">
        <v>480</v>
      </c>
      <c r="H43" s="30">
        <v>44434</v>
      </c>
      <c r="I43" s="31">
        <v>1384</v>
      </c>
      <c r="J43">
        <v>3.7917808219178082</v>
      </c>
      <c r="K43">
        <v>1</v>
      </c>
      <c r="L43" t="s">
        <v>35</v>
      </c>
      <c r="M43" t="s">
        <v>36</v>
      </c>
    </row>
    <row r="44" spans="1:13" x14ac:dyDescent="0.3">
      <c r="A44" t="s">
        <v>83</v>
      </c>
      <c r="B44" t="s">
        <v>451</v>
      </c>
      <c r="C44" t="s">
        <v>452</v>
      </c>
      <c r="D44" t="s">
        <v>47</v>
      </c>
      <c r="E44" t="s">
        <v>85</v>
      </c>
      <c r="F44">
        <v>72876.91</v>
      </c>
      <c r="G44" t="s">
        <v>480</v>
      </c>
      <c r="H44" s="30">
        <v>43837</v>
      </c>
      <c r="I44" s="31">
        <v>1981</v>
      </c>
      <c r="J44">
        <v>5.4273972602739722</v>
      </c>
      <c r="K44">
        <v>1</v>
      </c>
      <c r="L44" t="s">
        <v>35</v>
      </c>
      <c r="M44" t="s">
        <v>36</v>
      </c>
    </row>
    <row r="45" spans="1:13" x14ac:dyDescent="0.3">
      <c r="A45" t="s">
        <v>86</v>
      </c>
      <c r="B45" t="s">
        <v>453</v>
      </c>
      <c r="C45" t="s">
        <v>454</v>
      </c>
      <c r="D45" t="s">
        <v>47</v>
      </c>
      <c r="E45" t="s">
        <v>88</v>
      </c>
      <c r="F45">
        <v>66572.58</v>
      </c>
      <c r="G45" t="s">
        <v>480</v>
      </c>
      <c r="H45" s="30">
        <v>44193</v>
      </c>
      <c r="I45" s="31">
        <v>1625</v>
      </c>
      <c r="J45">
        <v>4.4520547945205475</v>
      </c>
      <c r="K45">
        <v>1</v>
      </c>
      <c r="L45" t="s">
        <v>35</v>
      </c>
      <c r="M45" t="s">
        <v>49</v>
      </c>
    </row>
    <row r="46" spans="1:13" x14ac:dyDescent="0.3">
      <c r="A46" t="s">
        <v>86</v>
      </c>
      <c r="B46" t="s">
        <v>455</v>
      </c>
      <c r="C46" t="s">
        <v>456</v>
      </c>
      <c r="D46" t="s">
        <v>47</v>
      </c>
      <c r="E46" t="s">
        <v>88</v>
      </c>
      <c r="F46">
        <v>66572.58</v>
      </c>
      <c r="G46" t="s">
        <v>480</v>
      </c>
      <c r="H46" s="30">
        <v>44193</v>
      </c>
      <c r="I46" s="31">
        <v>1625</v>
      </c>
      <c r="J46">
        <v>4.4520547945205475</v>
      </c>
      <c r="K46">
        <v>1</v>
      </c>
      <c r="L46" t="s">
        <v>35</v>
      </c>
      <c r="M46" t="s">
        <v>49</v>
      </c>
    </row>
    <row r="47" spans="1:13" x14ac:dyDescent="0.3">
      <c r="A47" t="s">
        <v>179</v>
      </c>
      <c r="B47" t="s">
        <v>457</v>
      </c>
      <c r="C47" t="s">
        <v>458</v>
      </c>
      <c r="D47" t="s">
        <v>33</v>
      </c>
      <c r="E47" t="s">
        <v>85</v>
      </c>
      <c r="F47">
        <v>35943.620000000003</v>
      </c>
      <c r="G47" t="s">
        <v>480</v>
      </c>
      <c r="H47" s="30">
        <v>44078</v>
      </c>
      <c r="I47" s="31">
        <v>1740</v>
      </c>
      <c r="J47">
        <v>4.7671232876712333</v>
      </c>
      <c r="K47">
        <v>1</v>
      </c>
      <c r="L47" t="s">
        <v>35</v>
      </c>
      <c r="M47" t="s">
        <v>58</v>
      </c>
    </row>
    <row r="48" spans="1:13" x14ac:dyDescent="0.3">
      <c r="A48" t="s">
        <v>153</v>
      </c>
      <c r="B48" t="s">
        <v>459</v>
      </c>
      <c r="C48" t="s">
        <v>460</v>
      </c>
      <c r="D48" t="s">
        <v>47</v>
      </c>
      <c r="E48" t="s">
        <v>99</v>
      </c>
      <c r="F48">
        <v>119022.49</v>
      </c>
      <c r="G48" t="s">
        <v>478</v>
      </c>
      <c r="H48" s="30">
        <v>44431</v>
      </c>
      <c r="I48" s="31">
        <v>1387</v>
      </c>
      <c r="J48">
        <v>3.8</v>
      </c>
      <c r="K48">
        <v>1</v>
      </c>
      <c r="L48" t="s">
        <v>35</v>
      </c>
      <c r="M48" t="s">
        <v>71</v>
      </c>
    </row>
    <row r="49" spans="1:13" x14ac:dyDescent="0.3">
      <c r="A49" t="s">
        <v>90</v>
      </c>
      <c r="B49" t="s">
        <v>390</v>
      </c>
      <c r="C49" t="s">
        <v>461</v>
      </c>
      <c r="D49" t="s">
        <v>47</v>
      </c>
      <c r="E49" t="s">
        <v>92</v>
      </c>
      <c r="F49">
        <v>65699.02</v>
      </c>
      <c r="G49" t="s">
        <v>480</v>
      </c>
      <c r="H49" s="30">
        <v>43951</v>
      </c>
      <c r="I49" s="31">
        <v>1867</v>
      </c>
      <c r="J49">
        <v>5.1150684931506847</v>
      </c>
      <c r="K49">
        <v>1</v>
      </c>
      <c r="L49" t="s">
        <v>35</v>
      </c>
      <c r="M49" t="s">
        <v>58</v>
      </c>
    </row>
    <row r="50" spans="1:13" x14ac:dyDescent="0.3">
      <c r="A50" t="s">
        <v>173</v>
      </c>
      <c r="B50" t="s">
        <v>462</v>
      </c>
      <c r="C50" t="s">
        <v>463</v>
      </c>
      <c r="D50" t="s">
        <v>33</v>
      </c>
      <c r="E50" t="s">
        <v>42</v>
      </c>
      <c r="F50">
        <v>47551.89</v>
      </c>
      <c r="G50" t="s">
        <v>480</v>
      </c>
      <c r="H50" s="30">
        <v>43468</v>
      </c>
      <c r="I50" s="31">
        <v>2350</v>
      </c>
      <c r="J50">
        <v>6.4383561643835616</v>
      </c>
      <c r="K50">
        <v>1</v>
      </c>
      <c r="L50" t="s">
        <v>35</v>
      </c>
      <c r="M50" t="s">
        <v>71</v>
      </c>
    </row>
    <row r="51" spans="1:13" x14ac:dyDescent="0.3">
      <c r="A51" t="s">
        <v>66</v>
      </c>
      <c r="B51" t="s">
        <v>376</v>
      </c>
      <c r="C51" t="s">
        <v>377</v>
      </c>
      <c r="D51" t="s">
        <v>33</v>
      </c>
      <c r="E51" t="s">
        <v>57</v>
      </c>
      <c r="F51">
        <v>80695.740000000005</v>
      </c>
      <c r="G51" t="s">
        <v>480</v>
      </c>
      <c r="H51" s="30">
        <v>43787</v>
      </c>
      <c r="I51" s="31">
        <v>2031</v>
      </c>
      <c r="J51">
        <v>5.5643835616438357</v>
      </c>
      <c r="K51">
        <v>0.8</v>
      </c>
      <c r="L51" t="s">
        <v>35</v>
      </c>
      <c r="M51" t="s">
        <v>58</v>
      </c>
    </row>
    <row r="52" spans="1:13" x14ac:dyDescent="0.3">
      <c r="A52" t="s">
        <v>126</v>
      </c>
      <c r="B52" t="s">
        <v>464</v>
      </c>
      <c r="C52" t="s">
        <v>465</v>
      </c>
      <c r="D52" t="s">
        <v>33</v>
      </c>
      <c r="E52" t="s">
        <v>76</v>
      </c>
      <c r="F52">
        <v>92336.08</v>
      </c>
      <c r="G52" t="s">
        <v>480</v>
      </c>
      <c r="H52" s="30">
        <v>44431</v>
      </c>
      <c r="I52" s="31">
        <v>1387</v>
      </c>
      <c r="J52">
        <v>3.8</v>
      </c>
      <c r="K52">
        <v>1</v>
      </c>
      <c r="L52" t="s">
        <v>35</v>
      </c>
      <c r="M52" t="s">
        <v>102</v>
      </c>
    </row>
    <row r="53" spans="1:13" x14ac:dyDescent="0.3">
      <c r="A53" t="s">
        <v>159</v>
      </c>
      <c r="B53" t="s">
        <v>390</v>
      </c>
      <c r="C53" t="s">
        <v>466</v>
      </c>
      <c r="D53" t="s">
        <v>33</v>
      </c>
      <c r="E53" t="s">
        <v>57</v>
      </c>
      <c r="F53">
        <v>69192.850000000006</v>
      </c>
      <c r="G53" t="s">
        <v>480</v>
      </c>
      <c r="H53" s="30">
        <v>44305</v>
      </c>
      <c r="I53" s="31">
        <v>1513</v>
      </c>
      <c r="J53">
        <v>4.1452054794520548</v>
      </c>
      <c r="K53">
        <v>1</v>
      </c>
      <c r="L53" t="s">
        <v>35</v>
      </c>
      <c r="M53" t="s">
        <v>58</v>
      </c>
    </row>
    <row r="54" spans="1:13" x14ac:dyDescent="0.3">
      <c r="A54" t="s">
        <v>142</v>
      </c>
      <c r="B54" t="s">
        <v>481</v>
      </c>
      <c r="C54" t="s">
        <v>467</v>
      </c>
      <c r="D54" t="s">
        <v>363</v>
      </c>
      <c r="E54" t="s">
        <v>34</v>
      </c>
      <c r="F54">
        <v>104802.63</v>
      </c>
      <c r="G54" t="s">
        <v>478</v>
      </c>
      <c r="H54" s="30">
        <v>44502</v>
      </c>
      <c r="I54" s="31">
        <v>1316</v>
      </c>
      <c r="J54">
        <v>3.6054794520547944</v>
      </c>
      <c r="K54">
        <v>1</v>
      </c>
      <c r="L54" t="s">
        <v>35</v>
      </c>
      <c r="M54" t="s">
        <v>102</v>
      </c>
    </row>
    <row r="55" spans="1:13" x14ac:dyDescent="0.3">
      <c r="A55" t="s">
        <v>134</v>
      </c>
      <c r="B55" t="s">
        <v>468</v>
      </c>
      <c r="C55" t="s">
        <v>469</v>
      </c>
      <c r="D55" t="s">
        <v>33</v>
      </c>
      <c r="E55" t="s">
        <v>57</v>
      </c>
      <c r="F55">
        <v>98000</v>
      </c>
      <c r="G55" t="s">
        <v>480</v>
      </c>
      <c r="H55" s="30">
        <v>43710</v>
      </c>
      <c r="I55" s="31">
        <v>2108</v>
      </c>
      <c r="J55">
        <v>5.7753424657534245</v>
      </c>
      <c r="K55">
        <v>0.9</v>
      </c>
      <c r="L55" t="s">
        <v>35</v>
      </c>
      <c r="M55" t="s">
        <v>136</v>
      </c>
    </row>
    <row r="56" spans="1:13" x14ac:dyDescent="0.3">
      <c r="A56" t="s">
        <v>40</v>
      </c>
      <c r="B56" t="s">
        <v>470</v>
      </c>
      <c r="C56" t="s">
        <v>471</v>
      </c>
      <c r="D56" t="s">
        <v>33</v>
      </c>
      <c r="E56" t="s">
        <v>42</v>
      </c>
      <c r="F56">
        <v>77045.440000000002</v>
      </c>
      <c r="G56" t="s">
        <v>480</v>
      </c>
      <c r="H56" s="30">
        <v>43636</v>
      </c>
      <c r="I56" s="31">
        <v>2182</v>
      </c>
      <c r="J56">
        <v>5.978082191780822</v>
      </c>
      <c r="K56">
        <v>1</v>
      </c>
      <c r="L56" t="s">
        <v>35</v>
      </c>
      <c r="M56" t="s">
        <v>36</v>
      </c>
    </row>
    <row r="57" spans="1:13" x14ac:dyDescent="0.3">
      <c r="A57" t="s">
        <v>144</v>
      </c>
      <c r="B57" t="s">
        <v>472</v>
      </c>
      <c r="C57" t="s">
        <v>473</v>
      </c>
      <c r="D57" t="s">
        <v>47</v>
      </c>
      <c r="E57" t="s">
        <v>57</v>
      </c>
      <c r="F57">
        <v>110042.37</v>
      </c>
      <c r="G57" t="s">
        <v>478</v>
      </c>
      <c r="H57" s="30">
        <v>43914</v>
      </c>
      <c r="I57" s="31">
        <v>1904</v>
      </c>
      <c r="J57">
        <v>5.2164383561643834</v>
      </c>
      <c r="K57">
        <v>1</v>
      </c>
      <c r="L57" t="s">
        <v>35</v>
      </c>
      <c r="M57" t="s">
        <v>58</v>
      </c>
    </row>
    <row r="58" spans="1:13" x14ac:dyDescent="0.3">
      <c r="A58" t="s">
        <v>93</v>
      </c>
      <c r="B58" t="s">
        <v>474</v>
      </c>
      <c r="C58" t="s">
        <v>475</v>
      </c>
      <c r="D58" t="s">
        <v>47</v>
      </c>
      <c r="E58" t="s">
        <v>76</v>
      </c>
      <c r="F58">
        <v>62281.24</v>
      </c>
      <c r="G58" t="s">
        <v>480</v>
      </c>
      <c r="H58" s="30">
        <v>43272</v>
      </c>
      <c r="I58" s="31">
        <v>2546</v>
      </c>
      <c r="J58">
        <v>6.9753424657534246</v>
      </c>
      <c r="K58">
        <v>1</v>
      </c>
      <c r="L58" t="s">
        <v>35</v>
      </c>
      <c r="M58" t="s">
        <v>36</v>
      </c>
    </row>
    <row r="59" spans="1:13" x14ac:dyDescent="0.3">
      <c r="D59" t="s">
        <v>363</v>
      </c>
      <c r="E59" t="s">
        <v>183</v>
      </c>
      <c r="F59">
        <v>4178494.7900000014</v>
      </c>
      <c r="G59" t="s">
        <v>478</v>
      </c>
      <c r="H59" s="30"/>
      <c r="I59" s="31"/>
      <c r="K59">
        <v>51.199999999999996</v>
      </c>
    </row>
    <row r="60" spans="1:13" x14ac:dyDescent="0.3">
      <c r="A60" t="s">
        <v>482</v>
      </c>
      <c r="D60" t="s">
        <v>363</v>
      </c>
      <c r="H60" s="30"/>
      <c r="I60" s="31"/>
    </row>
    <row r="62" spans="1:13" x14ac:dyDescent="0.3">
      <c r="A62" s="32" t="s">
        <v>134</v>
      </c>
      <c r="B62" s="33" t="s">
        <v>468</v>
      </c>
      <c r="C62" s="33" t="s">
        <v>469</v>
      </c>
      <c r="D62" s="33" t="s">
        <v>33</v>
      </c>
    </row>
    <row r="63" spans="1:13" x14ac:dyDescent="0.3">
      <c r="A63" s="34" t="s">
        <v>40</v>
      </c>
      <c r="B63" s="35" t="s">
        <v>470</v>
      </c>
      <c r="C63" s="35" t="s">
        <v>471</v>
      </c>
      <c r="D63" s="35" t="s">
        <v>33</v>
      </c>
    </row>
    <row r="64" spans="1:13" x14ac:dyDescent="0.3">
      <c r="A64" s="32" t="s">
        <v>144</v>
      </c>
      <c r="B64" s="33" t="s">
        <v>472</v>
      </c>
      <c r="C64" s="33" t="s">
        <v>473</v>
      </c>
      <c r="D64" s="33" t="s">
        <v>47</v>
      </c>
    </row>
    <row r="65" spans="1:4" x14ac:dyDescent="0.3">
      <c r="A65" s="34" t="s">
        <v>93</v>
      </c>
      <c r="B65" s="35" t="s">
        <v>474</v>
      </c>
      <c r="C65" s="35" t="s">
        <v>475</v>
      </c>
      <c r="D65" s="35" t="s">
        <v>47</v>
      </c>
    </row>
    <row r="66" spans="1:4" x14ac:dyDescent="0.3">
      <c r="A66" s="32"/>
      <c r="B66" s="33"/>
      <c r="C66" s="33"/>
      <c r="D66" s="33" t="s">
        <v>363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9780-CD8E-4315-AB90-F4368CFE8439}">
  <dimension ref="A1:J277"/>
  <sheetViews>
    <sheetView workbookViewId="0">
      <selection activeCell="G19" sqref="G19"/>
    </sheetView>
  </sheetViews>
  <sheetFormatPr defaultRowHeight="14.2" x14ac:dyDescent="0.3"/>
  <cols>
    <col min="1" max="1" width="9.09765625" customWidth="1"/>
    <col min="2" max="2" width="12.8984375" customWidth="1"/>
    <col min="3" max="3" width="18.59765625" customWidth="1"/>
    <col min="4" max="4" width="9.296875" customWidth="1"/>
    <col min="5" max="5" width="23.19921875" customWidth="1"/>
    <col min="6" max="6" width="12" style="37" customWidth="1"/>
    <col min="7" max="7" width="11.59765625" customWidth="1"/>
    <col min="8" max="8" width="6.09765625" customWidth="1"/>
    <col min="9" max="9" width="15.59765625" customWidth="1"/>
    <col min="10" max="10" width="20.8984375" customWidth="1"/>
  </cols>
  <sheetData>
    <row r="1" spans="1:10" x14ac:dyDescent="0.3">
      <c r="A1" t="s">
        <v>22</v>
      </c>
      <c r="B1" t="s">
        <v>370</v>
      </c>
      <c r="C1" t="s">
        <v>371</v>
      </c>
      <c r="D1" t="s">
        <v>24</v>
      </c>
      <c r="E1" t="s">
        <v>25</v>
      </c>
      <c r="F1" s="37" t="s">
        <v>26</v>
      </c>
      <c r="G1" t="s">
        <v>27</v>
      </c>
      <c r="H1" t="s">
        <v>28</v>
      </c>
      <c r="I1" t="s">
        <v>29</v>
      </c>
      <c r="J1" t="s">
        <v>30</v>
      </c>
    </row>
    <row r="2" spans="1:10" x14ac:dyDescent="0.3">
      <c r="A2" t="s">
        <v>717</v>
      </c>
      <c r="B2" t="s">
        <v>1239</v>
      </c>
      <c r="C2" t="s">
        <v>1240</v>
      </c>
      <c r="D2" t="s">
        <v>47</v>
      </c>
      <c r="E2" t="s">
        <v>99</v>
      </c>
      <c r="F2" s="37">
        <v>208873</v>
      </c>
      <c r="G2">
        <v>44077</v>
      </c>
      <c r="H2">
        <v>1</v>
      </c>
      <c r="I2" t="s">
        <v>504</v>
      </c>
      <c r="J2" t="s">
        <v>58</v>
      </c>
    </row>
    <row r="3" spans="1:10" x14ac:dyDescent="0.3">
      <c r="A3" t="s">
        <v>181</v>
      </c>
      <c r="B3" t="s">
        <v>378</v>
      </c>
      <c r="C3" t="s">
        <v>379</v>
      </c>
      <c r="D3" t="s">
        <v>47</v>
      </c>
      <c r="E3" t="s">
        <v>1534</v>
      </c>
      <c r="F3" s="37">
        <v>208873</v>
      </c>
      <c r="G3" t="s">
        <v>498</v>
      </c>
      <c r="H3">
        <v>1</v>
      </c>
      <c r="I3" t="s">
        <v>35</v>
      </c>
      <c r="J3" t="s">
        <v>36</v>
      </c>
    </row>
    <row r="4" spans="1:10" x14ac:dyDescent="0.3">
      <c r="A4" t="s">
        <v>499</v>
      </c>
      <c r="B4" t="s">
        <v>1081</v>
      </c>
      <c r="C4" t="s">
        <v>1082</v>
      </c>
      <c r="D4" t="s">
        <v>33</v>
      </c>
      <c r="E4" t="s">
        <v>48</v>
      </c>
      <c r="F4" s="37">
        <v>120000</v>
      </c>
      <c r="G4">
        <v>43902</v>
      </c>
      <c r="H4">
        <v>0.9</v>
      </c>
      <c r="I4" t="s">
        <v>35</v>
      </c>
      <c r="J4" t="s">
        <v>36</v>
      </c>
    </row>
    <row r="5" spans="1:10" x14ac:dyDescent="0.3">
      <c r="A5" t="s">
        <v>153</v>
      </c>
      <c r="B5" t="s">
        <v>459</v>
      </c>
      <c r="C5" t="s">
        <v>460</v>
      </c>
      <c r="D5" t="s">
        <v>47</v>
      </c>
      <c r="E5" t="s">
        <v>99</v>
      </c>
      <c r="F5" s="37">
        <v>119022.49</v>
      </c>
      <c r="G5">
        <v>44431</v>
      </c>
      <c r="H5">
        <v>1</v>
      </c>
      <c r="I5" t="s">
        <v>35</v>
      </c>
      <c r="J5" t="s">
        <v>71</v>
      </c>
    </row>
    <row r="6" spans="1:10" x14ac:dyDescent="0.3">
      <c r="A6" t="s">
        <v>508</v>
      </c>
      <c r="B6" t="s">
        <v>1087</v>
      </c>
      <c r="C6" t="s">
        <v>1088</v>
      </c>
      <c r="D6" t="s">
        <v>47</v>
      </c>
      <c r="E6" t="s">
        <v>53</v>
      </c>
      <c r="F6" s="37">
        <v>118976.16</v>
      </c>
      <c r="G6" t="s">
        <v>510</v>
      </c>
      <c r="H6">
        <v>1</v>
      </c>
      <c r="I6" t="s">
        <v>35</v>
      </c>
      <c r="J6" t="s">
        <v>82</v>
      </c>
    </row>
    <row r="7" spans="1:10" x14ac:dyDescent="0.3">
      <c r="A7" t="s">
        <v>865</v>
      </c>
      <c r="B7" t="s">
        <v>1362</v>
      </c>
      <c r="C7" t="s">
        <v>1363</v>
      </c>
      <c r="D7" t="s">
        <v>33</v>
      </c>
      <c r="E7" t="s">
        <v>1534</v>
      </c>
      <c r="F7" s="37">
        <v>118442.54</v>
      </c>
      <c r="G7">
        <v>44193</v>
      </c>
      <c r="H7">
        <v>1</v>
      </c>
      <c r="I7" t="s">
        <v>35</v>
      </c>
      <c r="J7" t="s">
        <v>71</v>
      </c>
    </row>
    <row r="8" spans="1:10" x14ac:dyDescent="0.3">
      <c r="A8" t="s">
        <v>604</v>
      </c>
      <c r="B8" t="s">
        <v>1160</v>
      </c>
      <c r="C8" t="s">
        <v>1161</v>
      </c>
      <c r="D8" t="s">
        <v>33</v>
      </c>
      <c r="E8" t="s">
        <v>81</v>
      </c>
      <c r="F8" s="37">
        <v>116767.63</v>
      </c>
      <c r="G8">
        <v>43949</v>
      </c>
      <c r="H8">
        <v>0.4</v>
      </c>
      <c r="I8" t="s">
        <v>525</v>
      </c>
      <c r="J8" t="s">
        <v>49</v>
      </c>
    </row>
    <row r="9" spans="1:10" x14ac:dyDescent="0.3">
      <c r="A9" t="s">
        <v>604</v>
      </c>
      <c r="B9" t="s">
        <v>1395</v>
      </c>
      <c r="C9" t="s">
        <v>1396</v>
      </c>
      <c r="D9" t="s">
        <v>33</v>
      </c>
      <c r="E9" t="s">
        <v>81</v>
      </c>
      <c r="F9" s="37">
        <v>116767.63</v>
      </c>
      <c r="G9">
        <v>43949</v>
      </c>
      <c r="H9">
        <v>0.4</v>
      </c>
      <c r="I9" t="s">
        <v>525</v>
      </c>
      <c r="J9" t="s">
        <v>49</v>
      </c>
    </row>
    <row r="10" spans="1:10" x14ac:dyDescent="0.3">
      <c r="A10" t="s">
        <v>151</v>
      </c>
      <c r="B10" t="s">
        <v>417</v>
      </c>
      <c r="C10" t="s">
        <v>418</v>
      </c>
      <c r="D10" t="s">
        <v>47</v>
      </c>
      <c r="E10" t="s">
        <v>141</v>
      </c>
      <c r="F10" s="37">
        <v>115191.38</v>
      </c>
      <c r="G10">
        <v>44004</v>
      </c>
      <c r="H10">
        <v>1</v>
      </c>
      <c r="I10" t="s">
        <v>35</v>
      </c>
      <c r="J10" t="s">
        <v>102</v>
      </c>
    </row>
    <row r="11" spans="1:10" x14ac:dyDescent="0.3">
      <c r="A11" t="s">
        <v>950</v>
      </c>
      <c r="B11" t="s">
        <v>1429</v>
      </c>
      <c r="C11" t="s">
        <v>1430</v>
      </c>
      <c r="D11" t="s">
        <v>33</v>
      </c>
      <c r="E11" t="s">
        <v>1534</v>
      </c>
      <c r="F11" s="37">
        <v>114772.32</v>
      </c>
      <c r="G11" t="s">
        <v>951</v>
      </c>
      <c r="H11">
        <v>1</v>
      </c>
      <c r="I11" t="s">
        <v>35</v>
      </c>
      <c r="J11" t="s">
        <v>58</v>
      </c>
    </row>
    <row r="12" spans="1:10" x14ac:dyDescent="0.3">
      <c r="A12" t="s">
        <v>573</v>
      </c>
      <c r="B12" t="s">
        <v>1137</v>
      </c>
      <c r="C12" t="s">
        <v>1138</v>
      </c>
      <c r="D12" t="s">
        <v>47</v>
      </c>
      <c r="E12" t="s">
        <v>81</v>
      </c>
      <c r="F12" s="37">
        <v>114691.03</v>
      </c>
      <c r="G12" t="s">
        <v>575</v>
      </c>
      <c r="H12">
        <v>1</v>
      </c>
      <c r="I12" t="s">
        <v>525</v>
      </c>
      <c r="J12" t="s">
        <v>82</v>
      </c>
    </row>
    <row r="13" spans="1:10" x14ac:dyDescent="0.3">
      <c r="A13" t="s">
        <v>647</v>
      </c>
      <c r="B13" t="s">
        <v>1192</v>
      </c>
      <c r="C13" t="s">
        <v>1193</v>
      </c>
      <c r="D13" t="s">
        <v>47</v>
      </c>
      <c r="E13" t="s">
        <v>53</v>
      </c>
      <c r="F13" s="37">
        <v>114465.93</v>
      </c>
      <c r="G13">
        <v>43291</v>
      </c>
      <c r="H13">
        <v>1</v>
      </c>
      <c r="I13" t="s">
        <v>525</v>
      </c>
      <c r="J13" t="s">
        <v>82</v>
      </c>
    </row>
    <row r="14" spans="1:10" x14ac:dyDescent="0.3">
      <c r="A14" t="s">
        <v>518</v>
      </c>
      <c r="B14" t="s">
        <v>1095</v>
      </c>
      <c r="C14" t="s">
        <v>1096</v>
      </c>
      <c r="D14" t="s">
        <v>33</v>
      </c>
      <c r="E14" t="s">
        <v>53</v>
      </c>
      <c r="F14" s="37">
        <v>114425.19</v>
      </c>
      <c r="G14" t="s">
        <v>520</v>
      </c>
      <c r="H14">
        <v>1</v>
      </c>
      <c r="I14" t="s">
        <v>35</v>
      </c>
      <c r="J14" t="s">
        <v>82</v>
      </c>
    </row>
    <row r="15" spans="1:10" x14ac:dyDescent="0.3">
      <c r="A15" t="s">
        <v>149</v>
      </c>
      <c r="B15" t="s">
        <v>386</v>
      </c>
      <c r="C15" t="s">
        <v>387</v>
      </c>
      <c r="D15" t="s">
        <v>33</v>
      </c>
      <c r="E15" t="s">
        <v>99</v>
      </c>
      <c r="F15" s="37">
        <v>114177.23</v>
      </c>
      <c r="G15" t="s">
        <v>826</v>
      </c>
      <c r="H15">
        <v>1</v>
      </c>
      <c r="I15" t="s">
        <v>35</v>
      </c>
      <c r="J15" t="s">
        <v>82</v>
      </c>
    </row>
    <row r="16" spans="1:10" x14ac:dyDescent="0.3">
      <c r="A16" t="s">
        <v>637</v>
      </c>
      <c r="B16" t="s">
        <v>1184</v>
      </c>
      <c r="C16" t="s">
        <v>1185</v>
      </c>
      <c r="D16" t="s">
        <v>47</v>
      </c>
      <c r="E16" t="s">
        <v>88</v>
      </c>
      <c r="F16" s="37">
        <v>113747.56</v>
      </c>
      <c r="G16" t="s">
        <v>639</v>
      </c>
      <c r="H16">
        <v>0.7</v>
      </c>
      <c r="I16" t="s">
        <v>525</v>
      </c>
      <c r="J16" t="s">
        <v>58</v>
      </c>
    </row>
    <row r="17" spans="1:10" x14ac:dyDescent="0.3">
      <c r="A17" t="s">
        <v>637</v>
      </c>
      <c r="B17" t="s">
        <v>1184</v>
      </c>
      <c r="C17" t="s">
        <v>1185</v>
      </c>
      <c r="D17" t="s">
        <v>47</v>
      </c>
      <c r="E17" t="s">
        <v>88</v>
      </c>
      <c r="F17" s="37">
        <v>113747.56</v>
      </c>
      <c r="G17" t="s">
        <v>639</v>
      </c>
      <c r="H17">
        <v>0.7</v>
      </c>
      <c r="I17" t="s">
        <v>525</v>
      </c>
      <c r="J17" t="s">
        <v>58</v>
      </c>
    </row>
    <row r="18" spans="1:10" x14ac:dyDescent="0.3">
      <c r="A18" t="s">
        <v>564</v>
      </c>
      <c r="B18" t="s">
        <v>1129</v>
      </c>
      <c r="C18" t="s">
        <v>1130</v>
      </c>
      <c r="D18" t="s">
        <v>47</v>
      </c>
      <c r="E18" t="s">
        <v>88</v>
      </c>
      <c r="F18" s="37">
        <v>113616.23</v>
      </c>
      <c r="G18">
        <v>43255</v>
      </c>
      <c r="H18">
        <v>1</v>
      </c>
      <c r="I18" t="s">
        <v>35</v>
      </c>
      <c r="J18" t="s">
        <v>36</v>
      </c>
    </row>
    <row r="19" spans="1:10" x14ac:dyDescent="0.3">
      <c r="A19" t="s">
        <v>697</v>
      </c>
      <c r="B19" t="s">
        <v>1224</v>
      </c>
      <c r="C19" t="s">
        <v>1225</v>
      </c>
      <c r="D19" t="s">
        <v>47</v>
      </c>
      <c r="E19" t="s">
        <v>81</v>
      </c>
      <c r="F19" s="37">
        <v>112778.28</v>
      </c>
      <c r="G19">
        <v>43250</v>
      </c>
      <c r="H19">
        <v>1</v>
      </c>
      <c r="I19" t="s">
        <v>504</v>
      </c>
      <c r="J19" t="s">
        <v>36</v>
      </c>
    </row>
    <row r="20" spans="1:10" x14ac:dyDescent="0.3">
      <c r="A20" t="s">
        <v>697</v>
      </c>
      <c r="B20" t="s">
        <v>1224</v>
      </c>
      <c r="C20" t="s">
        <v>1225</v>
      </c>
      <c r="D20" t="s">
        <v>47</v>
      </c>
      <c r="E20" t="s">
        <v>81</v>
      </c>
      <c r="F20" s="37">
        <v>112778.28</v>
      </c>
      <c r="G20">
        <v>43250</v>
      </c>
      <c r="H20">
        <v>1</v>
      </c>
      <c r="I20" t="s">
        <v>504</v>
      </c>
      <c r="J20" t="s">
        <v>36</v>
      </c>
    </row>
    <row r="21" spans="1:10" x14ac:dyDescent="0.3">
      <c r="A21" t="s">
        <v>146</v>
      </c>
      <c r="B21" t="s">
        <v>398</v>
      </c>
      <c r="C21" t="s">
        <v>399</v>
      </c>
      <c r="D21" t="s">
        <v>47</v>
      </c>
      <c r="E21" t="s">
        <v>1534</v>
      </c>
      <c r="F21" s="37">
        <v>112645.99</v>
      </c>
      <c r="G21" t="s">
        <v>661</v>
      </c>
      <c r="H21">
        <v>0.6</v>
      </c>
      <c r="I21" t="s">
        <v>35</v>
      </c>
      <c r="J21" t="s">
        <v>136</v>
      </c>
    </row>
    <row r="22" spans="1:10" x14ac:dyDescent="0.3">
      <c r="A22" t="s">
        <v>734</v>
      </c>
      <c r="B22" t="s">
        <v>1255</v>
      </c>
      <c r="C22" t="s">
        <v>1256</v>
      </c>
      <c r="D22" t="s">
        <v>47</v>
      </c>
      <c r="E22" t="s">
        <v>48</v>
      </c>
      <c r="F22" s="37">
        <v>111815.49</v>
      </c>
      <c r="G22">
        <v>43895</v>
      </c>
      <c r="H22">
        <v>0.7</v>
      </c>
      <c r="I22" t="s">
        <v>525</v>
      </c>
      <c r="J22" t="s">
        <v>36</v>
      </c>
    </row>
    <row r="23" spans="1:10" x14ac:dyDescent="0.3">
      <c r="A23" t="s">
        <v>734</v>
      </c>
      <c r="B23" t="s">
        <v>1255</v>
      </c>
      <c r="C23" t="s">
        <v>1256</v>
      </c>
      <c r="D23" t="s">
        <v>47</v>
      </c>
      <c r="E23" t="s">
        <v>48</v>
      </c>
      <c r="F23" s="37">
        <v>111815.49</v>
      </c>
      <c r="G23">
        <v>43895</v>
      </c>
      <c r="H23">
        <v>0.7</v>
      </c>
      <c r="I23" t="s">
        <v>525</v>
      </c>
      <c r="J23" t="s">
        <v>36</v>
      </c>
    </row>
    <row r="24" spans="1:10" x14ac:dyDescent="0.3">
      <c r="A24" t="s">
        <v>729</v>
      </c>
      <c r="B24" t="s">
        <v>1251</v>
      </c>
      <c r="C24" t="s">
        <v>1252</v>
      </c>
      <c r="D24" t="s">
        <v>47</v>
      </c>
      <c r="E24" t="s">
        <v>141</v>
      </c>
      <c r="F24" s="37">
        <v>111229.47</v>
      </c>
      <c r="G24" t="s">
        <v>731</v>
      </c>
      <c r="H24">
        <v>1</v>
      </c>
      <c r="I24" t="s">
        <v>35</v>
      </c>
      <c r="J24" t="s">
        <v>36</v>
      </c>
    </row>
    <row r="25" spans="1:10" x14ac:dyDescent="0.3">
      <c r="A25" t="s">
        <v>702</v>
      </c>
      <c r="B25" t="s">
        <v>1227</v>
      </c>
      <c r="C25" t="s">
        <v>1228</v>
      </c>
      <c r="D25" t="s">
        <v>33</v>
      </c>
      <c r="E25" t="s">
        <v>88</v>
      </c>
      <c r="F25" s="37">
        <v>111049.84</v>
      </c>
      <c r="G25">
        <v>44393</v>
      </c>
      <c r="H25">
        <v>1</v>
      </c>
      <c r="I25" t="s">
        <v>35</v>
      </c>
      <c r="J25" t="s">
        <v>82</v>
      </c>
    </row>
    <row r="26" spans="1:10" x14ac:dyDescent="0.3">
      <c r="A26" t="s">
        <v>566</v>
      </c>
      <c r="B26" t="s">
        <v>1131</v>
      </c>
      <c r="C26" t="s">
        <v>1132</v>
      </c>
      <c r="D26" t="s">
        <v>33</v>
      </c>
      <c r="E26" t="s">
        <v>141</v>
      </c>
      <c r="F26" s="37">
        <v>110906.35</v>
      </c>
      <c r="G26" t="s">
        <v>568</v>
      </c>
      <c r="H26">
        <v>1</v>
      </c>
      <c r="I26" t="s">
        <v>525</v>
      </c>
      <c r="J26" t="s">
        <v>82</v>
      </c>
    </row>
    <row r="27" spans="1:10" x14ac:dyDescent="0.3">
      <c r="A27" t="s">
        <v>144</v>
      </c>
      <c r="B27" t="s">
        <v>472</v>
      </c>
      <c r="C27" t="s">
        <v>473</v>
      </c>
      <c r="D27" t="s">
        <v>47</v>
      </c>
      <c r="E27" t="s">
        <v>57</v>
      </c>
      <c r="F27" s="37">
        <v>110042.37</v>
      </c>
      <c r="G27">
        <v>43914</v>
      </c>
      <c r="H27">
        <v>1</v>
      </c>
      <c r="I27" t="s">
        <v>35</v>
      </c>
      <c r="J27" t="s">
        <v>58</v>
      </c>
    </row>
    <row r="28" spans="1:10" x14ac:dyDescent="0.3">
      <c r="A28" t="s">
        <v>860</v>
      </c>
      <c r="B28" t="s">
        <v>1358</v>
      </c>
      <c r="C28" t="s">
        <v>1359</v>
      </c>
      <c r="D28" t="s">
        <v>33</v>
      </c>
      <c r="E28" t="s">
        <v>48</v>
      </c>
      <c r="F28" s="37">
        <v>109163.39</v>
      </c>
      <c r="G28">
        <v>44019</v>
      </c>
      <c r="H28">
        <v>0.8</v>
      </c>
      <c r="I28" t="s">
        <v>35</v>
      </c>
      <c r="J28" t="s">
        <v>136</v>
      </c>
    </row>
    <row r="29" spans="1:10" x14ac:dyDescent="0.3">
      <c r="A29" t="s">
        <v>842</v>
      </c>
      <c r="B29" t="s">
        <v>1344</v>
      </c>
      <c r="C29" t="s">
        <v>1345</v>
      </c>
      <c r="D29" t="s">
        <v>47</v>
      </c>
      <c r="E29" t="s">
        <v>1534</v>
      </c>
      <c r="F29" s="37">
        <v>109143.17</v>
      </c>
      <c r="G29" t="s">
        <v>843</v>
      </c>
      <c r="H29">
        <v>1</v>
      </c>
      <c r="I29" t="s">
        <v>35</v>
      </c>
      <c r="J29" t="s">
        <v>82</v>
      </c>
    </row>
    <row r="30" spans="1:10" x14ac:dyDescent="0.3">
      <c r="A30" t="s">
        <v>782</v>
      </c>
      <c r="B30" t="s">
        <v>1296</v>
      </c>
      <c r="C30" t="s">
        <v>1297</v>
      </c>
      <c r="D30" t="s">
        <v>47</v>
      </c>
      <c r="E30" t="s">
        <v>53</v>
      </c>
      <c r="F30" s="37">
        <v>108872.77</v>
      </c>
      <c r="G30">
        <v>43521</v>
      </c>
      <c r="H30">
        <v>1</v>
      </c>
      <c r="I30" t="s">
        <v>35</v>
      </c>
      <c r="J30" t="s">
        <v>36</v>
      </c>
    </row>
    <row r="31" spans="1:10" x14ac:dyDescent="0.3">
      <c r="A31" t="s">
        <v>662</v>
      </c>
      <c r="B31" t="s">
        <v>1202</v>
      </c>
      <c r="C31" t="s">
        <v>1203</v>
      </c>
      <c r="E31" t="s">
        <v>99</v>
      </c>
      <c r="F31" s="37">
        <v>107107.6</v>
      </c>
      <c r="G31" t="s">
        <v>664</v>
      </c>
      <c r="H31">
        <v>0.9</v>
      </c>
      <c r="I31" t="s">
        <v>35</v>
      </c>
      <c r="J31" t="s">
        <v>49</v>
      </c>
    </row>
    <row r="32" spans="1:10" x14ac:dyDescent="0.3">
      <c r="A32" t="s">
        <v>652</v>
      </c>
      <c r="B32" t="s">
        <v>1196</v>
      </c>
      <c r="C32" t="s">
        <v>1197</v>
      </c>
      <c r="D32" t="s">
        <v>47</v>
      </c>
      <c r="E32" t="s">
        <v>141</v>
      </c>
      <c r="F32" s="37">
        <v>106775.14</v>
      </c>
      <c r="G32">
        <v>43563</v>
      </c>
      <c r="H32">
        <v>1</v>
      </c>
      <c r="I32" t="s">
        <v>504</v>
      </c>
      <c r="J32" t="s">
        <v>102</v>
      </c>
    </row>
    <row r="33" spans="1:10" x14ac:dyDescent="0.3">
      <c r="A33" t="s">
        <v>652</v>
      </c>
      <c r="B33" t="s">
        <v>1247</v>
      </c>
      <c r="C33" t="s">
        <v>1248</v>
      </c>
      <c r="D33" t="s">
        <v>47</v>
      </c>
      <c r="E33" t="s">
        <v>141</v>
      </c>
      <c r="F33" s="37">
        <v>106775.14</v>
      </c>
      <c r="G33">
        <v>43563</v>
      </c>
      <c r="H33">
        <v>1</v>
      </c>
      <c r="I33" t="s">
        <v>504</v>
      </c>
      <c r="J33" t="s">
        <v>102</v>
      </c>
    </row>
    <row r="34" spans="1:10" x14ac:dyDescent="0.3">
      <c r="A34" t="s">
        <v>790</v>
      </c>
      <c r="B34" t="s">
        <v>1302</v>
      </c>
      <c r="C34" t="s">
        <v>1303</v>
      </c>
      <c r="D34" t="s">
        <v>33</v>
      </c>
      <c r="E34" t="s">
        <v>141</v>
      </c>
      <c r="F34" s="37">
        <v>106665.67</v>
      </c>
      <c r="G34">
        <v>43311</v>
      </c>
      <c r="H34">
        <v>1</v>
      </c>
      <c r="I34" t="s">
        <v>525</v>
      </c>
      <c r="J34" t="s">
        <v>58</v>
      </c>
    </row>
    <row r="35" spans="1:10" x14ac:dyDescent="0.3">
      <c r="A35" t="s">
        <v>925</v>
      </c>
      <c r="B35" t="s">
        <v>1421</v>
      </c>
      <c r="C35" t="s">
        <v>1422</v>
      </c>
      <c r="D35" t="s">
        <v>47</v>
      </c>
      <c r="E35" t="s">
        <v>57</v>
      </c>
      <c r="F35" s="37">
        <v>106400.02</v>
      </c>
      <c r="G35" t="s">
        <v>927</v>
      </c>
      <c r="H35">
        <v>1</v>
      </c>
      <c r="I35" t="s">
        <v>525</v>
      </c>
      <c r="J35" t="s">
        <v>49</v>
      </c>
    </row>
    <row r="36" spans="1:10" x14ac:dyDescent="0.3">
      <c r="A36" t="s">
        <v>925</v>
      </c>
      <c r="B36" t="s">
        <v>1409</v>
      </c>
      <c r="C36" t="s">
        <v>1410</v>
      </c>
      <c r="D36" t="s">
        <v>47</v>
      </c>
      <c r="E36" t="s">
        <v>57</v>
      </c>
      <c r="F36" s="37">
        <v>106400.02</v>
      </c>
      <c r="G36" t="s">
        <v>927</v>
      </c>
      <c r="H36">
        <v>1</v>
      </c>
      <c r="I36" t="s">
        <v>525</v>
      </c>
      <c r="J36" t="s">
        <v>49</v>
      </c>
    </row>
    <row r="37" spans="1:10" x14ac:dyDescent="0.3">
      <c r="A37" t="s">
        <v>836</v>
      </c>
      <c r="B37" t="s">
        <v>1340</v>
      </c>
      <c r="C37" t="s">
        <v>1341</v>
      </c>
      <c r="D37" t="s">
        <v>33</v>
      </c>
      <c r="E37" t="s">
        <v>92</v>
      </c>
      <c r="F37" s="37">
        <v>104903.79</v>
      </c>
      <c r="G37" t="s">
        <v>838</v>
      </c>
      <c r="H37">
        <v>1</v>
      </c>
      <c r="I37" t="s">
        <v>35</v>
      </c>
      <c r="J37" t="s">
        <v>49</v>
      </c>
    </row>
    <row r="38" spans="1:10" x14ac:dyDescent="0.3">
      <c r="A38" t="s">
        <v>142</v>
      </c>
      <c r="B38" t="s">
        <v>1089</v>
      </c>
      <c r="C38" t="s">
        <v>467</v>
      </c>
      <c r="E38" t="s">
        <v>34</v>
      </c>
      <c r="F38" s="37">
        <v>104802.63</v>
      </c>
      <c r="G38">
        <v>44502</v>
      </c>
      <c r="H38">
        <v>1</v>
      </c>
      <c r="I38" t="s">
        <v>35</v>
      </c>
      <c r="J38" t="s">
        <v>102</v>
      </c>
    </row>
    <row r="39" spans="1:10" x14ac:dyDescent="0.3">
      <c r="A39" t="s">
        <v>139</v>
      </c>
      <c r="B39" t="s">
        <v>429</v>
      </c>
      <c r="C39" t="s">
        <v>430</v>
      </c>
      <c r="D39" t="s">
        <v>47</v>
      </c>
      <c r="E39" t="s">
        <v>141</v>
      </c>
      <c r="F39" s="37">
        <v>104335.03999999999</v>
      </c>
      <c r="G39">
        <v>43874</v>
      </c>
      <c r="H39">
        <v>1</v>
      </c>
      <c r="I39" t="s">
        <v>35</v>
      </c>
      <c r="J39" t="s">
        <v>58</v>
      </c>
    </row>
    <row r="40" spans="1:10" x14ac:dyDescent="0.3">
      <c r="A40" t="s">
        <v>674</v>
      </c>
      <c r="B40" t="s">
        <v>1210</v>
      </c>
      <c r="C40" t="s">
        <v>1211</v>
      </c>
      <c r="D40" t="s">
        <v>33</v>
      </c>
      <c r="E40" t="s">
        <v>34</v>
      </c>
      <c r="F40" s="37">
        <v>104038.9</v>
      </c>
      <c r="G40">
        <v>43815</v>
      </c>
      <c r="H40">
        <v>1</v>
      </c>
      <c r="I40" t="s">
        <v>504</v>
      </c>
      <c r="J40" t="s">
        <v>36</v>
      </c>
    </row>
    <row r="41" spans="1:10" x14ac:dyDescent="0.3">
      <c r="A41" t="s">
        <v>928</v>
      </c>
      <c r="B41" t="s">
        <v>1411</v>
      </c>
      <c r="C41" t="s">
        <v>1412</v>
      </c>
      <c r="D41" t="s">
        <v>47</v>
      </c>
      <c r="E41" t="s">
        <v>85</v>
      </c>
      <c r="F41" s="37">
        <v>103494.94</v>
      </c>
      <c r="G41" t="s">
        <v>930</v>
      </c>
      <c r="H41">
        <v>1</v>
      </c>
      <c r="I41" t="s">
        <v>35</v>
      </c>
      <c r="J41" t="s">
        <v>36</v>
      </c>
    </row>
    <row r="42" spans="1:10" x14ac:dyDescent="0.3">
      <c r="A42" t="s">
        <v>928</v>
      </c>
      <c r="B42" t="s">
        <v>1411</v>
      </c>
      <c r="C42" t="s">
        <v>1412</v>
      </c>
      <c r="D42" t="s">
        <v>47</v>
      </c>
      <c r="E42" t="s">
        <v>85</v>
      </c>
      <c r="F42" s="37">
        <v>103494.94</v>
      </c>
      <c r="G42" t="s">
        <v>930</v>
      </c>
      <c r="H42">
        <v>1</v>
      </c>
      <c r="I42" t="s">
        <v>35</v>
      </c>
      <c r="J42" t="s">
        <v>36</v>
      </c>
    </row>
    <row r="43" spans="1:10" x14ac:dyDescent="0.3">
      <c r="A43" t="s">
        <v>137</v>
      </c>
      <c r="B43" t="s">
        <v>425</v>
      </c>
      <c r="C43" t="s">
        <v>426</v>
      </c>
      <c r="D43" t="s">
        <v>33</v>
      </c>
      <c r="E43" t="s">
        <v>81</v>
      </c>
      <c r="F43" s="37">
        <v>102934.09</v>
      </c>
      <c r="G43" t="s">
        <v>599</v>
      </c>
      <c r="H43">
        <v>1</v>
      </c>
      <c r="I43" t="s">
        <v>35</v>
      </c>
      <c r="J43" t="s">
        <v>102</v>
      </c>
    </row>
    <row r="44" spans="1:10" x14ac:dyDescent="0.3">
      <c r="A44" t="s">
        <v>890</v>
      </c>
      <c r="B44" t="s">
        <v>1380</v>
      </c>
      <c r="C44" t="s">
        <v>1381</v>
      </c>
      <c r="D44" t="s">
        <v>47</v>
      </c>
      <c r="E44" t="s">
        <v>99</v>
      </c>
      <c r="F44" s="37">
        <v>102515.81</v>
      </c>
      <c r="G44">
        <v>43902</v>
      </c>
      <c r="H44">
        <v>1</v>
      </c>
      <c r="I44" t="s">
        <v>504</v>
      </c>
      <c r="J44" t="s">
        <v>49</v>
      </c>
    </row>
    <row r="45" spans="1:10" x14ac:dyDescent="0.3">
      <c r="A45" t="s">
        <v>912</v>
      </c>
      <c r="B45" t="s">
        <v>1399</v>
      </c>
      <c r="C45" t="s">
        <v>1400</v>
      </c>
      <c r="D45" t="s">
        <v>33</v>
      </c>
      <c r="E45" t="s">
        <v>42</v>
      </c>
      <c r="F45" s="37">
        <v>102129.37</v>
      </c>
      <c r="G45" t="s">
        <v>748</v>
      </c>
      <c r="H45">
        <v>1</v>
      </c>
      <c r="I45" t="s">
        <v>35</v>
      </c>
      <c r="J45" t="s">
        <v>58</v>
      </c>
    </row>
    <row r="46" spans="1:10" x14ac:dyDescent="0.3">
      <c r="A46" t="s">
        <v>672</v>
      </c>
      <c r="B46" t="s">
        <v>1208</v>
      </c>
      <c r="C46" t="s">
        <v>1209</v>
      </c>
      <c r="D46" t="s">
        <v>33</v>
      </c>
      <c r="E46" t="s">
        <v>81</v>
      </c>
      <c r="F46" s="37">
        <v>101187.36</v>
      </c>
      <c r="G46">
        <v>43258</v>
      </c>
      <c r="H46">
        <v>1</v>
      </c>
      <c r="I46" t="s">
        <v>504</v>
      </c>
      <c r="J46" t="s">
        <v>58</v>
      </c>
    </row>
    <row r="47" spans="1:10" x14ac:dyDescent="0.3">
      <c r="A47" t="s">
        <v>827</v>
      </c>
      <c r="B47" t="s">
        <v>1332</v>
      </c>
      <c r="C47" t="s">
        <v>1333</v>
      </c>
      <c r="D47" t="s">
        <v>33</v>
      </c>
      <c r="E47" t="s">
        <v>85</v>
      </c>
      <c r="F47" s="37">
        <v>100731.95</v>
      </c>
      <c r="G47" t="s">
        <v>829</v>
      </c>
      <c r="H47">
        <v>1</v>
      </c>
      <c r="I47" t="s">
        <v>35</v>
      </c>
      <c r="J47" t="s">
        <v>71</v>
      </c>
    </row>
    <row r="48" spans="1:10" x14ac:dyDescent="0.3">
      <c r="A48" t="s">
        <v>792</v>
      </c>
      <c r="B48" t="s">
        <v>1304</v>
      </c>
      <c r="C48" t="s">
        <v>1305</v>
      </c>
      <c r="D48" t="s">
        <v>47</v>
      </c>
      <c r="E48" t="s">
        <v>48</v>
      </c>
      <c r="F48" s="37">
        <v>100424.23</v>
      </c>
      <c r="G48">
        <v>43801</v>
      </c>
      <c r="H48">
        <v>1</v>
      </c>
      <c r="I48" t="s">
        <v>35</v>
      </c>
      <c r="J48" t="s">
        <v>71</v>
      </c>
    </row>
    <row r="49" spans="1:10" x14ac:dyDescent="0.3">
      <c r="A49" t="s">
        <v>569</v>
      </c>
      <c r="B49" t="s">
        <v>1133</v>
      </c>
      <c r="C49" t="s">
        <v>1134</v>
      </c>
      <c r="D49" t="s">
        <v>33</v>
      </c>
      <c r="E49" t="s">
        <v>34</v>
      </c>
      <c r="F49" s="37">
        <v>100371.31</v>
      </c>
      <c r="G49">
        <v>44067</v>
      </c>
      <c r="H49">
        <v>0.8</v>
      </c>
      <c r="I49" t="s">
        <v>504</v>
      </c>
      <c r="J49" t="s">
        <v>71</v>
      </c>
    </row>
    <row r="50" spans="1:10" x14ac:dyDescent="0.3">
      <c r="A50" t="s">
        <v>914</v>
      </c>
      <c r="B50" t="s">
        <v>1401</v>
      </c>
      <c r="C50" t="s">
        <v>1402</v>
      </c>
      <c r="D50" t="s">
        <v>33</v>
      </c>
      <c r="E50" t="s">
        <v>81</v>
      </c>
      <c r="F50" s="37">
        <v>99965.97</v>
      </c>
      <c r="G50" t="s">
        <v>916</v>
      </c>
      <c r="H50">
        <v>1</v>
      </c>
      <c r="I50" t="s">
        <v>35</v>
      </c>
      <c r="J50" t="s">
        <v>36</v>
      </c>
    </row>
    <row r="51" spans="1:10" x14ac:dyDescent="0.3">
      <c r="A51" t="s">
        <v>676</v>
      </c>
      <c r="B51" t="s">
        <v>1212</v>
      </c>
      <c r="C51" t="s">
        <v>1213</v>
      </c>
      <c r="D51" t="s">
        <v>33</v>
      </c>
      <c r="E51" t="s">
        <v>76</v>
      </c>
      <c r="F51" s="37">
        <v>99683.67</v>
      </c>
      <c r="G51" t="s">
        <v>678</v>
      </c>
      <c r="H51">
        <v>1</v>
      </c>
      <c r="I51" t="s">
        <v>504</v>
      </c>
      <c r="J51" t="s">
        <v>136</v>
      </c>
    </row>
    <row r="52" spans="1:10" x14ac:dyDescent="0.3">
      <c r="A52" t="s">
        <v>676</v>
      </c>
      <c r="B52" t="s">
        <v>1212</v>
      </c>
      <c r="C52" t="s">
        <v>1213</v>
      </c>
      <c r="D52" t="s">
        <v>33</v>
      </c>
      <c r="E52" t="s">
        <v>76</v>
      </c>
      <c r="F52" s="37">
        <v>99683.67</v>
      </c>
      <c r="G52" t="s">
        <v>678</v>
      </c>
      <c r="H52">
        <v>1</v>
      </c>
      <c r="I52" t="s">
        <v>504</v>
      </c>
      <c r="J52" t="s">
        <v>136</v>
      </c>
    </row>
    <row r="53" spans="1:10" x14ac:dyDescent="0.3">
      <c r="A53" t="s">
        <v>753</v>
      </c>
      <c r="B53" t="s">
        <v>1271</v>
      </c>
      <c r="C53" t="s">
        <v>1272</v>
      </c>
      <c r="D53" t="s">
        <v>47</v>
      </c>
      <c r="E53" t="s">
        <v>88</v>
      </c>
      <c r="F53" s="37">
        <v>99460.78</v>
      </c>
      <c r="G53" t="s">
        <v>755</v>
      </c>
      <c r="H53">
        <v>1</v>
      </c>
      <c r="I53" t="s">
        <v>35</v>
      </c>
      <c r="J53" t="s">
        <v>36</v>
      </c>
    </row>
    <row r="54" spans="1:10" x14ac:dyDescent="0.3">
      <c r="A54" t="s">
        <v>631</v>
      </c>
      <c r="B54" t="s">
        <v>1180</v>
      </c>
      <c r="C54" t="s">
        <v>1181</v>
      </c>
      <c r="E54" t="s">
        <v>85</v>
      </c>
      <c r="F54" s="37">
        <v>99448.78</v>
      </c>
      <c r="G54" t="s">
        <v>633</v>
      </c>
      <c r="H54">
        <v>1</v>
      </c>
      <c r="I54" t="s">
        <v>504</v>
      </c>
      <c r="J54" t="s">
        <v>82</v>
      </c>
    </row>
    <row r="55" spans="1:10" x14ac:dyDescent="0.3">
      <c r="A55" t="s">
        <v>631</v>
      </c>
      <c r="B55" t="s">
        <v>1180</v>
      </c>
      <c r="C55" t="s">
        <v>1181</v>
      </c>
      <c r="E55" t="s">
        <v>85</v>
      </c>
      <c r="F55" s="37">
        <v>99448.78</v>
      </c>
      <c r="G55" t="s">
        <v>633</v>
      </c>
      <c r="H55">
        <v>1</v>
      </c>
      <c r="I55" t="s">
        <v>504</v>
      </c>
      <c r="J55" t="s">
        <v>82</v>
      </c>
    </row>
    <row r="56" spans="1:10" x14ac:dyDescent="0.3">
      <c r="A56" t="s">
        <v>976</v>
      </c>
      <c r="B56" t="s">
        <v>1450</v>
      </c>
      <c r="C56" t="s">
        <v>1451</v>
      </c>
      <c r="E56" t="s">
        <v>99</v>
      </c>
      <c r="F56" s="37">
        <v>98012.63</v>
      </c>
      <c r="G56">
        <v>43780</v>
      </c>
      <c r="H56">
        <v>1</v>
      </c>
      <c r="I56" t="s">
        <v>35</v>
      </c>
      <c r="J56" t="s">
        <v>36</v>
      </c>
    </row>
    <row r="57" spans="1:10" x14ac:dyDescent="0.3">
      <c r="A57" t="s">
        <v>134</v>
      </c>
      <c r="B57" t="s">
        <v>468</v>
      </c>
      <c r="C57" t="s">
        <v>469</v>
      </c>
      <c r="D57" t="s">
        <v>33</v>
      </c>
      <c r="E57" t="s">
        <v>57</v>
      </c>
      <c r="F57" s="37">
        <v>98000</v>
      </c>
      <c r="G57">
        <v>43710</v>
      </c>
      <c r="H57">
        <v>0.9</v>
      </c>
      <c r="I57" t="s">
        <v>35</v>
      </c>
      <c r="J57" t="s">
        <v>136</v>
      </c>
    </row>
    <row r="58" spans="1:10" x14ac:dyDescent="0.3">
      <c r="A58" t="s">
        <v>132</v>
      </c>
      <c r="B58" t="s">
        <v>402</v>
      </c>
      <c r="C58" t="s">
        <v>403</v>
      </c>
      <c r="D58" t="s">
        <v>33</v>
      </c>
      <c r="E58" t="s">
        <v>53</v>
      </c>
      <c r="F58" s="37">
        <v>97105.19</v>
      </c>
      <c r="G58">
        <v>44425</v>
      </c>
      <c r="H58">
        <v>1</v>
      </c>
      <c r="I58" t="s">
        <v>35</v>
      </c>
      <c r="J58" t="s">
        <v>58</v>
      </c>
    </row>
    <row r="59" spans="1:10" x14ac:dyDescent="0.3">
      <c r="A59" t="s">
        <v>818</v>
      </c>
      <c r="B59" t="s">
        <v>1326</v>
      </c>
      <c r="C59" t="s">
        <v>1327</v>
      </c>
      <c r="D59" t="s">
        <v>47</v>
      </c>
      <c r="E59" t="s">
        <v>42</v>
      </c>
      <c r="F59" s="37">
        <v>96753.78</v>
      </c>
      <c r="G59">
        <v>44494</v>
      </c>
      <c r="H59">
        <v>1</v>
      </c>
      <c r="I59" t="s">
        <v>35</v>
      </c>
      <c r="J59" t="s">
        <v>71</v>
      </c>
    </row>
    <row r="60" spans="1:10" x14ac:dyDescent="0.3">
      <c r="A60" t="s">
        <v>818</v>
      </c>
      <c r="B60" t="s">
        <v>1326</v>
      </c>
      <c r="C60" t="s">
        <v>1327</v>
      </c>
      <c r="D60" t="s">
        <v>47</v>
      </c>
      <c r="E60" t="s">
        <v>42</v>
      </c>
      <c r="F60" s="37">
        <v>96753.78</v>
      </c>
      <c r="G60">
        <v>44494</v>
      </c>
      <c r="H60">
        <v>1</v>
      </c>
      <c r="I60" t="s">
        <v>35</v>
      </c>
      <c r="J60" t="s">
        <v>71</v>
      </c>
    </row>
    <row r="61" spans="1:10" x14ac:dyDescent="0.3">
      <c r="A61" t="s">
        <v>770</v>
      </c>
      <c r="B61" t="s">
        <v>1284</v>
      </c>
      <c r="C61" t="s">
        <v>1285</v>
      </c>
      <c r="D61" t="s">
        <v>33</v>
      </c>
      <c r="E61" t="s">
        <v>76</v>
      </c>
      <c r="F61" s="37">
        <v>96555.53</v>
      </c>
      <c r="G61">
        <v>43489</v>
      </c>
      <c r="H61">
        <v>0.2</v>
      </c>
      <c r="I61" t="s">
        <v>525</v>
      </c>
      <c r="J61" t="s">
        <v>102</v>
      </c>
    </row>
    <row r="62" spans="1:10" x14ac:dyDescent="0.3">
      <c r="A62" t="s">
        <v>130</v>
      </c>
      <c r="B62" t="s">
        <v>372</v>
      </c>
      <c r="C62" t="s">
        <v>373</v>
      </c>
      <c r="D62" t="s">
        <v>33</v>
      </c>
      <c r="E62" t="s">
        <v>81</v>
      </c>
      <c r="F62" s="37">
        <v>96135.75</v>
      </c>
      <c r="G62" t="s">
        <v>911</v>
      </c>
      <c r="H62">
        <v>0.3</v>
      </c>
      <c r="I62" t="s">
        <v>35</v>
      </c>
      <c r="J62" t="s">
        <v>82</v>
      </c>
    </row>
    <row r="63" spans="1:10" x14ac:dyDescent="0.3">
      <c r="A63" t="s">
        <v>128</v>
      </c>
      <c r="B63" t="s">
        <v>423</v>
      </c>
      <c r="C63" t="s">
        <v>424</v>
      </c>
      <c r="D63" t="s">
        <v>47</v>
      </c>
      <c r="E63" t="s">
        <v>99</v>
      </c>
      <c r="F63" s="37">
        <v>95954.02</v>
      </c>
      <c r="G63">
        <v>43567</v>
      </c>
      <c r="H63">
        <v>0.3</v>
      </c>
      <c r="I63" t="s">
        <v>35</v>
      </c>
      <c r="J63" t="s">
        <v>102</v>
      </c>
    </row>
    <row r="64" spans="1:10" x14ac:dyDescent="0.3">
      <c r="A64" t="s">
        <v>746</v>
      </c>
      <c r="B64" t="s">
        <v>1265</v>
      </c>
      <c r="C64" t="s">
        <v>1266</v>
      </c>
      <c r="D64" t="s">
        <v>33</v>
      </c>
      <c r="E64" t="s">
        <v>81</v>
      </c>
      <c r="F64" s="37">
        <v>95677.9</v>
      </c>
      <c r="G64" t="s">
        <v>748</v>
      </c>
      <c r="H64">
        <v>0.3</v>
      </c>
      <c r="I64" t="s">
        <v>35</v>
      </c>
      <c r="J64" t="s">
        <v>49</v>
      </c>
    </row>
    <row r="65" spans="1:10" x14ac:dyDescent="0.3">
      <c r="A65" t="s">
        <v>798</v>
      </c>
      <c r="B65" t="s">
        <v>1310</v>
      </c>
      <c r="C65" t="s">
        <v>1311</v>
      </c>
      <c r="D65" t="s">
        <v>47</v>
      </c>
      <c r="E65" t="s">
        <v>34</v>
      </c>
      <c r="F65" s="37">
        <v>95017.1</v>
      </c>
      <c r="G65">
        <v>43283</v>
      </c>
      <c r="H65">
        <v>1</v>
      </c>
      <c r="I65" t="s">
        <v>504</v>
      </c>
      <c r="J65" t="s">
        <v>136</v>
      </c>
    </row>
    <row r="66" spans="1:10" x14ac:dyDescent="0.3">
      <c r="A66" t="s">
        <v>919</v>
      </c>
      <c r="B66" t="s">
        <v>1405</v>
      </c>
      <c r="C66" t="s">
        <v>1406</v>
      </c>
      <c r="D66" t="s">
        <v>33</v>
      </c>
      <c r="E66" t="s">
        <v>53</v>
      </c>
      <c r="F66" s="37">
        <v>94815.28</v>
      </c>
      <c r="G66" t="s">
        <v>921</v>
      </c>
      <c r="H66">
        <v>1</v>
      </c>
      <c r="I66" t="s">
        <v>35</v>
      </c>
      <c r="J66" t="s">
        <v>136</v>
      </c>
    </row>
    <row r="67" spans="1:10" x14ac:dyDescent="0.3">
      <c r="A67" t="s">
        <v>959</v>
      </c>
      <c r="B67" t="s">
        <v>1437</v>
      </c>
      <c r="C67" t="s">
        <v>1438</v>
      </c>
      <c r="D67" t="s">
        <v>33</v>
      </c>
      <c r="E67" t="s">
        <v>81</v>
      </c>
      <c r="F67" s="37">
        <v>93964.3</v>
      </c>
      <c r="G67">
        <v>44454</v>
      </c>
      <c r="H67">
        <v>0.4</v>
      </c>
      <c r="I67" t="s">
        <v>504</v>
      </c>
      <c r="J67" t="s">
        <v>102</v>
      </c>
    </row>
    <row r="68" spans="1:10" x14ac:dyDescent="0.3">
      <c r="A68" t="s">
        <v>501</v>
      </c>
      <c r="B68" t="s">
        <v>1083</v>
      </c>
      <c r="C68" t="s">
        <v>1084</v>
      </c>
      <c r="D68" t="s">
        <v>33</v>
      </c>
      <c r="E68" t="s">
        <v>81</v>
      </c>
      <c r="F68" s="37">
        <v>93128.34</v>
      </c>
      <c r="G68" t="s">
        <v>503</v>
      </c>
      <c r="H68">
        <v>1</v>
      </c>
      <c r="I68" t="s">
        <v>504</v>
      </c>
      <c r="J68" t="s">
        <v>136</v>
      </c>
    </row>
    <row r="69" spans="1:10" x14ac:dyDescent="0.3">
      <c r="A69" t="s">
        <v>978</v>
      </c>
      <c r="B69" t="s">
        <v>1452</v>
      </c>
      <c r="C69" t="s">
        <v>1453</v>
      </c>
      <c r="D69" t="s">
        <v>47</v>
      </c>
      <c r="E69" t="s">
        <v>53</v>
      </c>
      <c r="F69" s="37">
        <v>92943.89</v>
      </c>
      <c r="G69">
        <v>44510</v>
      </c>
      <c r="H69">
        <v>1</v>
      </c>
      <c r="I69" t="s">
        <v>35</v>
      </c>
      <c r="J69" t="s">
        <v>102</v>
      </c>
    </row>
    <row r="70" spans="1:10" x14ac:dyDescent="0.3">
      <c r="A70" t="s">
        <v>854</v>
      </c>
      <c r="B70" t="s">
        <v>1354</v>
      </c>
      <c r="C70" t="s">
        <v>1355</v>
      </c>
      <c r="D70" t="s">
        <v>33</v>
      </c>
      <c r="E70" t="s">
        <v>85</v>
      </c>
      <c r="F70" s="37">
        <v>92704.48</v>
      </c>
      <c r="G70" t="s">
        <v>856</v>
      </c>
      <c r="H70">
        <v>1</v>
      </c>
      <c r="I70" t="s">
        <v>504</v>
      </c>
      <c r="J70" t="s">
        <v>58</v>
      </c>
    </row>
    <row r="71" spans="1:10" x14ac:dyDescent="0.3">
      <c r="A71" t="s">
        <v>126</v>
      </c>
      <c r="B71" t="s">
        <v>464</v>
      </c>
      <c r="C71" t="s">
        <v>465</v>
      </c>
      <c r="D71" t="s">
        <v>33</v>
      </c>
      <c r="E71" t="s">
        <v>76</v>
      </c>
      <c r="F71" s="37">
        <v>92336.08</v>
      </c>
      <c r="G71">
        <v>44431</v>
      </c>
      <c r="H71">
        <v>1</v>
      </c>
      <c r="I71" t="s">
        <v>35</v>
      </c>
      <c r="J71" t="s">
        <v>102</v>
      </c>
    </row>
    <row r="72" spans="1:10" x14ac:dyDescent="0.3">
      <c r="A72" t="s">
        <v>877</v>
      </c>
      <c r="B72" t="s">
        <v>1180</v>
      </c>
      <c r="C72" t="s">
        <v>1372</v>
      </c>
      <c r="D72" t="s">
        <v>33</v>
      </c>
      <c r="E72" t="s">
        <v>141</v>
      </c>
      <c r="F72" s="37">
        <v>91929.69</v>
      </c>
      <c r="G72">
        <v>44085</v>
      </c>
      <c r="H72">
        <v>1</v>
      </c>
      <c r="I72" t="s">
        <v>504</v>
      </c>
      <c r="J72" t="s">
        <v>36</v>
      </c>
    </row>
    <row r="73" spans="1:10" x14ac:dyDescent="0.3">
      <c r="A73" t="s">
        <v>124</v>
      </c>
      <c r="B73" t="s">
        <v>400</v>
      </c>
      <c r="C73" t="s">
        <v>401</v>
      </c>
      <c r="D73" t="s">
        <v>47</v>
      </c>
      <c r="E73" t="s">
        <v>99</v>
      </c>
      <c r="F73" s="37">
        <v>91645.04</v>
      </c>
      <c r="G73">
        <v>44223</v>
      </c>
      <c r="H73">
        <v>1</v>
      </c>
      <c r="I73" t="s">
        <v>35</v>
      </c>
      <c r="J73" t="s">
        <v>71</v>
      </c>
    </row>
    <row r="74" spans="1:10" x14ac:dyDescent="0.3">
      <c r="A74" t="s">
        <v>972</v>
      </c>
      <c r="B74" t="s">
        <v>1446</v>
      </c>
      <c r="C74" t="s">
        <v>1447</v>
      </c>
      <c r="D74" t="s">
        <v>47</v>
      </c>
      <c r="E74" t="s">
        <v>42</v>
      </c>
      <c r="F74" s="37">
        <v>91314.75</v>
      </c>
      <c r="G74">
        <v>43931</v>
      </c>
      <c r="H74">
        <v>1</v>
      </c>
      <c r="I74" t="s">
        <v>504</v>
      </c>
      <c r="J74" t="s">
        <v>136</v>
      </c>
    </row>
    <row r="75" spans="1:10" x14ac:dyDescent="0.3">
      <c r="A75" t="s">
        <v>552</v>
      </c>
      <c r="B75" t="s">
        <v>1119</v>
      </c>
      <c r="C75" t="s">
        <v>1120</v>
      </c>
      <c r="D75" t="s">
        <v>47</v>
      </c>
      <c r="E75" t="s">
        <v>57</v>
      </c>
      <c r="F75" s="37">
        <v>90884.32</v>
      </c>
      <c r="G75" t="s">
        <v>554</v>
      </c>
      <c r="H75">
        <v>1</v>
      </c>
      <c r="I75" t="s">
        <v>35</v>
      </c>
      <c r="J75" t="s">
        <v>58</v>
      </c>
    </row>
    <row r="76" spans="1:10" x14ac:dyDescent="0.3">
      <c r="A76" t="s">
        <v>552</v>
      </c>
      <c r="B76" t="s">
        <v>1119</v>
      </c>
      <c r="C76" t="s">
        <v>1120</v>
      </c>
      <c r="D76" t="s">
        <v>47</v>
      </c>
      <c r="E76" t="s">
        <v>57</v>
      </c>
      <c r="F76" s="37">
        <v>90884.32</v>
      </c>
      <c r="G76" t="s">
        <v>554</v>
      </c>
      <c r="H76">
        <v>1</v>
      </c>
      <c r="I76" t="s">
        <v>35</v>
      </c>
      <c r="J76" t="s">
        <v>58</v>
      </c>
    </row>
    <row r="77" spans="1:10" x14ac:dyDescent="0.3">
      <c r="A77" t="s">
        <v>961</v>
      </c>
      <c r="B77" t="s">
        <v>1119</v>
      </c>
      <c r="C77" t="s">
        <v>1439</v>
      </c>
      <c r="D77" t="s">
        <v>47</v>
      </c>
      <c r="E77" t="s">
        <v>57</v>
      </c>
      <c r="F77" s="37">
        <v>90884.32</v>
      </c>
      <c r="G77">
        <v>44039</v>
      </c>
      <c r="H77">
        <v>0.5</v>
      </c>
      <c r="I77" t="s">
        <v>35</v>
      </c>
      <c r="J77" t="s">
        <v>58</v>
      </c>
    </row>
    <row r="78" spans="1:10" x14ac:dyDescent="0.3">
      <c r="A78" t="s">
        <v>550</v>
      </c>
      <c r="B78" t="s">
        <v>1117</v>
      </c>
      <c r="C78" t="s">
        <v>1118</v>
      </c>
      <c r="D78" t="s">
        <v>47</v>
      </c>
      <c r="E78" t="s">
        <v>88</v>
      </c>
      <c r="F78" s="37">
        <v>90697.67</v>
      </c>
      <c r="G78">
        <v>44221</v>
      </c>
      <c r="H78">
        <v>0.8</v>
      </c>
      <c r="I78" t="s">
        <v>35</v>
      </c>
      <c r="J78" t="s">
        <v>136</v>
      </c>
    </row>
    <row r="79" spans="1:10" x14ac:dyDescent="0.3">
      <c r="A79" t="s">
        <v>901</v>
      </c>
      <c r="B79" t="s">
        <v>406</v>
      </c>
      <c r="C79" t="s">
        <v>1390</v>
      </c>
      <c r="D79" t="s">
        <v>47</v>
      </c>
      <c r="E79" t="s">
        <v>141</v>
      </c>
      <c r="F79" s="37">
        <v>89960.6</v>
      </c>
      <c r="G79">
        <v>43515</v>
      </c>
      <c r="H79">
        <v>1</v>
      </c>
      <c r="I79" t="s">
        <v>504</v>
      </c>
      <c r="J79" t="s">
        <v>71</v>
      </c>
    </row>
    <row r="80" spans="1:10" x14ac:dyDescent="0.3">
      <c r="A80" t="s">
        <v>719</v>
      </c>
      <c r="B80" t="s">
        <v>1241</v>
      </c>
      <c r="C80" t="s">
        <v>1242</v>
      </c>
      <c r="D80" t="s">
        <v>47</v>
      </c>
      <c r="E80" t="s">
        <v>88</v>
      </c>
      <c r="F80" s="37">
        <v>89838.77</v>
      </c>
      <c r="G80">
        <v>43602</v>
      </c>
      <c r="H80">
        <v>1</v>
      </c>
      <c r="I80" t="s">
        <v>35</v>
      </c>
      <c r="J80" t="s">
        <v>36</v>
      </c>
    </row>
    <row r="81" spans="1:10" x14ac:dyDescent="0.3">
      <c r="A81" t="s">
        <v>739</v>
      </c>
      <c r="B81" t="s">
        <v>1259</v>
      </c>
      <c r="C81" t="s">
        <v>1260</v>
      </c>
      <c r="D81" t="s">
        <v>33</v>
      </c>
      <c r="E81" t="s">
        <v>141</v>
      </c>
      <c r="F81" s="37">
        <v>89829.33</v>
      </c>
      <c r="G81">
        <v>43794</v>
      </c>
      <c r="H81">
        <v>1</v>
      </c>
      <c r="I81" t="s">
        <v>525</v>
      </c>
      <c r="J81" t="s">
        <v>49</v>
      </c>
    </row>
    <row r="82" spans="1:10" x14ac:dyDescent="0.3">
      <c r="A82" t="s">
        <v>122</v>
      </c>
      <c r="B82" t="s">
        <v>445</v>
      </c>
      <c r="C82" t="s">
        <v>446</v>
      </c>
      <c r="D82" t="s">
        <v>33</v>
      </c>
      <c r="E82" t="s">
        <v>48</v>
      </c>
      <c r="F82" s="37">
        <v>89690.38</v>
      </c>
      <c r="G82">
        <v>43206</v>
      </c>
      <c r="H82">
        <v>1</v>
      </c>
      <c r="I82" t="s">
        <v>35</v>
      </c>
      <c r="J82" t="s">
        <v>82</v>
      </c>
    </row>
    <row r="83" spans="1:10" x14ac:dyDescent="0.3">
      <c r="A83" t="s">
        <v>726</v>
      </c>
      <c r="B83" t="s">
        <v>1249</v>
      </c>
      <c r="C83" t="s">
        <v>1250</v>
      </c>
      <c r="D83" t="s">
        <v>33</v>
      </c>
      <c r="E83" t="s">
        <v>48</v>
      </c>
      <c r="F83" s="37">
        <v>89690.38</v>
      </c>
      <c r="G83" t="s">
        <v>728</v>
      </c>
      <c r="H83">
        <v>1</v>
      </c>
      <c r="I83" t="s">
        <v>35</v>
      </c>
      <c r="J83" t="s">
        <v>102</v>
      </c>
    </row>
    <row r="84" spans="1:10" x14ac:dyDescent="0.3">
      <c r="A84" t="s">
        <v>784</v>
      </c>
      <c r="B84" t="s">
        <v>1298</v>
      </c>
      <c r="C84" t="s">
        <v>1299</v>
      </c>
      <c r="D84" t="s">
        <v>47</v>
      </c>
      <c r="E84" t="s">
        <v>92</v>
      </c>
      <c r="F84" s="37">
        <v>89605.13</v>
      </c>
      <c r="G84" t="s">
        <v>786</v>
      </c>
      <c r="H84">
        <v>1</v>
      </c>
      <c r="I84" t="s">
        <v>35</v>
      </c>
      <c r="J84" t="s">
        <v>136</v>
      </c>
    </row>
    <row r="85" spans="1:10" x14ac:dyDescent="0.3">
      <c r="A85" t="s">
        <v>767</v>
      </c>
      <c r="B85" t="s">
        <v>390</v>
      </c>
      <c r="C85" t="s">
        <v>1283</v>
      </c>
      <c r="D85" t="s">
        <v>47</v>
      </c>
      <c r="E85" t="s">
        <v>48</v>
      </c>
      <c r="F85" s="37">
        <v>88689.09</v>
      </c>
      <c r="G85" t="s">
        <v>769</v>
      </c>
      <c r="H85">
        <v>1</v>
      </c>
      <c r="I85" t="s">
        <v>35</v>
      </c>
      <c r="J85" t="s">
        <v>136</v>
      </c>
    </row>
    <row r="86" spans="1:10" x14ac:dyDescent="0.3">
      <c r="A86" t="s">
        <v>743</v>
      </c>
      <c r="B86" t="s">
        <v>1263</v>
      </c>
      <c r="C86" t="s">
        <v>1264</v>
      </c>
      <c r="D86" t="s">
        <v>47</v>
      </c>
      <c r="E86" t="s">
        <v>57</v>
      </c>
      <c r="F86" s="37">
        <v>88511.17</v>
      </c>
      <c r="G86" t="s">
        <v>745</v>
      </c>
      <c r="H86">
        <v>1</v>
      </c>
      <c r="I86" t="s">
        <v>35</v>
      </c>
      <c r="J86" t="s">
        <v>58</v>
      </c>
    </row>
    <row r="87" spans="1:10" x14ac:dyDescent="0.3">
      <c r="A87" t="s">
        <v>814</v>
      </c>
      <c r="B87" t="s">
        <v>1322</v>
      </c>
      <c r="C87" t="s">
        <v>1323</v>
      </c>
      <c r="D87" t="s">
        <v>33</v>
      </c>
      <c r="E87" t="s">
        <v>53</v>
      </c>
      <c r="F87" s="37">
        <v>88425.08</v>
      </c>
      <c r="G87" t="s">
        <v>816</v>
      </c>
      <c r="H87">
        <v>1</v>
      </c>
      <c r="I87" t="s">
        <v>35</v>
      </c>
      <c r="J87" t="s">
        <v>102</v>
      </c>
    </row>
    <row r="88" spans="1:10" x14ac:dyDescent="0.3">
      <c r="A88" t="s">
        <v>756</v>
      </c>
      <c r="B88" t="s">
        <v>1273</v>
      </c>
      <c r="C88" t="s">
        <v>1274</v>
      </c>
      <c r="D88" t="s">
        <v>33</v>
      </c>
      <c r="E88" t="s">
        <v>34</v>
      </c>
      <c r="F88" s="37">
        <v>88034.67</v>
      </c>
      <c r="G88">
        <v>43669</v>
      </c>
      <c r="H88">
        <v>1</v>
      </c>
      <c r="I88" t="s">
        <v>35</v>
      </c>
      <c r="J88" t="s">
        <v>36</v>
      </c>
    </row>
    <row r="89" spans="1:10" x14ac:dyDescent="0.3">
      <c r="A89" t="s">
        <v>669</v>
      </c>
      <c r="B89" t="s">
        <v>1206</v>
      </c>
      <c r="C89" t="s">
        <v>1207</v>
      </c>
      <c r="D89" t="s">
        <v>33</v>
      </c>
      <c r="E89" t="s">
        <v>57</v>
      </c>
      <c r="F89" s="37">
        <v>86558.58</v>
      </c>
      <c r="G89" t="s">
        <v>671</v>
      </c>
      <c r="H89">
        <v>1</v>
      </c>
      <c r="I89" t="s">
        <v>504</v>
      </c>
      <c r="J89" t="s">
        <v>36</v>
      </c>
    </row>
    <row r="90" spans="1:10" x14ac:dyDescent="0.3">
      <c r="A90" t="s">
        <v>576</v>
      </c>
      <c r="B90" t="s">
        <v>1139</v>
      </c>
      <c r="C90" t="s">
        <v>1140</v>
      </c>
      <c r="D90" t="s">
        <v>47</v>
      </c>
      <c r="E90" t="s">
        <v>85</v>
      </c>
      <c r="F90" s="37">
        <v>86556.96</v>
      </c>
      <c r="G90" t="s">
        <v>578</v>
      </c>
      <c r="H90">
        <v>1</v>
      </c>
      <c r="I90" t="s">
        <v>35</v>
      </c>
      <c r="J90" t="s">
        <v>102</v>
      </c>
    </row>
    <row r="91" spans="1:10" x14ac:dyDescent="0.3">
      <c r="A91" t="s">
        <v>823</v>
      </c>
      <c r="B91" t="s">
        <v>1330</v>
      </c>
      <c r="C91" t="s">
        <v>1331</v>
      </c>
      <c r="D91" t="s">
        <v>33</v>
      </c>
      <c r="E91" t="s">
        <v>57</v>
      </c>
      <c r="F91" s="37">
        <v>86233.83</v>
      </c>
      <c r="G91" t="s">
        <v>825</v>
      </c>
      <c r="H91">
        <v>1</v>
      </c>
      <c r="I91" t="s">
        <v>504</v>
      </c>
      <c r="J91" t="s">
        <v>49</v>
      </c>
    </row>
    <row r="92" spans="1:10" x14ac:dyDescent="0.3">
      <c r="A92" t="s">
        <v>830</v>
      </c>
      <c r="B92" t="s">
        <v>1334</v>
      </c>
      <c r="C92" t="s">
        <v>1335</v>
      </c>
      <c r="D92" t="s">
        <v>33</v>
      </c>
      <c r="E92" t="s">
        <v>81</v>
      </c>
      <c r="F92" s="37">
        <v>86010.54</v>
      </c>
      <c r="G92">
        <v>43164</v>
      </c>
      <c r="H92">
        <v>1</v>
      </c>
      <c r="I92" t="s">
        <v>35</v>
      </c>
      <c r="J92" t="s">
        <v>49</v>
      </c>
    </row>
    <row r="93" spans="1:10" x14ac:dyDescent="0.3">
      <c r="A93" t="s">
        <v>120</v>
      </c>
      <c r="B93" t="s">
        <v>406</v>
      </c>
      <c r="C93" t="s">
        <v>407</v>
      </c>
      <c r="D93" t="s">
        <v>47</v>
      </c>
      <c r="E93" t="s">
        <v>57</v>
      </c>
      <c r="F93" s="37">
        <v>85918.61</v>
      </c>
      <c r="G93" t="s">
        <v>640</v>
      </c>
      <c r="H93">
        <v>1</v>
      </c>
      <c r="I93" t="s">
        <v>35</v>
      </c>
      <c r="J93" t="s">
        <v>58</v>
      </c>
    </row>
    <row r="94" spans="1:10" x14ac:dyDescent="0.3">
      <c r="A94" t="s">
        <v>606</v>
      </c>
      <c r="B94" t="s">
        <v>1162</v>
      </c>
      <c r="C94" t="s">
        <v>1163</v>
      </c>
      <c r="D94" t="s">
        <v>47</v>
      </c>
      <c r="E94" t="s">
        <v>76</v>
      </c>
      <c r="F94" s="37">
        <v>85455.53</v>
      </c>
      <c r="G94">
        <v>43839</v>
      </c>
      <c r="H94">
        <v>1</v>
      </c>
      <c r="I94" t="s">
        <v>35</v>
      </c>
      <c r="J94" t="s">
        <v>82</v>
      </c>
    </row>
    <row r="95" spans="1:10" x14ac:dyDescent="0.3">
      <c r="A95" t="s">
        <v>967</v>
      </c>
      <c r="B95" t="s">
        <v>1442</v>
      </c>
      <c r="C95" t="s">
        <v>1443</v>
      </c>
      <c r="D95" t="s">
        <v>33</v>
      </c>
      <c r="E95" t="s">
        <v>85</v>
      </c>
      <c r="F95" s="37">
        <v>85264.38</v>
      </c>
      <c r="G95" t="s">
        <v>969</v>
      </c>
      <c r="H95">
        <v>1</v>
      </c>
      <c r="I95" t="s">
        <v>35</v>
      </c>
      <c r="J95" t="s">
        <v>49</v>
      </c>
    </row>
    <row r="96" spans="1:10" x14ac:dyDescent="0.3">
      <c r="A96" t="s">
        <v>627</v>
      </c>
      <c r="B96" t="s">
        <v>1176</v>
      </c>
      <c r="C96" t="s">
        <v>1177</v>
      </c>
      <c r="D96" t="s">
        <v>33</v>
      </c>
      <c r="E96" t="s">
        <v>42</v>
      </c>
      <c r="F96" s="37">
        <v>84762.76</v>
      </c>
      <c r="G96">
        <v>43332</v>
      </c>
      <c r="H96">
        <v>1</v>
      </c>
      <c r="I96" t="s">
        <v>35</v>
      </c>
      <c r="J96" t="s">
        <v>102</v>
      </c>
    </row>
    <row r="97" spans="1:10" x14ac:dyDescent="0.3">
      <c r="A97" t="s">
        <v>79</v>
      </c>
      <c r="B97" t="s">
        <v>439</v>
      </c>
      <c r="C97" t="s">
        <v>440</v>
      </c>
      <c r="D97" t="s">
        <v>33</v>
      </c>
      <c r="E97" t="s">
        <v>81</v>
      </c>
      <c r="F97" s="37">
        <v>84745.93</v>
      </c>
      <c r="G97" t="s">
        <v>866</v>
      </c>
      <c r="H97">
        <v>1</v>
      </c>
      <c r="I97" t="s">
        <v>35</v>
      </c>
      <c r="J97" t="s">
        <v>82</v>
      </c>
    </row>
    <row r="98" spans="1:10" x14ac:dyDescent="0.3">
      <c r="A98" t="s">
        <v>77</v>
      </c>
      <c r="B98" t="s">
        <v>404</v>
      </c>
      <c r="C98" t="s">
        <v>405</v>
      </c>
      <c r="D98" t="s">
        <v>47</v>
      </c>
      <c r="E98" t="s">
        <v>48</v>
      </c>
      <c r="F98" s="37">
        <v>84742.86</v>
      </c>
      <c r="G98" t="s">
        <v>963</v>
      </c>
      <c r="H98">
        <v>1</v>
      </c>
      <c r="I98" t="s">
        <v>35</v>
      </c>
      <c r="J98" t="s">
        <v>71</v>
      </c>
    </row>
    <row r="99" spans="1:10" x14ac:dyDescent="0.3">
      <c r="A99" t="s">
        <v>802</v>
      </c>
      <c r="B99" t="s">
        <v>1314</v>
      </c>
      <c r="C99" t="s">
        <v>1315</v>
      </c>
      <c r="D99" t="s">
        <v>33</v>
      </c>
      <c r="E99" t="s">
        <v>42</v>
      </c>
      <c r="F99" s="37">
        <v>84598.88</v>
      </c>
      <c r="G99" t="s">
        <v>804</v>
      </c>
      <c r="H99">
        <v>1</v>
      </c>
      <c r="I99" t="s">
        <v>504</v>
      </c>
      <c r="J99" t="s">
        <v>136</v>
      </c>
    </row>
    <row r="100" spans="1:10" x14ac:dyDescent="0.3">
      <c r="A100" t="s">
        <v>802</v>
      </c>
      <c r="B100" t="s">
        <v>1314</v>
      </c>
      <c r="C100" t="s">
        <v>1315</v>
      </c>
      <c r="D100" t="s">
        <v>33</v>
      </c>
      <c r="E100" t="s">
        <v>42</v>
      </c>
      <c r="F100" s="37">
        <v>84598.88</v>
      </c>
      <c r="G100" t="s">
        <v>804</v>
      </c>
      <c r="H100">
        <v>1</v>
      </c>
      <c r="I100" t="s">
        <v>504</v>
      </c>
      <c r="J100" t="s">
        <v>136</v>
      </c>
    </row>
    <row r="101" spans="1:10" x14ac:dyDescent="0.3">
      <c r="A101" t="s">
        <v>74</v>
      </c>
      <c r="B101" t="s">
        <v>394</v>
      </c>
      <c r="C101" t="s">
        <v>395</v>
      </c>
      <c r="D101" t="s">
        <v>33</v>
      </c>
      <c r="E101" t="s">
        <v>76</v>
      </c>
      <c r="F101" s="37">
        <v>84309.95</v>
      </c>
      <c r="G101">
        <v>44501</v>
      </c>
      <c r="H101">
        <v>1</v>
      </c>
      <c r="I101" t="s">
        <v>35</v>
      </c>
      <c r="J101" t="s">
        <v>36</v>
      </c>
    </row>
    <row r="102" spans="1:10" x14ac:dyDescent="0.3">
      <c r="A102" t="s">
        <v>654</v>
      </c>
      <c r="B102" t="s">
        <v>1198</v>
      </c>
      <c r="C102" t="s">
        <v>1199</v>
      </c>
      <c r="D102" t="s">
        <v>47</v>
      </c>
      <c r="E102" t="s">
        <v>85</v>
      </c>
      <c r="F102" s="37">
        <v>83396.5</v>
      </c>
      <c r="G102" t="s">
        <v>656</v>
      </c>
      <c r="H102">
        <v>1</v>
      </c>
      <c r="I102" t="s">
        <v>525</v>
      </c>
      <c r="J102" t="s">
        <v>71</v>
      </c>
    </row>
    <row r="103" spans="1:10" x14ac:dyDescent="0.3">
      <c r="A103" t="s">
        <v>650</v>
      </c>
      <c r="B103" t="s">
        <v>1194</v>
      </c>
      <c r="C103" t="s">
        <v>1195</v>
      </c>
      <c r="D103" t="s">
        <v>47</v>
      </c>
      <c r="E103" t="s">
        <v>42</v>
      </c>
      <c r="F103" s="37">
        <v>83191.95</v>
      </c>
      <c r="G103">
        <v>43700</v>
      </c>
      <c r="H103">
        <v>0.6</v>
      </c>
      <c r="I103" t="s">
        <v>525</v>
      </c>
      <c r="J103" t="s">
        <v>36</v>
      </c>
    </row>
    <row r="104" spans="1:10" x14ac:dyDescent="0.3">
      <c r="A104" t="s">
        <v>882</v>
      </c>
      <c r="B104" t="s">
        <v>1374</v>
      </c>
      <c r="C104" t="s">
        <v>1375</v>
      </c>
      <c r="D104" t="s">
        <v>47</v>
      </c>
      <c r="E104" t="s">
        <v>53</v>
      </c>
      <c r="F104" s="37">
        <v>82239.53</v>
      </c>
      <c r="G104">
        <v>43846</v>
      </c>
      <c r="H104">
        <v>1</v>
      </c>
      <c r="I104" t="s">
        <v>525</v>
      </c>
      <c r="J104" t="s">
        <v>58</v>
      </c>
    </row>
    <row r="105" spans="1:10" x14ac:dyDescent="0.3">
      <c r="A105" t="s">
        <v>69</v>
      </c>
      <c r="B105" t="s">
        <v>431</v>
      </c>
      <c r="C105" t="s">
        <v>432</v>
      </c>
      <c r="D105" t="s">
        <v>33</v>
      </c>
      <c r="E105" t="s">
        <v>48</v>
      </c>
      <c r="F105" s="37">
        <v>81897.789999999994</v>
      </c>
      <c r="G105">
        <v>43146</v>
      </c>
      <c r="H105">
        <v>1</v>
      </c>
      <c r="I105" t="s">
        <v>35</v>
      </c>
      <c r="J105" t="s">
        <v>71</v>
      </c>
    </row>
    <row r="106" spans="1:10" x14ac:dyDescent="0.3">
      <c r="A106" t="s">
        <v>964</v>
      </c>
      <c r="B106" t="s">
        <v>1440</v>
      </c>
      <c r="C106" t="s">
        <v>1441</v>
      </c>
      <c r="D106" t="s">
        <v>47</v>
      </c>
      <c r="E106" t="s">
        <v>42</v>
      </c>
      <c r="F106" s="37">
        <v>80772.92</v>
      </c>
      <c r="G106" t="s">
        <v>966</v>
      </c>
      <c r="H106">
        <v>1</v>
      </c>
      <c r="I106" t="s">
        <v>525</v>
      </c>
      <c r="J106" t="s">
        <v>36</v>
      </c>
    </row>
    <row r="107" spans="1:10" x14ac:dyDescent="0.3">
      <c r="A107" t="s">
        <v>66</v>
      </c>
      <c r="B107" t="s">
        <v>376</v>
      </c>
      <c r="C107" t="s">
        <v>377</v>
      </c>
      <c r="D107" t="s">
        <v>33</v>
      </c>
      <c r="E107" t="s">
        <v>57</v>
      </c>
      <c r="F107" s="37">
        <v>80695.740000000005</v>
      </c>
      <c r="G107" t="s">
        <v>665</v>
      </c>
      <c r="H107">
        <v>0.8</v>
      </c>
      <c r="I107" t="s">
        <v>35</v>
      </c>
      <c r="J107" t="s">
        <v>58</v>
      </c>
    </row>
    <row r="108" spans="1:10" x14ac:dyDescent="0.3">
      <c r="A108" t="s">
        <v>55</v>
      </c>
      <c r="B108" t="s">
        <v>376</v>
      </c>
      <c r="C108" t="s">
        <v>377</v>
      </c>
      <c r="D108" t="s">
        <v>33</v>
      </c>
      <c r="E108" t="s">
        <v>57</v>
      </c>
      <c r="F108" s="37">
        <v>80695.740000000005</v>
      </c>
      <c r="G108">
        <v>43360</v>
      </c>
      <c r="H108">
        <v>1</v>
      </c>
      <c r="I108" t="s">
        <v>35</v>
      </c>
      <c r="J108" t="s">
        <v>58</v>
      </c>
    </row>
    <row r="109" spans="1:10" x14ac:dyDescent="0.3">
      <c r="A109" t="s">
        <v>55</v>
      </c>
      <c r="B109" t="s">
        <v>376</v>
      </c>
      <c r="C109" t="s">
        <v>377</v>
      </c>
      <c r="D109" t="s">
        <v>33</v>
      </c>
      <c r="E109" t="s">
        <v>57</v>
      </c>
      <c r="F109" s="37">
        <v>80695.740000000005</v>
      </c>
      <c r="G109">
        <v>43360</v>
      </c>
      <c r="H109">
        <v>1</v>
      </c>
      <c r="I109" t="s">
        <v>35</v>
      </c>
      <c r="J109" t="s">
        <v>58</v>
      </c>
    </row>
    <row r="110" spans="1:10" x14ac:dyDescent="0.3">
      <c r="A110" t="s">
        <v>907</v>
      </c>
      <c r="B110" t="s">
        <v>1397</v>
      </c>
      <c r="C110" t="s">
        <v>1398</v>
      </c>
      <c r="D110" t="s">
        <v>47</v>
      </c>
      <c r="E110" t="s">
        <v>141</v>
      </c>
      <c r="F110" s="37">
        <v>80360.41</v>
      </c>
      <c r="G110" t="s">
        <v>909</v>
      </c>
      <c r="H110">
        <v>1</v>
      </c>
      <c r="I110" t="s">
        <v>35</v>
      </c>
      <c r="J110" t="s">
        <v>36</v>
      </c>
    </row>
    <row r="111" spans="1:10" x14ac:dyDescent="0.3">
      <c r="A111" t="s">
        <v>582</v>
      </c>
      <c r="B111" t="s">
        <v>1143</v>
      </c>
      <c r="C111" t="s">
        <v>1144</v>
      </c>
      <c r="D111" t="s">
        <v>47</v>
      </c>
      <c r="E111" t="s">
        <v>57</v>
      </c>
      <c r="F111" s="37">
        <v>80169.42</v>
      </c>
      <c r="G111" t="s">
        <v>584</v>
      </c>
      <c r="H111">
        <v>1</v>
      </c>
      <c r="I111" t="s">
        <v>35</v>
      </c>
      <c r="J111" t="s">
        <v>71</v>
      </c>
    </row>
    <row r="112" spans="1:10" x14ac:dyDescent="0.3">
      <c r="A112" t="s">
        <v>582</v>
      </c>
      <c r="B112" t="s">
        <v>1143</v>
      </c>
      <c r="C112" t="s">
        <v>1144</v>
      </c>
      <c r="D112" t="s">
        <v>47</v>
      </c>
      <c r="E112" t="s">
        <v>57</v>
      </c>
      <c r="F112" s="37">
        <v>80169.42</v>
      </c>
      <c r="G112" t="s">
        <v>584</v>
      </c>
      <c r="H112">
        <v>1</v>
      </c>
      <c r="I112" t="s">
        <v>35</v>
      </c>
      <c r="J112" t="s">
        <v>71</v>
      </c>
    </row>
    <row r="113" spans="1:10" x14ac:dyDescent="0.3">
      <c r="A113" t="s">
        <v>602</v>
      </c>
      <c r="B113" t="s">
        <v>1158</v>
      </c>
      <c r="C113" t="s">
        <v>1159</v>
      </c>
      <c r="D113" t="s">
        <v>47</v>
      </c>
      <c r="E113" t="s">
        <v>81</v>
      </c>
      <c r="F113" s="37">
        <v>79567.69</v>
      </c>
      <c r="G113">
        <v>43272</v>
      </c>
      <c r="H113">
        <v>1</v>
      </c>
      <c r="I113" t="s">
        <v>504</v>
      </c>
      <c r="J113" t="s">
        <v>49</v>
      </c>
    </row>
    <row r="114" spans="1:10" x14ac:dyDescent="0.3">
      <c r="A114" t="s">
        <v>545</v>
      </c>
      <c r="B114" t="s">
        <v>1113</v>
      </c>
      <c r="C114" t="s">
        <v>1114</v>
      </c>
      <c r="E114" t="s">
        <v>81</v>
      </c>
      <c r="F114" s="37">
        <v>78840.23</v>
      </c>
      <c r="G114">
        <v>43633</v>
      </c>
      <c r="H114">
        <v>1</v>
      </c>
      <c r="I114" t="s">
        <v>525</v>
      </c>
      <c r="J114" t="s">
        <v>36</v>
      </c>
    </row>
    <row r="115" spans="1:10" x14ac:dyDescent="0.3">
      <c r="A115" t="s">
        <v>871</v>
      </c>
      <c r="B115" t="s">
        <v>1368</v>
      </c>
      <c r="C115" t="s">
        <v>1369</v>
      </c>
      <c r="D115" t="s">
        <v>47</v>
      </c>
      <c r="E115" t="s">
        <v>76</v>
      </c>
      <c r="F115" s="37">
        <v>78705.929999999993</v>
      </c>
      <c r="G115" t="s">
        <v>873</v>
      </c>
      <c r="H115">
        <v>1</v>
      </c>
      <c r="I115" t="s">
        <v>504</v>
      </c>
      <c r="J115" t="s">
        <v>136</v>
      </c>
    </row>
    <row r="116" spans="1:10" x14ac:dyDescent="0.3">
      <c r="A116" t="s">
        <v>857</v>
      </c>
      <c r="B116" t="s">
        <v>1356</v>
      </c>
      <c r="C116" t="s">
        <v>1357</v>
      </c>
      <c r="D116" t="s">
        <v>47</v>
      </c>
      <c r="E116" t="s">
        <v>53</v>
      </c>
      <c r="F116" s="37">
        <v>78443.78</v>
      </c>
      <c r="G116" t="s">
        <v>859</v>
      </c>
      <c r="H116">
        <v>1</v>
      </c>
      <c r="I116" t="s">
        <v>504</v>
      </c>
      <c r="J116" t="s">
        <v>102</v>
      </c>
    </row>
    <row r="117" spans="1:10" x14ac:dyDescent="0.3">
      <c r="A117" t="s">
        <v>51</v>
      </c>
      <c r="B117" t="s">
        <v>433</v>
      </c>
      <c r="C117" t="s">
        <v>434</v>
      </c>
      <c r="D117" t="s">
        <v>33</v>
      </c>
      <c r="E117" t="s">
        <v>53</v>
      </c>
      <c r="F117" s="37">
        <v>78378.2</v>
      </c>
      <c r="G117">
        <v>43465</v>
      </c>
      <c r="H117">
        <v>0.4</v>
      </c>
      <c r="I117" t="s">
        <v>35</v>
      </c>
      <c r="J117" t="s">
        <v>36</v>
      </c>
    </row>
    <row r="118" spans="1:10" x14ac:dyDescent="0.3">
      <c r="A118" t="s">
        <v>986</v>
      </c>
      <c r="B118" t="s">
        <v>390</v>
      </c>
      <c r="C118" t="s">
        <v>1460</v>
      </c>
      <c r="D118" t="s">
        <v>33</v>
      </c>
      <c r="E118" t="s">
        <v>42</v>
      </c>
      <c r="F118" s="37">
        <v>78020.39</v>
      </c>
      <c r="G118">
        <v>43899</v>
      </c>
      <c r="H118">
        <v>1</v>
      </c>
      <c r="I118" t="s">
        <v>35</v>
      </c>
      <c r="J118" t="s">
        <v>36</v>
      </c>
    </row>
    <row r="119" spans="1:10" x14ac:dyDescent="0.3">
      <c r="A119" t="s">
        <v>939</v>
      </c>
      <c r="B119" t="s">
        <v>1419</v>
      </c>
      <c r="C119" t="s">
        <v>1420</v>
      </c>
      <c r="D119" t="s">
        <v>47</v>
      </c>
      <c r="E119" t="s">
        <v>141</v>
      </c>
      <c r="F119" s="37">
        <v>77743.149999999994</v>
      </c>
      <c r="G119" t="s">
        <v>941</v>
      </c>
      <c r="H119">
        <v>1</v>
      </c>
      <c r="I119" t="s">
        <v>35</v>
      </c>
      <c r="J119" t="s">
        <v>49</v>
      </c>
    </row>
    <row r="120" spans="1:10" x14ac:dyDescent="0.3">
      <c r="A120" t="s">
        <v>45</v>
      </c>
      <c r="B120" t="s">
        <v>410</v>
      </c>
      <c r="C120" t="s">
        <v>411</v>
      </c>
      <c r="D120" t="s">
        <v>47</v>
      </c>
      <c r="E120" t="s">
        <v>48</v>
      </c>
      <c r="F120" s="37">
        <v>77096.05</v>
      </c>
      <c r="G120">
        <v>43217</v>
      </c>
      <c r="H120">
        <v>1</v>
      </c>
      <c r="I120" t="s">
        <v>35</v>
      </c>
      <c r="J120" t="s">
        <v>49</v>
      </c>
    </row>
    <row r="121" spans="1:10" x14ac:dyDescent="0.3">
      <c r="A121" t="s">
        <v>40</v>
      </c>
      <c r="B121" t="s">
        <v>470</v>
      </c>
      <c r="C121" t="s">
        <v>471</v>
      </c>
      <c r="D121" t="s">
        <v>33</v>
      </c>
      <c r="E121" t="s">
        <v>42</v>
      </c>
      <c r="F121" s="37">
        <v>77045.440000000002</v>
      </c>
      <c r="G121" t="s">
        <v>910</v>
      </c>
      <c r="H121">
        <v>1</v>
      </c>
      <c r="I121" t="s">
        <v>35</v>
      </c>
      <c r="J121" t="s">
        <v>36</v>
      </c>
    </row>
    <row r="122" spans="1:10" x14ac:dyDescent="0.3">
      <c r="A122" t="s">
        <v>692</v>
      </c>
      <c r="B122" t="s">
        <v>1220</v>
      </c>
      <c r="C122" t="s">
        <v>1221</v>
      </c>
      <c r="D122" t="s">
        <v>47</v>
      </c>
      <c r="E122" t="s">
        <v>92</v>
      </c>
      <c r="F122" s="37">
        <v>76932.600000000006</v>
      </c>
      <c r="G122" t="s">
        <v>694</v>
      </c>
      <c r="H122">
        <v>1</v>
      </c>
      <c r="I122" t="s">
        <v>35</v>
      </c>
      <c r="J122" t="s">
        <v>102</v>
      </c>
    </row>
    <row r="123" spans="1:10" x14ac:dyDescent="0.3">
      <c r="A123" t="s">
        <v>555</v>
      </c>
      <c r="B123" t="s">
        <v>1121</v>
      </c>
      <c r="C123" t="s">
        <v>1122</v>
      </c>
      <c r="D123" t="s">
        <v>47</v>
      </c>
      <c r="E123" t="s">
        <v>85</v>
      </c>
      <c r="F123" s="37">
        <v>76320.44</v>
      </c>
      <c r="G123">
        <v>44383</v>
      </c>
      <c r="H123">
        <v>0.8</v>
      </c>
      <c r="I123" t="s">
        <v>525</v>
      </c>
      <c r="J123" t="s">
        <v>36</v>
      </c>
    </row>
    <row r="124" spans="1:10" x14ac:dyDescent="0.3">
      <c r="A124" t="s">
        <v>749</v>
      </c>
      <c r="B124" t="s">
        <v>1267</v>
      </c>
      <c r="C124" t="s">
        <v>1268</v>
      </c>
      <c r="D124" t="s">
        <v>33</v>
      </c>
      <c r="E124" t="s">
        <v>99</v>
      </c>
      <c r="F124" s="37">
        <v>76303.820000000007</v>
      </c>
      <c r="G124">
        <v>43458</v>
      </c>
      <c r="H124">
        <v>1</v>
      </c>
      <c r="I124" t="s">
        <v>504</v>
      </c>
      <c r="J124" t="s">
        <v>102</v>
      </c>
    </row>
    <row r="125" spans="1:10" x14ac:dyDescent="0.3">
      <c r="A125" t="s">
        <v>749</v>
      </c>
      <c r="B125" t="s">
        <v>1348</v>
      </c>
      <c r="C125" t="s">
        <v>1349</v>
      </c>
      <c r="D125" t="s">
        <v>33</v>
      </c>
      <c r="E125" t="s">
        <v>99</v>
      </c>
      <c r="F125" s="37">
        <v>76303.820000000007</v>
      </c>
      <c r="G125">
        <v>43458</v>
      </c>
      <c r="H125">
        <v>1</v>
      </c>
      <c r="I125" t="s">
        <v>504</v>
      </c>
      <c r="J125" t="s">
        <v>102</v>
      </c>
    </row>
    <row r="126" spans="1:10" x14ac:dyDescent="0.3">
      <c r="A126" t="s">
        <v>31</v>
      </c>
      <c r="B126" t="s">
        <v>421</v>
      </c>
      <c r="C126" t="s">
        <v>422</v>
      </c>
      <c r="D126" t="s">
        <v>33</v>
      </c>
      <c r="E126" t="s">
        <v>34</v>
      </c>
      <c r="F126" s="37">
        <v>75974.990000000005</v>
      </c>
      <c r="G126" t="s">
        <v>704</v>
      </c>
      <c r="H126">
        <v>1</v>
      </c>
      <c r="I126" t="s">
        <v>35</v>
      </c>
      <c r="J126" t="s">
        <v>36</v>
      </c>
    </row>
    <row r="127" spans="1:10" x14ac:dyDescent="0.3">
      <c r="A127" t="s">
        <v>683</v>
      </c>
      <c r="B127" t="s">
        <v>1216</v>
      </c>
      <c r="C127" t="s">
        <v>1217</v>
      </c>
      <c r="D127" t="s">
        <v>33</v>
      </c>
      <c r="E127" t="s">
        <v>88</v>
      </c>
      <c r="F127" s="37">
        <v>75733.740000000005</v>
      </c>
      <c r="G127" t="s">
        <v>685</v>
      </c>
      <c r="H127">
        <v>1</v>
      </c>
      <c r="I127" t="s">
        <v>35</v>
      </c>
      <c r="J127" t="s">
        <v>102</v>
      </c>
    </row>
    <row r="128" spans="1:10" x14ac:dyDescent="0.3">
      <c r="A128" t="s">
        <v>666</v>
      </c>
      <c r="B128" t="s">
        <v>1204</v>
      </c>
      <c r="C128" t="s">
        <v>1205</v>
      </c>
      <c r="D128" t="s">
        <v>33</v>
      </c>
      <c r="E128" t="s">
        <v>141</v>
      </c>
      <c r="F128" s="37">
        <v>75475.929999999993</v>
      </c>
      <c r="G128" t="s">
        <v>668</v>
      </c>
      <c r="H128">
        <v>1</v>
      </c>
      <c r="I128" t="s">
        <v>35</v>
      </c>
      <c r="J128" t="s">
        <v>36</v>
      </c>
    </row>
    <row r="129" spans="1:10" x14ac:dyDescent="0.3">
      <c r="A129" t="s">
        <v>764</v>
      </c>
      <c r="B129" t="s">
        <v>1281</v>
      </c>
      <c r="C129" t="s">
        <v>1282</v>
      </c>
      <c r="D129" t="s">
        <v>47</v>
      </c>
      <c r="E129" t="s">
        <v>141</v>
      </c>
      <c r="F129" s="37">
        <v>74924.649999999994</v>
      </c>
      <c r="G129" t="s">
        <v>766</v>
      </c>
      <c r="H129">
        <v>1</v>
      </c>
      <c r="I129" t="s">
        <v>35</v>
      </c>
      <c r="J129" t="s">
        <v>102</v>
      </c>
    </row>
    <row r="130" spans="1:10" x14ac:dyDescent="0.3">
      <c r="A130" t="s">
        <v>513</v>
      </c>
      <c r="B130" t="s">
        <v>390</v>
      </c>
      <c r="C130" t="s">
        <v>1092</v>
      </c>
      <c r="D130" t="s">
        <v>47</v>
      </c>
      <c r="E130" t="s">
        <v>76</v>
      </c>
      <c r="F130" s="37">
        <v>74279.009999999995</v>
      </c>
      <c r="G130">
        <v>43466</v>
      </c>
      <c r="H130">
        <v>1</v>
      </c>
      <c r="I130" t="s">
        <v>35</v>
      </c>
      <c r="J130" t="s">
        <v>82</v>
      </c>
    </row>
    <row r="131" spans="1:10" x14ac:dyDescent="0.3">
      <c r="A131" t="s">
        <v>851</v>
      </c>
      <c r="B131" t="s">
        <v>1352</v>
      </c>
      <c r="C131" t="s">
        <v>1353</v>
      </c>
      <c r="D131" t="s">
        <v>33</v>
      </c>
      <c r="E131" t="s">
        <v>85</v>
      </c>
      <c r="F131" s="37">
        <v>73488.679999999993</v>
      </c>
      <c r="G131" t="s">
        <v>853</v>
      </c>
      <c r="H131">
        <v>1</v>
      </c>
      <c r="I131" t="s">
        <v>504</v>
      </c>
      <c r="J131" t="s">
        <v>136</v>
      </c>
    </row>
    <row r="132" spans="1:10" x14ac:dyDescent="0.3">
      <c r="A132" t="s">
        <v>557</v>
      </c>
      <c r="B132" t="s">
        <v>1123</v>
      </c>
      <c r="C132" t="s">
        <v>1124</v>
      </c>
      <c r="D132" t="s">
        <v>47</v>
      </c>
      <c r="E132" t="s">
        <v>57</v>
      </c>
      <c r="F132" s="37">
        <v>73360.38</v>
      </c>
      <c r="G132">
        <v>43972</v>
      </c>
      <c r="H132">
        <v>1</v>
      </c>
      <c r="I132" t="s">
        <v>525</v>
      </c>
      <c r="J132" t="s">
        <v>36</v>
      </c>
    </row>
    <row r="133" spans="1:10" x14ac:dyDescent="0.3">
      <c r="A133" t="s">
        <v>557</v>
      </c>
      <c r="B133" t="s">
        <v>1123</v>
      </c>
      <c r="C133" t="s">
        <v>1124</v>
      </c>
      <c r="D133" t="s">
        <v>47</v>
      </c>
      <c r="E133" t="s">
        <v>57</v>
      </c>
      <c r="F133" s="37">
        <v>73360.38</v>
      </c>
      <c r="G133">
        <v>43972</v>
      </c>
      <c r="H133">
        <v>1</v>
      </c>
      <c r="I133" t="s">
        <v>525</v>
      </c>
      <c r="J133" t="s">
        <v>36</v>
      </c>
    </row>
    <row r="134" spans="1:10" x14ac:dyDescent="0.3">
      <c r="A134" t="s">
        <v>620</v>
      </c>
      <c r="B134" t="s">
        <v>451</v>
      </c>
      <c r="C134" t="s">
        <v>452</v>
      </c>
      <c r="D134" t="s">
        <v>47</v>
      </c>
      <c r="E134" t="s">
        <v>85</v>
      </c>
      <c r="F134" s="37">
        <v>72876.91</v>
      </c>
      <c r="G134" t="s">
        <v>621</v>
      </c>
      <c r="H134">
        <v>0.4</v>
      </c>
      <c r="I134" t="s">
        <v>504</v>
      </c>
      <c r="J134" t="s">
        <v>71</v>
      </c>
    </row>
    <row r="135" spans="1:10" x14ac:dyDescent="0.3">
      <c r="A135" t="s">
        <v>83</v>
      </c>
      <c r="B135" t="s">
        <v>1469</v>
      </c>
      <c r="C135" t="s">
        <v>452</v>
      </c>
      <c r="D135" t="s">
        <v>47</v>
      </c>
      <c r="E135" t="s">
        <v>85</v>
      </c>
      <c r="F135" s="37">
        <v>72876.91</v>
      </c>
      <c r="G135">
        <v>43837</v>
      </c>
      <c r="H135">
        <v>1</v>
      </c>
      <c r="I135" t="s">
        <v>35</v>
      </c>
      <c r="J135" t="s">
        <v>36</v>
      </c>
    </row>
    <row r="136" spans="1:10" x14ac:dyDescent="0.3">
      <c r="A136" t="s">
        <v>741</v>
      </c>
      <c r="B136" t="s">
        <v>1261</v>
      </c>
      <c r="C136" t="s">
        <v>1262</v>
      </c>
      <c r="D136" t="s">
        <v>47</v>
      </c>
      <c r="E136" t="s">
        <v>88</v>
      </c>
      <c r="F136" s="37">
        <v>72843.23</v>
      </c>
      <c r="G136">
        <v>43280</v>
      </c>
      <c r="H136">
        <v>1</v>
      </c>
      <c r="I136" t="s">
        <v>504</v>
      </c>
      <c r="J136" t="s">
        <v>82</v>
      </c>
    </row>
    <row r="137" spans="1:10" x14ac:dyDescent="0.3">
      <c r="A137" t="s">
        <v>155</v>
      </c>
      <c r="B137" t="s">
        <v>408</v>
      </c>
      <c r="C137" t="s">
        <v>409</v>
      </c>
      <c r="D137" t="s">
        <v>33</v>
      </c>
      <c r="E137" t="s">
        <v>141</v>
      </c>
      <c r="F137" s="37">
        <v>72502.61</v>
      </c>
      <c r="G137">
        <v>44235</v>
      </c>
      <c r="H137">
        <v>1</v>
      </c>
      <c r="I137" t="s">
        <v>35</v>
      </c>
      <c r="J137" t="s">
        <v>82</v>
      </c>
    </row>
    <row r="138" spans="1:10" x14ac:dyDescent="0.3">
      <c r="A138" t="s">
        <v>772</v>
      </c>
      <c r="B138" t="s">
        <v>1286</v>
      </c>
      <c r="C138" t="s">
        <v>1287</v>
      </c>
      <c r="D138" t="s">
        <v>33</v>
      </c>
      <c r="E138" t="s">
        <v>34</v>
      </c>
      <c r="F138" s="37">
        <v>71924.850000000006</v>
      </c>
      <c r="G138">
        <v>43822</v>
      </c>
      <c r="H138">
        <v>1</v>
      </c>
      <c r="I138" t="s">
        <v>35</v>
      </c>
      <c r="J138" t="s">
        <v>49</v>
      </c>
    </row>
    <row r="139" spans="1:10" x14ac:dyDescent="0.3">
      <c r="A139" t="s">
        <v>686</v>
      </c>
      <c r="B139" t="s">
        <v>1218</v>
      </c>
      <c r="C139" t="s">
        <v>1219</v>
      </c>
      <c r="D139" t="s">
        <v>33</v>
      </c>
      <c r="E139" t="s">
        <v>99</v>
      </c>
      <c r="F139" s="37">
        <v>71823.56</v>
      </c>
      <c r="G139" t="s">
        <v>688</v>
      </c>
      <c r="H139">
        <v>0.3</v>
      </c>
      <c r="I139" t="s">
        <v>525</v>
      </c>
      <c r="J139" t="s">
        <v>36</v>
      </c>
    </row>
    <row r="140" spans="1:10" x14ac:dyDescent="0.3">
      <c r="A140" t="s">
        <v>686</v>
      </c>
      <c r="B140" t="s">
        <v>1218</v>
      </c>
      <c r="C140" t="s">
        <v>1219</v>
      </c>
      <c r="D140" t="s">
        <v>33</v>
      </c>
      <c r="E140" t="s">
        <v>99</v>
      </c>
      <c r="F140" s="37">
        <v>71823.56</v>
      </c>
      <c r="G140" t="s">
        <v>688</v>
      </c>
      <c r="H140">
        <v>0.3</v>
      </c>
      <c r="I140" t="s">
        <v>525</v>
      </c>
      <c r="J140" t="s">
        <v>36</v>
      </c>
    </row>
    <row r="141" spans="1:10" x14ac:dyDescent="0.3">
      <c r="A141" t="s">
        <v>542</v>
      </c>
      <c r="B141" t="s">
        <v>1111</v>
      </c>
      <c r="C141" t="s">
        <v>1112</v>
      </c>
      <c r="D141" t="s">
        <v>33</v>
      </c>
      <c r="E141" t="s">
        <v>81</v>
      </c>
      <c r="F141" s="37">
        <v>71570.990000000005</v>
      </c>
      <c r="G141" t="s">
        <v>544</v>
      </c>
      <c r="H141">
        <v>0.5</v>
      </c>
      <c r="I141" t="s">
        <v>35</v>
      </c>
      <c r="J141" t="s">
        <v>102</v>
      </c>
    </row>
    <row r="142" spans="1:10" x14ac:dyDescent="0.3">
      <c r="A142" t="s">
        <v>708</v>
      </c>
      <c r="B142" t="s">
        <v>1231</v>
      </c>
      <c r="C142" t="s">
        <v>1232</v>
      </c>
      <c r="D142" t="s">
        <v>47</v>
      </c>
      <c r="E142" t="s">
        <v>57</v>
      </c>
      <c r="F142" s="37">
        <v>71371.37</v>
      </c>
      <c r="G142">
        <v>43392</v>
      </c>
      <c r="H142">
        <v>1</v>
      </c>
      <c r="I142" t="s">
        <v>35</v>
      </c>
      <c r="J142" t="s">
        <v>102</v>
      </c>
    </row>
    <row r="143" spans="1:10" x14ac:dyDescent="0.3">
      <c r="A143" t="s">
        <v>894</v>
      </c>
      <c r="B143" t="s">
        <v>1384</v>
      </c>
      <c r="C143" t="s">
        <v>1385</v>
      </c>
      <c r="D143" t="s">
        <v>33</v>
      </c>
      <c r="E143" t="s">
        <v>48</v>
      </c>
      <c r="F143" s="37">
        <v>71229.42</v>
      </c>
      <c r="G143">
        <v>44166</v>
      </c>
      <c r="H143">
        <v>1</v>
      </c>
      <c r="I143" t="s">
        <v>35</v>
      </c>
      <c r="J143" t="s">
        <v>102</v>
      </c>
    </row>
    <row r="144" spans="1:10" x14ac:dyDescent="0.3">
      <c r="A144" t="s">
        <v>844</v>
      </c>
      <c r="B144" t="s">
        <v>1346</v>
      </c>
      <c r="C144" t="s">
        <v>1347</v>
      </c>
      <c r="D144" t="s">
        <v>33</v>
      </c>
      <c r="E144" t="s">
        <v>92</v>
      </c>
      <c r="F144" s="37">
        <v>70755.5</v>
      </c>
      <c r="G144" t="s">
        <v>846</v>
      </c>
      <c r="H144">
        <v>0.8</v>
      </c>
      <c r="I144" t="s">
        <v>525</v>
      </c>
      <c r="J144" t="s">
        <v>102</v>
      </c>
    </row>
    <row r="145" spans="1:10" x14ac:dyDescent="0.3">
      <c r="A145" t="s">
        <v>157</v>
      </c>
      <c r="B145" t="s">
        <v>374</v>
      </c>
      <c r="C145" t="s">
        <v>375</v>
      </c>
      <c r="D145" t="s">
        <v>33</v>
      </c>
      <c r="E145" t="s">
        <v>57</v>
      </c>
      <c r="F145" s="37">
        <v>70649.460000000006</v>
      </c>
      <c r="G145" t="s">
        <v>682</v>
      </c>
      <c r="H145">
        <v>1</v>
      </c>
      <c r="I145" t="s">
        <v>35</v>
      </c>
      <c r="J145" t="s">
        <v>102</v>
      </c>
    </row>
    <row r="146" spans="1:10" x14ac:dyDescent="0.3">
      <c r="A146" t="s">
        <v>535</v>
      </c>
      <c r="B146" t="s">
        <v>1105</v>
      </c>
      <c r="C146" t="s">
        <v>1106</v>
      </c>
      <c r="D146" t="s">
        <v>47</v>
      </c>
      <c r="E146" t="s">
        <v>48</v>
      </c>
      <c r="F146" s="37">
        <v>69913.39</v>
      </c>
      <c r="G146">
        <v>43584</v>
      </c>
      <c r="H146">
        <v>1</v>
      </c>
      <c r="I146" t="s">
        <v>35</v>
      </c>
      <c r="J146" t="s">
        <v>36</v>
      </c>
    </row>
    <row r="147" spans="1:10" x14ac:dyDescent="0.3">
      <c r="A147" t="s">
        <v>922</v>
      </c>
      <c r="B147" t="s">
        <v>1407</v>
      </c>
      <c r="C147" t="s">
        <v>1408</v>
      </c>
      <c r="D147" t="s">
        <v>47</v>
      </c>
      <c r="E147" t="s">
        <v>85</v>
      </c>
      <c r="F147" s="37">
        <v>69862.38</v>
      </c>
      <c r="G147" t="s">
        <v>924</v>
      </c>
      <c r="H147">
        <v>1</v>
      </c>
      <c r="I147" t="s">
        <v>35</v>
      </c>
      <c r="J147" t="s">
        <v>82</v>
      </c>
    </row>
    <row r="148" spans="1:10" x14ac:dyDescent="0.3">
      <c r="A148" t="s">
        <v>800</v>
      </c>
      <c r="B148" t="s">
        <v>1312</v>
      </c>
      <c r="C148" t="s">
        <v>1313</v>
      </c>
      <c r="D148" t="s">
        <v>47</v>
      </c>
      <c r="E148" t="s">
        <v>57</v>
      </c>
      <c r="F148" s="37">
        <v>69764.100000000006</v>
      </c>
      <c r="G148">
        <v>44195</v>
      </c>
      <c r="H148">
        <v>1</v>
      </c>
      <c r="I148" t="s">
        <v>504</v>
      </c>
      <c r="J148" t="s">
        <v>136</v>
      </c>
    </row>
    <row r="149" spans="1:10" x14ac:dyDescent="0.3">
      <c r="A149" t="s">
        <v>934</v>
      </c>
      <c r="B149" t="s">
        <v>1415</v>
      </c>
      <c r="C149" t="s">
        <v>1416</v>
      </c>
      <c r="D149" t="s">
        <v>47</v>
      </c>
      <c r="E149" t="s">
        <v>76</v>
      </c>
      <c r="F149" s="37">
        <v>69709.509999999995</v>
      </c>
      <c r="G149" t="s">
        <v>936</v>
      </c>
      <c r="H149">
        <v>1</v>
      </c>
      <c r="I149" t="s">
        <v>35</v>
      </c>
      <c r="J149" t="s">
        <v>102</v>
      </c>
    </row>
    <row r="150" spans="1:10" x14ac:dyDescent="0.3">
      <c r="A150" t="s">
        <v>159</v>
      </c>
      <c r="B150" t="s">
        <v>390</v>
      </c>
      <c r="C150" t="s">
        <v>466</v>
      </c>
      <c r="D150" t="s">
        <v>33</v>
      </c>
      <c r="E150" t="s">
        <v>57</v>
      </c>
      <c r="F150" s="37">
        <v>69192.850000000006</v>
      </c>
      <c r="G150" t="s">
        <v>521</v>
      </c>
      <c r="H150">
        <v>1</v>
      </c>
      <c r="I150" t="s">
        <v>35</v>
      </c>
      <c r="J150" t="s">
        <v>58</v>
      </c>
    </row>
    <row r="151" spans="1:10" x14ac:dyDescent="0.3">
      <c r="A151" t="s">
        <v>571</v>
      </c>
      <c r="B151" t="s">
        <v>1135</v>
      </c>
      <c r="C151" t="s">
        <v>1136</v>
      </c>
      <c r="D151" t="s">
        <v>33</v>
      </c>
      <c r="E151" t="s">
        <v>99</v>
      </c>
      <c r="F151" s="37">
        <v>69163.39</v>
      </c>
      <c r="G151">
        <v>43397</v>
      </c>
      <c r="H151">
        <v>1</v>
      </c>
      <c r="I151" t="s">
        <v>35</v>
      </c>
      <c r="J151" t="s">
        <v>36</v>
      </c>
    </row>
    <row r="152" spans="1:10" x14ac:dyDescent="0.3">
      <c r="A152" t="s">
        <v>571</v>
      </c>
      <c r="B152" t="s">
        <v>1135</v>
      </c>
      <c r="C152" t="s">
        <v>1136</v>
      </c>
      <c r="D152" t="s">
        <v>33</v>
      </c>
      <c r="E152" t="s">
        <v>99</v>
      </c>
      <c r="F152" s="37">
        <v>69163.39</v>
      </c>
      <c r="G152">
        <v>43397</v>
      </c>
      <c r="H152">
        <v>1</v>
      </c>
      <c r="I152" t="s">
        <v>35</v>
      </c>
      <c r="J152" t="s">
        <v>36</v>
      </c>
    </row>
    <row r="153" spans="1:10" x14ac:dyDescent="0.3">
      <c r="A153" t="s">
        <v>629</v>
      </c>
      <c r="B153" t="s">
        <v>1178</v>
      </c>
      <c r="C153" t="s">
        <v>1179</v>
      </c>
      <c r="D153" t="s">
        <v>33</v>
      </c>
      <c r="E153" t="s">
        <v>48</v>
      </c>
      <c r="F153" s="37">
        <v>69057.320000000007</v>
      </c>
      <c r="G153">
        <v>43390</v>
      </c>
      <c r="H153">
        <v>1</v>
      </c>
      <c r="I153" t="s">
        <v>35</v>
      </c>
      <c r="J153" t="s">
        <v>82</v>
      </c>
    </row>
    <row r="154" spans="1:10" x14ac:dyDescent="0.3">
      <c r="A154" t="s">
        <v>629</v>
      </c>
      <c r="B154" t="s">
        <v>1178</v>
      </c>
      <c r="C154" t="s">
        <v>1179</v>
      </c>
      <c r="D154" t="s">
        <v>33</v>
      </c>
      <c r="E154" t="s">
        <v>48</v>
      </c>
      <c r="F154" s="37">
        <v>69057.320000000007</v>
      </c>
      <c r="G154">
        <v>43390</v>
      </c>
      <c r="H154">
        <v>1</v>
      </c>
      <c r="I154" t="s">
        <v>35</v>
      </c>
      <c r="J154" t="s">
        <v>82</v>
      </c>
    </row>
    <row r="155" spans="1:10" x14ac:dyDescent="0.3">
      <c r="A155" t="s">
        <v>161</v>
      </c>
      <c r="B155" t="s">
        <v>382</v>
      </c>
      <c r="C155" t="s">
        <v>383</v>
      </c>
      <c r="D155" t="s">
        <v>33</v>
      </c>
      <c r="E155" t="s">
        <v>57</v>
      </c>
      <c r="F155" s="37">
        <v>68980.52</v>
      </c>
      <c r="G155">
        <v>43494</v>
      </c>
      <c r="H155">
        <v>0.8</v>
      </c>
      <c r="I155" t="s">
        <v>35</v>
      </c>
      <c r="J155" t="s">
        <v>36</v>
      </c>
    </row>
    <row r="156" spans="1:10" x14ac:dyDescent="0.3">
      <c r="A156" t="s">
        <v>723</v>
      </c>
      <c r="B156" t="s">
        <v>1245</v>
      </c>
      <c r="C156" t="s">
        <v>1246</v>
      </c>
      <c r="D156" t="s">
        <v>33</v>
      </c>
      <c r="E156" t="s">
        <v>99</v>
      </c>
      <c r="F156" s="37">
        <v>68887.839999999997</v>
      </c>
      <c r="G156">
        <v>43297</v>
      </c>
      <c r="H156">
        <v>1</v>
      </c>
      <c r="I156" t="s">
        <v>35</v>
      </c>
      <c r="J156" t="s">
        <v>36</v>
      </c>
    </row>
    <row r="157" spans="1:10" x14ac:dyDescent="0.3">
      <c r="A157" t="s">
        <v>600</v>
      </c>
      <c r="B157" t="s">
        <v>390</v>
      </c>
      <c r="C157" t="s">
        <v>1157</v>
      </c>
      <c r="D157" t="s">
        <v>47</v>
      </c>
      <c r="E157" t="s">
        <v>42</v>
      </c>
      <c r="F157" s="37">
        <v>68860.399999999994</v>
      </c>
      <c r="G157">
        <v>43508</v>
      </c>
      <c r="H157">
        <v>0.4</v>
      </c>
      <c r="I157" t="s">
        <v>35</v>
      </c>
      <c r="J157" t="s">
        <v>58</v>
      </c>
    </row>
    <row r="158" spans="1:10" x14ac:dyDescent="0.3">
      <c r="A158" t="s">
        <v>867</v>
      </c>
      <c r="B158" t="s">
        <v>1364</v>
      </c>
      <c r="C158" t="s">
        <v>1365</v>
      </c>
      <c r="D158" t="s">
        <v>33</v>
      </c>
      <c r="E158" t="s">
        <v>141</v>
      </c>
      <c r="F158" s="37">
        <v>68795.48</v>
      </c>
      <c r="G158">
        <v>44277</v>
      </c>
      <c r="H158">
        <v>0.2</v>
      </c>
      <c r="I158" t="s">
        <v>35</v>
      </c>
      <c r="J158" t="s">
        <v>36</v>
      </c>
    </row>
    <row r="159" spans="1:10" x14ac:dyDescent="0.3">
      <c r="A159" t="s">
        <v>867</v>
      </c>
      <c r="B159" t="s">
        <v>1364</v>
      </c>
      <c r="C159" t="s">
        <v>1365</v>
      </c>
      <c r="D159" t="s">
        <v>33</v>
      </c>
      <c r="E159" t="s">
        <v>141</v>
      </c>
      <c r="F159" s="37">
        <v>68795.48</v>
      </c>
      <c r="G159">
        <v>44277</v>
      </c>
      <c r="H159">
        <v>0.2</v>
      </c>
      <c r="I159" t="s">
        <v>35</v>
      </c>
      <c r="J159" t="s">
        <v>36</v>
      </c>
    </row>
    <row r="160" spans="1:10" x14ac:dyDescent="0.3">
      <c r="A160" t="s">
        <v>896</v>
      </c>
      <c r="B160" t="s">
        <v>1386</v>
      </c>
      <c r="C160" t="s">
        <v>1387</v>
      </c>
      <c r="D160" t="s">
        <v>33</v>
      </c>
      <c r="E160" t="s">
        <v>141</v>
      </c>
      <c r="F160" s="37">
        <v>68197.899999999994</v>
      </c>
      <c r="G160">
        <v>44119</v>
      </c>
      <c r="H160">
        <v>1</v>
      </c>
      <c r="I160" t="s">
        <v>35</v>
      </c>
      <c r="J160" t="s">
        <v>71</v>
      </c>
    </row>
    <row r="161" spans="1:10" x14ac:dyDescent="0.3">
      <c r="A161" t="s">
        <v>762</v>
      </c>
      <c r="B161" t="s">
        <v>1279</v>
      </c>
      <c r="C161" t="s">
        <v>1280</v>
      </c>
      <c r="D161" t="s">
        <v>33</v>
      </c>
      <c r="E161" t="s">
        <v>92</v>
      </c>
      <c r="F161" s="37">
        <v>68008.55</v>
      </c>
      <c r="G161">
        <v>44062</v>
      </c>
      <c r="H161">
        <v>1</v>
      </c>
      <c r="I161" t="s">
        <v>35</v>
      </c>
      <c r="J161" t="s">
        <v>71</v>
      </c>
    </row>
    <row r="162" spans="1:10" x14ac:dyDescent="0.3">
      <c r="A162" t="s">
        <v>645</v>
      </c>
      <c r="B162" t="s">
        <v>1190</v>
      </c>
      <c r="C162" t="s">
        <v>1191</v>
      </c>
      <c r="E162" t="s">
        <v>85</v>
      </c>
      <c r="F162" s="37">
        <v>67957.899999999994</v>
      </c>
      <c r="G162">
        <v>43430</v>
      </c>
      <c r="H162">
        <v>1</v>
      </c>
      <c r="I162" t="s">
        <v>35</v>
      </c>
      <c r="J162" t="s">
        <v>49</v>
      </c>
    </row>
    <row r="163" spans="1:10" x14ac:dyDescent="0.3">
      <c r="A163" t="s">
        <v>163</v>
      </c>
      <c r="B163" t="s">
        <v>380</v>
      </c>
      <c r="C163" t="s">
        <v>381</v>
      </c>
      <c r="D163" t="s">
        <v>33</v>
      </c>
      <c r="E163" t="s">
        <v>92</v>
      </c>
      <c r="F163" s="37">
        <v>67905.8</v>
      </c>
      <c r="G163">
        <v>44194</v>
      </c>
      <c r="H163">
        <v>1</v>
      </c>
      <c r="I163" t="s">
        <v>35</v>
      </c>
      <c r="J163" t="s">
        <v>36</v>
      </c>
    </row>
    <row r="164" spans="1:10" x14ac:dyDescent="0.3">
      <c r="A164" t="s">
        <v>593</v>
      </c>
      <c r="B164" t="s">
        <v>1151</v>
      </c>
      <c r="C164" t="s">
        <v>1152</v>
      </c>
      <c r="D164" t="s">
        <v>33</v>
      </c>
      <c r="E164" t="s">
        <v>141</v>
      </c>
      <c r="F164" s="37">
        <v>67818.14</v>
      </c>
      <c r="G164" t="s">
        <v>595</v>
      </c>
      <c r="H164">
        <v>0.6</v>
      </c>
      <c r="I164" t="s">
        <v>504</v>
      </c>
      <c r="J164" t="s">
        <v>36</v>
      </c>
    </row>
    <row r="165" spans="1:10" x14ac:dyDescent="0.3">
      <c r="A165" t="s">
        <v>593</v>
      </c>
      <c r="B165" t="s">
        <v>1151</v>
      </c>
      <c r="C165" t="s">
        <v>1152</v>
      </c>
      <c r="D165" t="s">
        <v>33</v>
      </c>
      <c r="E165" t="s">
        <v>141</v>
      </c>
      <c r="F165" s="37">
        <v>67818.14</v>
      </c>
      <c r="G165" t="s">
        <v>595</v>
      </c>
      <c r="H165">
        <v>0.6</v>
      </c>
      <c r="I165" t="s">
        <v>504</v>
      </c>
      <c r="J165" t="s">
        <v>36</v>
      </c>
    </row>
    <row r="166" spans="1:10" x14ac:dyDescent="0.3">
      <c r="A166" t="s">
        <v>732</v>
      </c>
      <c r="B166" t="s">
        <v>1253</v>
      </c>
      <c r="C166" t="s">
        <v>1254</v>
      </c>
      <c r="D166" t="s">
        <v>47</v>
      </c>
      <c r="E166" t="s">
        <v>99</v>
      </c>
      <c r="F166" s="37">
        <v>67633.850000000006</v>
      </c>
      <c r="G166">
        <v>43340</v>
      </c>
      <c r="H166">
        <v>1</v>
      </c>
      <c r="I166" t="s">
        <v>35</v>
      </c>
      <c r="J166" t="s">
        <v>58</v>
      </c>
    </row>
    <row r="167" spans="1:10" x14ac:dyDescent="0.3">
      <c r="A167" t="s">
        <v>634</v>
      </c>
      <c r="B167" t="s">
        <v>1182</v>
      </c>
      <c r="C167" t="s">
        <v>1183</v>
      </c>
      <c r="D167" t="s">
        <v>33</v>
      </c>
      <c r="E167" t="s">
        <v>141</v>
      </c>
      <c r="F167" s="37">
        <v>66865.490000000005</v>
      </c>
      <c r="G167" t="s">
        <v>636</v>
      </c>
      <c r="H167">
        <v>1</v>
      </c>
      <c r="I167" t="s">
        <v>35</v>
      </c>
      <c r="J167" t="s">
        <v>136</v>
      </c>
    </row>
    <row r="168" spans="1:10" x14ac:dyDescent="0.3">
      <c r="A168" t="s">
        <v>634</v>
      </c>
      <c r="B168" t="s">
        <v>1182</v>
      </c>
      <c r="C168" t="s">
        <v>1183</v>
      </c>
      <c r="D168" t="s">
        <v>33</v>
      </c>
      <c r="E168" t="s">
        <v>141</v>
      </c>
      <c r="F168" s="37">
        <v>66865.490000000005</v>
      </c>
      <c r="G168" t="s">
        <v>636</v>
      </c>
      <c r="H168">
        <v>1</v>
      </c>
      <c r="I168" t="s">
        <v>35</v>
      </c>
      <c r="J168" t="s">
        <v>136</v>
      </c>
    </row>
    <row r="169" spans="1:10" x14ac:dyDescent="0.3">
      <c r="A169" t="s">
        <v>86</v>
      </c>
      <c r="B169" t="s">
        <v>455</v>
      </c>
      <c r="C169" t="s">
        <v>456</v>
      </c>
      <c r="D169" t="s">
        <v>47</v>
      </c>
      <c r="E169" t="s">
        <v>88</v>
      </c>
      <c r="F169" s="37">
        <v>66572.58</v>
      </c>
      <c r="G169" t="s">
        <v>691</v>
      </c>
      <c r="H169">
        <v>1</v>
      </c>
      <c r="I169" t="s">
        <v>35</v>
      </c>
      <c r="J169" t="s">
        <v>49</v>
      </c>
    </row>
    <row r="170" spans="1:10" x14ac:dyDescent="0.3">
      <c r="A170" t="s">
        <v>86</v>
      </c>
      <c r="B170" t="s">
        <v>453</v>
      </c>
      <c r="C170" t="s">
        <v>454</v>
      </c>
      <c r="D170" t="s">
        <v>47</v>
      </c>
      <c r="E170" t="s">
        <v>88</v>
      </c>
      <c r="F170" s="37">
        <v>66572.58</v>
      </c>
      <c r="G170" t="s">
        <v>691</v>
      </c>
      <c r="H170">
        <v>1</v>
      </c>
      <c r="I170" t="s">
        <v>35</v>
      </c>
      <c r="J170" t="s">
        <v>49</v>
      </c>
    </row>
    <row r="171" spans="1:10" x14ac:dyDescent="0.3">
      <c r="A171" t="s">
        <v>511</v>
      </c>
      <c r="B171" t="s">
        <v>1090</v>
      </c>
      <c r="C171" t="s">
        <v>1091</v>
      </c>
      <c r="D171" t="s">
        <v>33</v>
      </c>
      <c r="E171" t="s">
        <v>92</v>
      </c>
      <c r="F171" s="37">
        <v>66017.179999999993</v>
      </c>
      <c r="G171">
        <v>43643</v>
      </c>
      <c r="H171">
        <v>0.9</v>
      </c>
      <c r="I171" t="s">
        <v>35</v>
      </c>
      <c r="J171" t="s">
        <v>36</v>
      </c>
    </row>
    <row r="172" spans="1:10" x14ac:dyDescent="0.3">
      <c r="A172" t="s">
        <v>90</v>
      </c>
      <c r="B172" t="s">
        <v>390</v>
      </c>
      <c r="C172" t="s">
        <v>461</v>
      </c>
      <c r="D172" t="s">
        <v>47</v>
      </c>
      <c r="E172" t="s">
        <v>92</v>
      </c>
      <c r="F172" s="37">
        <v>65699.02</v>
      </c>
      <c r="G172" t="s">
        <v>649</v>
      </c>
      <c r="H172">
        <v>1</v>
      </c>
      <c r="I172" t="s">
        <v>35</v>
      </c>
      <c r="J172" t="s">
        <v>58</v>
      </c>
    </row>
    <row r="173" spans="1:10" x14ac:dyDescent="0.3">
      <c r="A173" t="s">
        <v>947</v>
      </c>
      <c r="B173" t="s">
        <v>1425</v>
      </c>
      <c r="C173" t="s">
        <v>1426</v>
      </c>
      <c r="D173" t="s">
        <v>47</v>
      </c>
      <c r="E173" t="s">
        <v>85</v>
      </c>
      <c r="F173" s="37">
        <v>65569.36</v>
      </c>
      <c r="G173">
        <v>43293</v>
      </c>
      <c r="H173">
        <v>1</v>
      </c>
      <c r="I173" t="s">
        <v>504</v>
      </c>
      <c r="J173" t="s">
        <v>71</v>
      </c>
    </row>
    <row r="174" spans="1:10" x14ac:dyDescent="0.3">
      <c r="A174" t="s">
        <v>165</v>
      </c>
      <c r="B174" t="s">
        <v>384</v>
      </c>
      <c r="C174" t="s">
        <v>385</v>
      </c>
      <c r="D174" t="s">
        <v>33</v>
      </c>
      <c r="E174" t="s">
        <v>88</v>
      </c>
      <c r="F174" s="37">
        <v>63705.4</v>
      </c>
      <c r="G174">
        <v>43682</v>
      </c>
      <c r="H174">
        <v>1</v>
      </c>
      <c r="I174" t="s">
        <v>35</v>
      </c>
      <c r="J174" t="s">
        <v>102</v>
      </c>
    </row>
    <row r="175" spans="1:10" x14ac:dyDescent="0.3">
      <c r="A175" t="s">
        <v>588</v>
      </c>
      <c r="B175" t="s">
        <v>1147</v>
      </c>
      <c r="C175" t="s">
        <v>1148</v>
      </c>
      <c r="D175" t="s">
        <v>33</v>
      </c>
      <c r="E175" t="s">
        <v>34</v>
      </c>
      <c r="F175" s="37">
        <v>63555.73</v>
      </c>
      <c r="G175" t="s">
        <v>590</v>
      </c>
      <c r="H175">
        <v>1</v>
      </c>
      <c r="I175" t="s">
        <v>35</v>
      </c>
      <c r="J175" t="s">
        <v>49</v>
      </c>
    </row>
    <row r="176" spans="1:10" x14ac:dyDescent="0.3">
      <c r="A176" t="s">
        <v>787</v>
      </c>
      <c r="B176" t="s">
        <v>1300</v>
      </c>
      <c r="C176" t="s">
        <v>1301</v>
      </c>
      <c r="E176" t="s">
        <v>88</v>
      </c>
      <c r="F176" s="37">
        <v>63447.07</v>
      </c>
      <c r="G176" t="s">
        <v>789</v>
      </c>
      <c r="H176">
        <v>1</v>
      </c>
      <c r="I176" t="s">
        <v>525</v>
      </c>
      <c r="J176" t="s">
        <v>82</v>
      </c>
    </row>
    <row r="177" spans="1:10" x14ac:dyDescent="0.3">
      <c r="A177" t="s">
        <v>93</v>
      </c>
      <c r="B177" t="s">
        <v>474</v>
      </c>
      <c r="C177" t="s">
        <v>475</v>
      </c>
      <c r="D177" t="s">
        <v>47</v>
      </c>
      <c r="E177" t="s">
        <v>76</v>
      </c>
      <c r="F177" s="37">
        <v>62281.24</v>
      </c>
      <c r="G177">
        <v>43272</v>
      </c>
      <c r="H177">
        <v>1</v>
      </c>
      <c r="I177" t="s">
        <v>35</v>
      </c>
      <c r="J177" t="s">
        <v>36</v>
      </c>
    </row>
    <row r="178" spans="1:10" x14ac:dyDescent="0.3">
      <c r="A178" t="s">
        <v>95</v>
      </c>
      <c r="B178" t="s">
        <v>449</v>
      </c>
      <c r="C178" t="s">
        <v>450</v>
      </c>
      <c r="D178" t="s">
        <v>47</v>
      </c>
      <c r="E178" t="s">
        <v>42</v>
      </c>
      <c r="F178" s="37">
        <v>62195.47</v>
      </c>
      <c r="G178" t="s">
        <v>539</v>
      </c>
      <c r="H178">
        <v>1</v>
      </c>
      <c r="I178" t="s">
        <v>35</v>
      </c>
      <c r="J178" t="s">
        <v>36</v>
      </c>
    </row>
    <row r="179" spans="1:10" x14ac:dyDescent="0.3">
      <c r="A179" t="s">
        <v>167</v>
      </c>
      <c r="B179" t="s">
        <v>435</v>
      </c>
      <c r="C179" t="s">
        <v>436</v>
      </c>
      <c r="D179" t="s">
        <v>33</v>
      </c>
      <c r="E179" t="s">
        <v>85</v>
      </c>
      <c r="F179" s="37">
        <v>61994.76</v>
      </c>
      <c r="G179">
        <v>43794</v>
      </c>
      <c r="H179">
        <v>0.3</v>
      </c>
      <c r="I179" t="s">
        <v>35</v>
      </c>
      <c r="J179" t="s">
        <v>102</v>
      </c>
    </row>
    <row r="180" spans="1:10" x14ac:dyDescent="0.3">
      <c r="A180" t="s">
        <v>808</v>
      </c>
      <c r="B180" t="s">
        <v>1318</v>
      </c>
      <c r="C180" t="s">
        <v>1319</v>
      </c>
      <c r="D180" t="s">
        <v>33</v>
      </c>
      <c r="E180" t="s">
        <v>57</v>
      </c>
      <c r="F180" s="37">
        <v>61688.77</v>
      </c>
      <c r="G180" t="s">
        <v>810</v>
      </c>
      <c r="H180">
        <v>0.9</v>
      </c>
      <c r="I180" t="s">
        <v>35</v>
      </c>
      <c r="J180" t="s">
        <v>49</v>
      </c>
    </row>
    <row r="181" spans="1:10" x14ac:dyDescent="0.3">
      <c r="A181" t="s">
        <v>834</v>
      </c>
      <c r="B181" t="s">
        <v>1338</v>
      </c>
      <c r="C181" t="s">
        <v>1339</v>
      </c>
      <c r="D181" t="s">
        <v>47</v>
      </c>
      <c r="E181" t="s">
        <v>53</v>
      </c>
      <c r="F181" s="37">
        <v>61624.77</v>
      </c>
      <c r="G181">
        <v>43430</v>
      </c>
      <c r="H181">
        <v>0.3</v>
      </c>
      <c r="I181" t="s">
        <v>504</v>
      </c>
      <c r="J181" t="s">
        <v>102</v>
      </c>
    </row>
    <row r="182" spans="1:10" x14ac:dyDescent="0.3">
      <c r="A182" t="s">
        <v>522</v>
      </c>
      <c r="B182" t="s">
        <v>1097</v>
      </c>
      <c r="C182" t="s">
        <v>1098</v>
      </c>
      <c r="D182" t="s">
        <v>47</v>
      </c>
      <c r="E182" t="s">
        <v>34</v>
      </c>
      <c r="F182" s="37">
        <v>61214.26</v>
      </c>
      <c r="G182" t="s">
        <v>524</v>
      </c>
      <c r="H182">
        <v>1</v>
      </c>
      <c r="I182" t="s">
        <v>525</v>
      </c>
      <c r="J182" t="s">
        <v>71</v>
      </c>
    </row>
    <row r="183" spans="1:10" x14ac:dyDescent="0.3">
      <c r="A183" t="s">
        <v>931</v>
      </c>
      <c r="B183" t="s">
        <v>1413</v>
      </c>
      <c r="C183" t="s">
        <v>1414</v>
      </c>
      <c r="D183" t="s">
        <v>33</v>
      </c>
      <c r="E183" t="s">
        <v>88</v>
      </c>
      <c r="F183" s="37">
        <v>61213.01</v>
      </c>
      <c r="G183" t="s">
        <v>933</v>
      </c>
      <c r="H183">
        <v>1</v>
      </c>
      <c r="I183" t="s">
        <v>35</v>
      </c>
      <c r="J183" t="s">
        <v>49</v>
      </c>
    </row>
    <row r="184" spans="1:10" x14ac:dyDescent="0.3">
      <c r="A184" t="s">
        <v>624</v>
      </c>
      <c r="B184" t="s">
        <v>1174</v>
      </c>
      <c r="C184" t="s">
        <v>1175</v>
      </c>
      <c r="D184" t="s">
        <v>33</v>
      </c>
      <c r="E184" t="s">
        <v>76</v>
      </c>
      <c r="F184" s="37">
        <v>59434.18</v>
      </c>
      <c r="G184" t="s">
        <v>626</v>
      </c>
      <c r="H184">
        <v>1</v>
      </c>
      <c r="I184" t="s">
        <v>525</v>
      </c>
      <c r="J184" t="s">
        <v>136</v>
      </c>
    </row>
    <row r="185" spans="1:10" x14ac:dyDescent="0.3">
      <c r="A185" t="s">
        <v>695</v>
      </c>
      <c r="B185" t="s">
        <v>1222</v>
      </c>
      <c r="C185" t="s">
        <v>1223</v>
      </c>
      <c r="D185" t="s">
        <v>47</v>
      </c>
      <c r="E185" t="s">
        <v>34</v>
      </c>
      <c r="F185" s="37">
        <v>59258.19</v>
      </c>
      <c r="G185">
        <v>43452</v>
      </c>
      <c r="H185">
        <v>0.8</v>
      </c>
      <c r="I185" t="s">
        <v>35</v>
      </c>
      <c r="J185" t="s">
        <v>136</v>
      </c>
    </row>
    <row r="186" spans="1:10" x14ac:dyDescent="0.3">
      <c r="A186" t="s">
        <v>695</v>
      </c>
      <c r="B186" t="s">
        <v>1222</v>
      </c>
      <c r="C186" t="s">
        <v>1223</v>
      </c>
      <c r="D186" t="s">
        <v>47</v>
      </c>
      <c r="E186" t="s">
        <v>34</v>
      </c>
      <c r="F186" s="37">
        <v>59258.19</v>
      </c>
      <c r="G186">
        <v>43452</v>
      </c>
      <c r="H186">
        <v>0.8</v>
      </c>
      <c r="I186" t="s">
        <v>35</v>
      </c>
      <c r="J186" t="s">
        <v>136</v>
      </c>
    </row>
    <row r="187" spans="1:10" x14ac:dyDescent="0.3">
      <c r="A187" t="s">
        <v>585</v>
      </c>
      <c r="B187" t="s">
        <v>1145</v>
      </c>
      <c r="C187" t="s">
        <v>1146</v>
      </c>
      <c r="D187" t="s">
        <v>33</v>
      </c>
      <c r="E187" t="s">
        <v>34</v>
      </c>
      <c r="F187" s="37">
        <v>58935.92</v>
      </c>
      <c r="G187" t="s">
        <v>587</v>
      </c>
      <c r="H187">
        <v>1</v>
      </c>
      <c r="I187" t="s">
        <v>525</v>
      </c>
      <c r="J187" t="s">
        <v>102</v>
      </c>
    </row>
    <row r="188" spans="1:10" x14ac:dyDescent="0.3">
      <c r="A188" t="s">
        <v>169</v>
      </c>
      <c r="B188" t="s">
        <v>419</v>
      </c>
      <c r="C188" t="s">
        <v>420</v>
      </c>
      <c r="D188" t="s">
        <v>33</v>
      </c>
      <c r="E188" t="s">
        <v>1534</v>
      </c>
      <c r="F188" s="37">
        <v>58861.19</v>
      </c>
      <c r="G188" t="s">
        <v>848</v>
      </c>
      <c r="H188">
        <v>1</v>
      </c>
      <c r="I188" t="s">
        <v>35</v>
      </c>
      <c r="J188" t="s">
        <v>58</v>
      </c>
    </row>
    <row r="189" spans="1:10" x14ac:dyDescent="0.3">
      <c r="A189" t="s">
        <v>849</v>
      </c>
      <c r="B189" t="s">
        <v>1350</v>
      </c>
      <c r="C189" t="s">
        <v>1351</v>
      </c>
      <c r="D189" t="s">
        <v>33</v>
      </c>
      <c r="E189" t="s">
        <v>81</v>
      </c>
      <c r="F189" s="37">
        <v>58744.17</v>
      </c>
      <c r="G189" t="s">
        <v>524</v>
      </c>
      <c r="H189">
        <v>1</v>
      </c>
      <c r="I189" t="s">
        <v>525</v>
      </c>
      <c r="J189" t="s">
        <v>58</v>
      </c>
    </row>
    <row r="190" spans="1:10" x14ac:dyDescent="0.3">
      <c r="A190" t="s">
        <v>879</v>
      </c>
      <c r="B190" t="s">
        <v>390</v>
      </c>
      <c r="C190" t="s">
        <v>1373</v>
      </c>
      <c r="D190" t="s">
        <v>47</v>
      </c>
      <c r="E190" t="s">
        <v>99</v>
      </c>
      <c r="F190" s="37">
        <v>57925.91</v>
      </c>
      <c r="G190" t="s">
        <v>881</v>
      </c>
      <c r="H190">
        <v>0.5</v>
      </c>
      <c r="I190" t="s">
        <v>35</v>
      </c>
      <c r="J190" t="s">
        <v>82</v>
      </c>
    </row>
    <row r="191" spans="1:10" x14ac:dyDescent="0.3">
      <c r="A191" t="s">
        <v>591</v>
      </c>
      <c r="B191" t="s">
        <v>1149</v>
      </c>
      <c r="C191" t="s">
        <v>1150</v>
      </c>
      <c r="D191" t="s">
        <v>47</v>
      </c>
      <c r="E191" t="s">
        <v>99</v>
      </c>
      <c r="F191" s="37">
        <v>57419.35</v>
      </c>
      <c r="G191">
        <v>43305</v>
      </c>
      <c r="H191">
        <v>1</v>
      </c>
      <c r="I191" t="s">
        <v>504</v>
      </c>
      <c r="J191" t="s">
        <v>71</v>
      </c>
    </row>
    <row r="192" spans="1:10" x14ac:dyDescent="0.3">
      <c r="A192" t="s">
        <v>505</v>
      </c>
      <c r="B192" t="s">
        <v>1085</v>
      </c>
      <c r="C192" t="s">
        <v>1086</v>
      </c>
      <c r="D192" t="s">
        <v>33</v>
      </c>
      <c r="E192" t="s">
        <v>81</v>
      </c>
      <c r="F192" s="37">
        <v>57002.02</v>
      </c>
      <c r="G192" t="s">
        <v>507</v>
      </c>
      <c r="H192">
        <v>0.7</v>
      </c>
      <c r="I192" t="s">
        <v>35</v>
      </c>
      <c r="J192" t="s">
        <v>102</v>
      </c>
    </row>
    <row r="193" spans="1:10" x14ac:dyDescent="0.3">
      <c r="A193" t="s">
        <v>952</v>
      </c>
      <c r="B193" t="s">
        <v>1431</v>
      </c>
      <c r="C193" t="s">
        <v>1432</v>
      </c>
      <c r="D193" t="s">
        <v>33</v>
      </c>
      <c r="E193" t="s">
        <v>81</v>
      </c>
      <c r="F193" s="37">
        <v>56253.81</v>
      </c>
      <c r="G193" t="s">
        <v>954</v>
      </c>
      <c r="H193">
        <v>1</v>
      </c>
      <c r="I193" t="s">
        <v>35</v>
      </c>
      <c r="J193" t="s">
        <v>71</v>
      </c>
    </row>
    <row r="194" spans="1:10" x14ac:dyDescent="0.3">
      <c r="A194" t="s">
        <v>526</v>
      </c>
      <c r="B194" t="s">
        <v>1099</v>
      </c>
      <c r="C194" t="s">
        <v>1100</v>
      </c>
      <c r="D194" t="s">
        <v>47</v>
      </c>
      <c r="E194" t="s">
        <v>34</v>
      </c>
      <c r="F194" s="37">
        <v>54137.05</v>
      </c>
      <c r="G194" t="s">
        <v>528</v>
      </c>
      <c r="H194">
        <v>1</v>
      </c>
      <c r="I194" t="s">
        <v>35</v>
      </c>
      <c r="J194" t="s">
        <v>36</v>
      </c>
    </row>
    <row r="195" spans="1:10" x14ac:dyDescent="0.3">
      <c r="A195" t="s">
        <v>562</v>
      </c>
      <c r="B195" t="s">
        <v>1127</v>
      </c>
      <c r="C195" t="s">
        <v>1128</v>
      </c>
      <c r="D195" t="s">
        <v>47</v>
      </c>
      <c r="E195" t="s">
        <v>81</v>
      </c>
      <c r="F195" s="37">
        <v>53949.26</v>
      </c>
      <c r="G195">
        <v>43808</v>
      </c>
      <c r="H195">
        <v>1</v>
      </c>
      <c r="I195" t="s">
        <v>525</v>
      </c>
      <c r="J195" t="s">
        <v>58</v>
      </c>
    </row>
    <row r="196" spans="1:10" x14ac:dyDescent="0.3">
      <c r="A196" t="s">
        <v>562</v>
      </c>
      <c r="B196" t="s">
        <v>1127</v>
      </c>
      <c r="C196" t="s">
        <v>1128</v>
      </c>
      <c r="D196" t="s">
        <v>47</v>
      </c>
      <c r="E196" t="s">
        <v>81</v>
      </c>
      <c r="F196" s="37">
        <v>53949.26</v>
      </c>
      <c r="G196">
        <v>43808</v>
      </c>
      <c r="H196">
        <v>1</v>
      </c>
      <c r="I196" t="s">
        <v>525</v>
      </c>
      <c r="J196" t="s">
        <v>58</v>
      </c>
    </row>
    <row r="197" spans="1:10" x14ac:dyDescent="0.3">
      <c r="A197" t="s">
        <v>874</v>
      </c>
      <c r="B197" t="s">
        <v>1370</v>
      </c>
      <c r="C197" t="s">
        <v>1371</v>
      </c>
      <c r="D197" t="s">
        <v>47</v>
      </c>
      <c r="E197" t="s">
        <v>92</v>
      </c>
      <c r="F197" s="37">
        <v>53535.62</v>
      </c>
      <c r="G197" t="s">
        <v>876</v>
      </c>
      <c r="H197">
        <v>0.5</v>
      </c>
      <c r="I197" t="s">
        <v>504</v>
      </c>
      <c r="J197" t="s">
        <v>136</v>
      </c>
    </row>
    <row r="198" spans="1:10" x14ac:dyDescent="0.3">
      <c r="A198" t="s">
        <v>884</v>
      </c>
      <c r="B198" t="s">
        <v>1376</v>
      </c>
      <c r="C198" t="s">
        <v>1377</v>
      </c>
      <c r="D198" t="s">
        <v>47</v>
      </c>
      <c r="E198" t="s">
        <v>53</v>
      </c>
      <c r="F198" s="37">
        <v>53184.02</v>
      </c>
      <c r="G198" t="s">
        <v>886</v>
      </c>
      <c r="H198">
        <v>1</v>
      </c>
      <c r="I198" t="s">
        <v>504</v>
      </c>
      <c r="J198" t="s">
        <v>36</v>
      </c>
    </row>
    <row r="199" spans="1:10" x14ac:dyDescent="0.3">
      <c r="A199" t="s">
        <v>97</v>
      </c>
      <c r="B199" t="s">
        <v>390</v>
      </c>
      <c r="C199" t="s">
        <v>391</v>
      </c>
      <c r="D199" t="s">
        <v>47</v>
      </c>
      <c r="E199" t="s">
        <v>99</v>
      </c>
      <c r="F199" s="37">
        <v>52963.65</v>
      </c>
      <c r="G199">
        <v>44288</v>
      </c>
      <c r="H199">
        <v>0.3</v>
      </c>
      <c r="I199" t="s">
        <v>35</v>
      </c>
      <c r="J199" t="s">
        <v>58</v>
      </c>
    </row>
    <row r="200" spans="1:10" x14ac:dyDescent="0.3">
      <c r="A200" t="s">
        <v>537</v>
      </c>
      <c r="B200" t="s">
        <v>1107</v>
      </c>
      <c r="C200" t="s">
        <v>1108</v>
      </c>
      <c r="D200" t="s">
        <v>47</v>
      </c>
      <c r="E200" t="s">
        <v>76</v>
      </c>
      <c r="F200" s="37">
        <v>52748.63</v>
      </c>
      <c r="G200" t="s">
        <v>520</v>
      </c>
      <c r="H200">
        <v>1</v>
      </c>
      <c r="I200" t="s">
        <v>35</v>
      </c>
      <c r="J200" t="s">
        <v>49</v>
      </c>
    </row>
    <row r="201" spans="1:10" x14ac:dyDescent="0.3">
      <c r="A201" t="s">
        <v>832</v>
      </c>
      <c r="B201" t="s">
        <v>1336</v>
      </c>
      <c r="C201" t="s">
        <v>1337</v>
      </c>
      <c r="D201" t="s">
        <v>47</v>
      </c>
      <c r="E201" t="s">
        <v>99</v>
      </c>
      <c r="F201" s="37">
        <v>52270.22</v>
      </c>
      <c r="G201">
        <v>43521</v>
      </c>
      <c r="H201">
        <v>0.3</v>
      </c>
      <c r="I201" t="s">
        <v>35</v>
      </c>
      <c r="J201" t="s">
        <v>49</v>
      </c>
    </row>
    <row r="202" spans="1:10" x14ac:dyDescent="0.3">
      <c r="A202" t="s">
        <v>547</v>
      </c>
      <c r="B202" t="s">
        <v>1115</v>
      </c>
      <c r="C202" t="s">
        <v>1116</v>
      </c>
      <c r="D202" t="s">
        <v>47</v>
      </c>
      <c r="E202" t="s">
        <v>99</v>
      </c>
      <c r="F202" s="37">
        <v>52246.29</v>
      </c>
      <c r="G202" t="s">
        <v>549</v>
      </c>
      <c r="H202">
        <v>1</v>
      </c>
      <c r="I202" t="s">
        <v>525</v>
      </c>
      <c r="J202" t="s">
        <v>82</v>
      </c>
    </row>
    <row r="203" spans="1:10" x14ac:dyDescent="0.3">
      <c r="A203" t="s">
        <v>955</v>
      </c>
      <c r="B203" t="s">
        <v>1433</v>
      </c>
      <c r="C203" t="s">
        <v>1434</v>
      </c>
      <c r="D203" t="s">
        <v>33</v>
      </c>
      <c r="E203" t="s">
        <v>141</v>
      </c>
      <c r="F203" s="37">
        <v>51798.25</v>
      </c>
      <c r="G203" t="s">
        <v>581</v>
      </c>
      <c r="H203">
        <v>1</v>
      </c>
      <c r="I203" t="s">
        <v>35</v>
      </c>
      <c r="J203" t="s">
        <v>102</v>
      </c>
    </row>
    <row r="204" spans="1:10" x14ac:dyDescent="0.3">
      <c r="A204" t="s">
        <v>641</v>
      </c>
      <c r="B204" t="s">
        <v>1186</v>
      </c>
      <c r="C204" t="s">
        <v>1187</v>
      </c>
      <c r="D204" t="s">
        <v>33</v>
      </c>
      <c r="E204" t="s">
        <v>1534</v>
      </c>
      <c r="F204" s="37">
        <v>51165.37</v>
      </c>
      <c r="G204" t="s">
        <v>642</v>
      </c>
      <c r="H204">
        <v>1</v>
      </c>
      <c r="I204" t="s">
        <v>504</v>
      </c>
      <c r="J204" t="s">
        <v>102</v>
      </c>
    </row>
    <row r="205" spans="1:10" x14ac:dyDescent="0.3">
      <c r="A205" t="s">
        <v>613</v>
      </c>
      <c r="B205" t="s">
        <v>1168</v>
      </c>
      <c r="C205" t="s">
        <v>1169</v>
      </c>
      <c r="D205" t="s">
        <v>47</v>
      </c>
      <c r="E205" t="s">
        <v>53</v>
      </c>
      <c r="F205" s="37">
        <v>50855.53</v>
      </c>
      <c r="G205" t="s">
        <v>615</v>
      </c>
      <c r="H205">
        <v>1</v>
      </c>
      <c r="I205" t="s">
        <v>35</v>
      </c>
      <c r="J205" t="s">
        <v>82</v>
      </c>
    </row>
    <row r="206" spans="1:10" x14ac:dyDescent="0.3">
      <c r="A206" t="s">
        <v>171</v>
      </c>
      <c r="B206" t="s">
        <v>412</v>
      </c>
      <c r="C206" t="s">
        <v>413</v>
      </c>
      <c r="D206" t="s">
        <v>33</v>
      </c>
      <c r="E206" t="s">
        <v>76</v>
      </c>
      <c r="F206" s="37">
        <v>50449.46</v>
      </c>
      <c r="G206" t="s">
        <v>561</v>
      </c>
      <c r="H206">
        <v>0.8</v>
      </c>
      <c r="I206" t="s">
        <v>35</v>
      </c>
      <c r="J206" t="s">
        <v>71</v>
      </c>
    </row>
    <row r="207" spans="1:10" x14ac:dyDescent="0.3">
      <c r="A207" t="s">
        <v>100</v>
      </c>
      <c r="B207" t="s">
        <v>392</v>
      </c>
      <c r="C207" t="s">
        <v>393</v>
      </c>
      <c r="D207" t="s">
        <v>47</v>
      </c>
      <c r="E207" t="s">
        <v>85</v>
      </c>
      <c r="F207" s="37">
        <v>50310.09</v>
      </c>
      <c r="G207">
        <v>44285</v>
      </c>
      <c r="H207">
        <v>0.4</v>
      </c>
      <c r="I207" t="s">
        <v>35</v>
      </c>
      <c r="J207" t="s">
        <v>102</v>
      </c>
    </row>
    <row r="208" spans="1:10" x14ac:dyDescent="0.3">
      <c r="A208" t="s">
        <v>710</v>
      </c>
      <c r="B208" t="s">
        <v>1233</v>
      </c>
      <c r="C208" t="s">
        <v>1234</v>
      </c>
      <c r="D208" t="s">
        <v>47</v>
      </c>
      <c r="E208" t="s">
        <v>99</v>
      </c>
      <c r="F208" s="37">
        <v>49915.14</v>
      </c>
      <c r="G208" t="s">
        <v>712</v>
      </c>
      <c r="H208">
        <v>1</v>
      </c>
      <c r="I208" t="s">
        <v>35</v>
      </c>
      <c r="J208" t="s">
        <v>36</v>
      </c>
    </row>
    <row r="209" spans="1:10" x14ac:dyDescent="0.3">
      <c r="A209" t="s">
        <v>917</v>
      </c>
      <c r="B209" t="s">
        <v>1403</v>
      </c>
      <c r="C209" t="s">
        <v>1404</v>
      </c>
      <c r="D209" t="s">
        <v>33</v>
      </c>
      <c r="E209" t="s">
        <v>141</v>
      </c>
      <c r="F209" s="37">
        <v>49625.64</v>
      </c>
      <c r="G209">
        <v>44384</v>
      </c>
      <c r="H209">
        <v>0.5</v>
      </c>
      <c r="I209" t="s">
        <v>504</v>
      </c>
      <c r="J209" t="s">
        <v>36</v>
      </c>
    </row>
    <row r="210" spans="1:10" x14ac:dyDescent="0.3">
      <c r="A210" t="s">
        <v>103</v>
      </c>
      <c r="B210" t="s">
        <v>414</v>
      </c>
      <c r="C210" t="s">
        <v>415</v>
      </c>
      <c r="D210" t="s">
        <v>47</v>
      </c>
      <c r="E210" t="s">
        <v>85</v>
      </c>
      <c r="F210" s="37">
        <v>48525.71</v>
      </c>
      <c r="G210" t="s">
        <v>942</v>
      </c>
      <c r="H210">
        <v>1</v>
      </c>
      <c r="I210" t="s">
        <v>35</v>
      </c>
      <c r="J210" t="s">
        <v>102</v>
      </c>
    </row>
    <row r="211" spans="1:10" x14ac:dyDescent="0.3">
      <c r="A211" t="s">
        <v>794</v>
      </c>
      <c r="B211" t="s">
        <v>1306</v>
      </c>
      <c r="C211" t="s">
        <v>1307</v>
      </c>
      <c r="D211" t="s">
        <v>47</v>
      </c>
      <c r="E211" t="s">
        <v>48</v>
      </c>
      <c r="F211" s="37">
        <v>47646.95</v>
      </c>
      <c r="G211">
        <v>43791</v>
      </c>
      <c r="H211">
        <v>0.3</v>
      </c>
      <c r="I211" t="s">
        <v>504</v>
      </c>
      <c r="J211" t="s">
        <v>49</v>
      </c>
    </row>
    <row r="212" spans="1:10" x14ac:dyDescent="0.3">
      <c r="A212" t="s">
        <v>173</v>
      </c>
      <c r="B212" t="s">
        <v>462</v>
      </c>
      <c r="C212" t="s">
        <v>463</v>
      </c>
      <c r="D212" t="s">
        <v>33</v>
      </c>
      <c r="E212" t="s">
        <v>42</v>
      </c>
      <c r="F212" s="37">
        <v>47551.89</v>
      </c>
      <c r="G212">
        <v>43468</v>
      </c>
      <c r="H212">
        <v>1</v>
      </c>
      <c r="I212" t="s">
        <v>35</v>
      </c>
      <c r="J212" t="s">
        <v>71</v>
      </c>
    </row>
    <row r="213" spans="1:10" x14ac:dyDescent="0.3">
      <c r="A213" t="s">
        <v>679</v>
      </c>
      <c r="B213" t="s">
        <v>1214</v>
      </c>
      <c r="C213" t="s">
        <v>1215</v>
      </c>
      <c r="D213" t="s">
        <v>47</v>
      </c>
      <c r="E213" t="s">
        <v>53</v>
      </c>
      <c r="F213" s="37">
        <v>47362.62</v>
      </c>
      <c r="G213" t="s">
        <v>681</v>
      </c>
      <c r="H213">
        <v>1</v>
      </c>
      <c r="I213" t="s">
        <v>525</v>
      </c>
      <c r="J213" t="s">
        <v>36</v>
      </c>
    </row>
    <row r="214" spans="1:10" x14ac:dyDescent="0.3">
      <c r="A214" t="s">
        <v>937</v>
      </c>
      <c r="B214" t="s">
        <v>1417</v>
      </c>
      <c r="C214" t="s">
        <v>1418</v>
      </c>
      <c r="D214" t="s">
        <v>33</v>
      </c>
      <c r="E214" t="s">
        <v>76</v>
      </c>
      <c r="F214" s="37">
        <v>46751.7</v>
      </c>
      <c r="G214">
        <v>43843</v>
      </c>
      <c r="H214">
        <v>1</v>
      </c>
      <c r="I214" t="s">
        <v>504</v>
      </c>
      <c r="J214" t="s">
        <v>102</v>
      </c>
    </row>
    <row r="215" spans="1:10" x14ac:dyDescent="0.3">
      <c r="A215" t="s">
        <v>699</v>
      </c>
      <c r="B215" t="s">
        <v>390</v>
      </c>
      <c r="C215" t="s">
        <v>1226</v>
      </c>
      <c r="D215" t="s">
        <v>33</v>
      </c>
      <c r="E215" t="s">
        <v>99</v>
      </c>
      <c r="F215" s="37">
        <v>44845.33</v>
      </c>
      <c r="G215" t="s">
        <v>701</v>
      </c>
      <c r="H215">
        <v>1</v>
      </c>
      <c r="I215" t="s">
        <v>35</v>
      </c>
      <c r="J215" t="s">
        <v>136</v>
      </c>
    </row>
    <row r="216" spans="1:10" x14ac:dyDescent="0.3">
      <c r="A216" t="s">
        <v>758</v>
      </c>
      <c r="B216" t="s">
        <v>1275</v>
      </c>
      <c r="C216" t="s">
        <v>1276</v>
      </c>
      <c r="D216" t="s">
        <v>33</v>
      </c>
      <c r="E216" t="s">
        <v>76</v>
      </c>
      <c r="F216" s="37">
        <v>44447.26</v>
      </c>
      <c r="G216">
        <v>43846</v>
      </c>
      <c r="H216">
        <v>0.4</v>
      </c>
      <c r="I216" t="s">
        <v>35</v>
      </c>
      <c r="J216" t="s">
        <v>136</v>
      </c>
    </row>
    <row r="217" spans="1:10" x14ac:dyDescent="0.3">
      <c r="A217" t="s">
        <v>596</v>
      </c>
      <c r="B217" t="s">
        <v>1153</v>
      </c>
      <c r="C217" t="s">
        <v>1154</v>
      </c>
      <c r="D217" t="s">
        <v>33</v>
      </c>
      <c r="E217" t="s">
        <v>1534</v>
      </c>
      <c r="F217" s="37">
        <v>44403.77</v>
      </c>
      <c r="G217">
        <v>43416</v>
      </c>
      <c r="H217">
        <v>1</v>
      </c>
      <c r="I217" t="s">
        <v>35</v>
      </c>
      <c r="J217" t="s">
        <v>102</v>
      </c>
    </row>
    <row r="218" spans="1:10" x14ac:dyDescent="0.3">
      <c r="A218" t="s">
        <v>540</v>
      </c>
      <c r="B218" t="s">
        <v>1109</v>
      </c>
      <c r="C218" t="s">
        <v>1110</v>
      </c>
      <c r="D218" t="s">
        <v>47</v>
      </c>
      <c r="E218" t="s">
        <v>53</v>
      </c>
      <c r="F218" s="37">
        <v>43329.22</v>
      </c>
      <c r="G218">
        <v>43809</v>
      </c>
      <c r="H218">
        <v>0.5</v>
      </c>
      <c r="I218" t="s">
        <v>504</v>
      </c>
      <c r="J218" t="s">
        <v>36</v>
      </c>
    </row>
    <row r="219" spans="1:10" x14ac:dyDescent="0.3">
      <c r="A219" t="s">
        <v>515</v>
      </c>
      <c r="B219" t="s">
        <v>1093</v>
      </c>
      <c r="C219" t="s">
        <v>1094</v>
      </c>
      <c r="D219" t="s">
        <v>33</v>
      </c>
      <c r="E219" t="s">
        <v>48</v>
      </c>
      <c r="F219" s="37">
        <v>42314.39</v>
      </c>
      <c r="G219" t="s">
        <v>517</v>
      </c>
      <c r="H219">
        <v>1</v>
      </c>
      <c r="I219" t="s">
        <v>504</v>
      </c>
      <c r="J219" t="s">
        <v>36</v>
      </c>
    </row>
    <row r="220" spans="1:10" x14ac:dyDescent="0.3">
      <c r="A220" t="s">
        <v>705</v>
      </c>
      <c r="B220" t="s">
        <v>1229</v>
      </c>
      <c r="C220" t="s">
        <v>1230</v>
      </c>
      <c r="D220" t="s">
        <v>33</v>
      </c>
      <c r="E220" t="s">
        <v>48</v>
      </c>
      <c r="F220" s="37">
        <v>42161.77</v>
      </c>
      <c r="G220" t="s">
        <v>707</v>
      </c>
      <c r="H220">
        <v>1</v>
      </c>
      <c r="I220" t="s">
        <v>35</v>
      </c>
      <c r="J220" t="s">
        <v>71</v>
      </c>
    </row>
    <row r="221" spans="1:10" x14ac:dyDescent="0.3">
      <c r="A221" t="s">
        <v>175</v>
      </c>
      <c r="B221" t="s">
        <v>427</v>
      </c>
      <c r="C221" t="s">
        <v>428</v>
      </c>
      <c r="D221" t="s">
        <v>33</v>
      </c>
      <c r="E221" t="s">
        <v>42</v>
      </c>
      <c r="F221" s="37">
        <v>41934.71</v>
      </c>
      <c r="G221">
        <v>43780</v>
      </c>
      <c r="H221">
        <v>1</v>
      </c>
      <c r="I221" t="s">
        <v>35</v>
      </c>
      <c r="J221" t="s">
        <v>36</v>
      </c>
    </row>
    <row r="222" spans="1:10" x14ac:dyDescent="0.3">
      <c r="A222" t="s">
        <v>689</v>
      </c>
      <c r="B222" t="s">
        <v>390</v>
      </c>
      <c r="C222" t="s">
        <v>176</v>
      </c>
      <c r="D222" t="s">
        <v>33</v>
      </c>
      <c r="E222" t="s">
        <v>42</v>
      </c>
      <c r="F222" s="37">
        <v>41934.71</v>
      </c>
      <c r="G222">
        <v>43943</v>
      </c>
      <c r="H222">
        <v>1</v>
      </c>
      <c r="I222" t="s">
        <v>35</v>
      </c>
      <c r="J222" t="s">
        <v>36</v>
      </c>
    </row>
    <row r="223" spans="1:10" x14ac:dyDescent="0.3">
      <c r="A223" t="s">
        <v>597</v>
      </c>
      <c r="B223" t="s">
        <v>1155</v>
      </c>
      <c r="C223" t="s">
        <v>1156</v>
      </c>
      <c r="D223" t="s">
        <v>47</v>
      </c>
      <c r="E223" t="s">
        <v>92</v>
      </c>
      <c r="F223" s="37">
        <v>40753.54</v>
      </c>
      <c r="G223">
        <v>43152</v>
      </c>
      <c r="H223">
        <v>0.6</v>
      </c>
      <c r="I223" t="s">
        <v>35</v>
      </c>
      <c r="J223" t="s">
        <v>82</v>
      </c>
    </row>
    <row r="224" spans="1:10" x14ac:dyDescent="0.3">
      <c r="A224" t="s">
        <v>760</v>
      </c>
      <c r="B224" t="s">
        <v>1427</v>
      </c>
      <c r="C224" t="s">
        <v>1428</v>
      </c>
      <c r="D224" t="s">
        <v>47</v>
      </c>
      <c r="E224" t="s">
        <v>141</v>
      </c>
      <c r="F224" s="37">
        <v>40445.29</v>
      </c>
      <c r="G224">
        <v>44393</v>
      </c>
      <c r="H224">
        <v>1</v>
      </c>
      <c r="I224" t="s">
        <v>35</v>
      </c>
      <c r="J224" t="s">
        <v>49</v>
      </c>
    </row>
    <row r="225" spans="1:10" x14ac:dyDescent="0.3">
      <c r="A225" t="s">
        <v>760</v>
      </c>
      <c r="B225" t="s">
        <v>1277</v>
      </c>
      <c r="C225" t="s">
        <v>1278</v>
      </c>
      <c r="D225" t="s">
        <v>47</v>
      </c>
      <c r="E225" t="s">
        <v>141</v>
      </c>
      <c r="F225" s="37">
        <v>40445.29</v>
      </c>
      <c r="G225">
        <v>44393</v>
      </c>
      <c r="H225">
        <v>1</v>
      </c>
      <c r="I225" t="s">
        <v>35</v>
      </c>
      <c r="J225" t="s">
        <v>49</v>
      </c>
    </row>
    <row r="226" spans="1:10" x14ac:dyDescent="0.3">
      <c r="A226" t="s">
        <v>532</v>
      </c>
      <c r="B226" t="s">
        <v>1103</v>
      </c>
      <c r="C226" t="s">
        <v>1104</v>
      </c>
      <c r="D226" t="s">
        <v>47</v>
      </c>
      <c r="E226" t="s">
        <v>53</v>
      </c>
      <c r="F226" s="37">
        <v>39969.72</v>
      </c>
      <c r="G226" t="s">
        <v>534</v>
      </c>
      <c r="H226">
        <v>1</v>
      </c>
      <c r="I226" t="s">
        <v>525</v>
      </c>
      <c r="J226" t="s">
        <v>58</v>
      </c>
    </row>
    <row r="227" spans="1:10" x14ac:dyDescent="0.3">
      <c r="A227" t="s">
        <v>736</v>
      </c>
      <c r="B227" t="s">
        <v>1257</v>
      </c>
      <c r="C227" t="s">
        <v>1258</v>
      </c>
      <c r="D227" t="s">
        <v>47</v>
      </c>
      <c r="E227" t="s">
        <v>57</v>
      </c>
      <c r="F227" s="37">
        <v>39784.239999999998</v>
      </c>
      <c r="G227" t="s">
        <v>738</v>
      </c>
      <c r="H227">
        <v>1</v>
      </c>
      <c r="I227" t="s">
        <v>504</v>
      </c>
      <c r="J227" t="s">
        <v>49</v>
      </c>
    </row>
    <row r="228" spans="1:10" x14ac:dyDescent="0.3">
      <c r="A228" t="s">
        <v>608</v>
      </c>
      <c r="B228" t="s">
        <v>1164</v>
      </c>
      <c r="C228" t="s">
        <v>1165</v>
      </c>
      <c r="D228" t="s">
        <v>33</v>
      </c>
      <c r="E228" t="s">
        <v>76</v>
      </c>
      <c r="F228" s="37">
        <v>39700.82</v>
      </c>
      <c r="G228">
        <v>44203</v>
      </c>
      <c r="H228">
        <v>0.8</v>
      </c>
      <c r="I228" t="s">
        <v>35</v>
      </c>
      <c r="J228" t="s">
        <v>49</v>
      </c>
    </row>
    <row r="229" spans="1:10" x14ac:dyDescent="0.3">
      <c r="A229" t="s">
        <v>608</v>
      </c>
      <c r="B229" t="s">
        <v>1456</v>
      </c>
      <c r="C229" t="s">
        <v>1457</v>
      </c>
      <c r="D229" t="s">
        <v>33</v>
      </c>
      <c r="E229" t="s">
        <v>76</v>
      </c>
      <c r="F229" s="37">
        <v>39700.82</v>
      </c>
      <c r="G229">
        <v>44203</v>
      </c>
      <c r="H229">
        <v>0.8</v>
      </c>
      <c r="I229" t="s">
        <v>35</v>
      </c>
      <c r="J229" t="s">
        <v>49</v>
      </c>
    </row>
    <row r="230" spans="1:10" x14ac:dyDescent="0.3">
      <c r="A230" t="s">
        <v>177</v>
      </c>
      <c r="B230" t="s">
        <v>447</v>
      </c>
      <c r="C230" t="s">
        <v>448</v>
      </c>
      <c r="D230" t="s">
        <v>33</v>
      </c>
      <c r="E230" t="s">
        <v>42</v>
      </c>
      <c r="F230" s="37">
        <v>39535.49</v>
      </c>
      <c r="G230">
        <v>43397</v>
      </c>
      <c r="H230">
        <v>0.3</v>
      </c>
      <c r="I230" t="s">
        <v>35</v>
      </c>
      <c r="J230" t="s">
        <v>36</v>
      </c>
    </row>
    <row r="231" spans="1:10" x14ac:dyDescent="0.3">
      <c r="A231" t="s">
        <v>892</v>
      </c>
      <c r="B231" t="s">
        <v>1382</v>
      </c>
      <c r="C231" t="s">
        <v>1383</v>
      </c>
      <c r="D231" t="s">
        <v>47</v>
      </c>
      <c r="E231" t="s">
        <v>99</v>
      </c>
      <c r="F231" s="37">
        <v>38825.18</v>
      </c>
      <c r="G231">
        <v>43696</v>
      </c>
      <c r="H231">
        <v>1</v>
      </c>
      <c r="I231" t="s">
        <v>525</v>
      </c>
      <c r="J231" t="s">
        <v>36</v>
      </c>
    </row>
    <row r="232" spans="1:10" x14ac:dyDescent="0.3">
      <c r="A232" t="s">
        <v>610</v>
      </c>
      <c r="B232" t="s">
        <v>1166</v>
      </c>
      <c r="C232" t="s">
        <v>1167</v>
      </c>
      <c r="D232" t="s">
        <v>33</v>
      </c>
      <c r="E232" t="s">
        <v>141</v>
      </c>
      <c r="F232" s="37">
        <v>38438.239999999998</v>
      </c>
      <c r="G232" t="s">
        <v>612</v>
      </c>
      <c r="H232">
        <v>1</v>
      </c>
      <c r="I232" t="s">
        <v>35</v>
      </c>
      <c r="J232" t="s">
        <v>49</v>
      </c>
    </row>
    <row r="233" spans="1:10" x14ac:dyDescent="0.3">
      <c r="A233" t="s">
        <v>610</v>
      </c>
      <c r="B233" t="s">
        <v>1324</v>
      </c>
      <c r="C233" t="s">
        <v>1325</v>
      </c>
      <c r="D233" t="s">
        <v>33</v>
      </c>
      <c r="E233" t="s">
        <v>141</v>
      </c>
      <c r="F233" s="37">
        <v>38438.239999999998</v>
      </c>
      <c r="G233" t="s">
        <v>612</v>
      </c>
      <c r="H233">
        <v>1</v>
      </c>
      <c r="I233" t="s">
        <v>35</v>
      </c>
      <c r="J233" t="s">
        <v>49</v>
      </c>
    </row>
    <row r="234" spans="1:10" x14ac:dyDescent="0.3">
      <c r="A234" t="s">
        <v>529</v>
      </c>
      <c r="B234" t="s">
        <v>1290</v>
      </c>
      <c r="C234" t="s">
        <v>1291</v>
      </c>
      <c r="D234" t="s">
        <v>33</v>
      </c>
      <c r="E234" t="s">
        <v>81</v>
      </c>
      <c r="F234" s="37">
        <v>37902.35</v>
      </c>
      <c r="G234" t="s">
        <v>531</v>
      </c>
      <c r="H234">
        <v>1</v>
      </c>
      <c r="I234" t="s">
        <v>35</v>
      </c>
      <c r="J234" t="s">
        <v>49</v>
      </c>
    </row>
    <row r="235" spans="1:10" x14ac:dyDescent="0.3">
      <c r="A235" t="s">
        <v>529</v>
      </c>
      <c r="B235" t="s">
        <v>1101</v>
      </c>
      <c r="C235" t="s">
        <v>1102</v>
      </c>
      <c r="D235" t="s">
        <v>33</v>
      </c>
      <c r="E235" t="s">
        <v>81</v>
      </c>
      <c r="F235" s="37">
        <v>37902.35</v>
      </c>
      <c r="G235" t="s">
        <v>531</v>
      </c>
      <c r="H235">
        <v>1</v>
      </c>
      <c r="I235" t="s">
        <v>35</v>
      </c>
      <c r="J235" t="s">
        <v>49</v>
      </c>
    </row>
    <row r="236" spans="1:10" x14ac:dyDescent="0.3">
      <c r="A236" t="s">
        <v>105</v>
      </c>
      <c r="B236" t="s">
        <v>437</v>
      </c>
      <c r="C236" t="s">
        <v>438</v>
      </c>
      <c r="D236" t="s">
        <v>47</v>
      </c>
      <c r="E236" t="s">
        <v>92</v>
      </c>
      <c r="F236" s="37">
        <v>37362.300000000003</v>
      </c>
      <c r="G236" t="s">
        <v>619</v>
      </c>
      <c r="H236">
        <v>1</v>
      </c>
      <c r="I236" t="s">
        <v>35</v>
      </c>
      <c r="J236" t="s">
        <v>71</v>
      </c>
    </row>
    <row r="237" spans="1:10" x14ac:dyDescent="0.3">
      <c r="A237" t="s">
        <v>713</v>
      </c>
      <c r="B237" t="s">
        <v>1235</v>
      </c>
      <c r="C237" t="s">
        <v>1236</v>
      </c>
      <c r="D237" t="s">
        <v>47</v>
      </c>
      <c r="E237" t="s">
        <v>34</v>
      </c>
      <c r="F237" s="37">
        <v>37062.1</v>
      </c>
      <c r="G237">
        <v>44357</v>
      </c>
      <c r="H237">
        <v>1</v>
      </c>
      <c r="I237" t="s">
        <v>525</v>
      </c>
      <c r="J237" t="s">
        <v>49</v>
      </c>
    </row>
    <row r="238" spans="1:10" x14ac:dyDescent="0.3">
      <c r="A238" t="s">
        <v>107</v>
      </c>
      <c r="B238" t="s">
        <v>443</v>
      </c>
      <c r="C238" t="s">
        <v>444</v>
      </c>
      <c r="D238" t="s">
        <v>47</v>
      </c>
      <c r="E238" t="s">
        <v>34</v>
      </c>
      <c r="F238" s="37">
        <v>36714.379999999997</v>
      </c>
      <c r="G238">
        <v>44175</v>
      </c>
      <c r="H238">
        <v>1</v>
      </c>
      <c r="I238" t="s">
        <v>35</v>
      </c>
      <c r="J238" t="s">
        <v>49</v>
      </c>
    </row>
    <row r="239" spans="1:10" x14ac:dyDescent="0.3">
      <c r="A239" t="s">
        <v>112</v>
      </c>
      <c r="B239" t="s">
        <v>390</v>
      </c>
      <c r="C239" t="s">
        <v>416</v>
      </c>
      <c r="D239" t="s">
        <v>47</v>
      </c>
      <c r="E239" t="s">
        <v>99</v>
      </c>
      <c r="F239" s="37">
        <v>36547.58</v>
      </c>
      <c r="G239">
        <v>43416</v>
      </c>
      <c r="H239">
        <v>1</v>
      </c>
      <c r="I239" t="s">
        <v>35</v>
      </c>
      <c r="J239" t="s">
        <v>36</v>
      </c>
    </row>
    <row r="240" spans="1:10" x14ac:dyDescent="0.3">
      <c r="A240" t="s">
        <v>112</v>
      </c>
      <c r="B240" t="s">
        <v>390</v>
      </c>
      <c r="C240" t="s">
        <v>416</v>
      </c>
      <c r="D240" t="s">
        <v>47</v>
      </c>
      <c r="E240" t="s">
        <v>99</v>
      </c>
      <c r="F240" s="37">
        <v>36547.58</v>
      </c>
      <c r="G240">
        <v>43416</v>
      </c>
      <c r="H240">
        <v>1</v>
      </c>
      <c r="I240" t="s">
        <v>35</v>
      </c>
      <c r="J240" t="s">
        <v>36</v>
      </c>
    </row>
    <row r="241" spans="1:10" x14ac:dyDescent="0.3">
      <c r="A241" t="s">
        <v>805</v>
      </c>
      <c r="B241" t="s">
        <v>1316</v>
      </c>
      <c r="C241" t="s">
        <v>1317</v>
      </c>
      <c r="D241" t="s">
        <v>47</v>
      </c>
      <c r="E241" t="s">
        <v>53</v>
      </c>
      <c r="F241" s="37">
        <v>36536.26</v>
      </c>
      <c r="G241" t="s">
        <v>807</v>
      </c>
      <c r="H241">
        <v>1</v>
      </c>
      <c r="I241" t="s">
        <v>525</v>
      </c>
      <c r="J241" t="s">
        <v>102</v>
      </c>
    </row>
    <row r="242" spans="1:10" x14ac:dyDescent="0.3">
      <c r="A242" t="s">
        <v>179</v>
      </c>
      <c r="B242" t="s">
        <v>457</v>
      </c>
      <c r="C242" t="s">
        <v>458</v>
      </c>
      <c r="D242" t="s">
        <v>33</v>
      </c>
      <c r="E242" t="s">
        <v>85</v>
      </c>
      <c r="F242" s="37">
        <v>35943.620000000003</v>
      </c>
      <c r="G242">
        <v>44078</v>
      </c>
      <c r="H242">
        <v>1</v>
      </c>
      <c r="I242" t="s">
        <v>35</v>
      </c>
      <c r="J242" t="s">
        <v>58</v>
      </c>
    </row>
    <row r="243" spans="1:10" x14ac:dyDescent="0.3">
      <c r="A243" t="s">
        <v>114</v>
      </c>
      <c r="B243" t="s">
        <v>396</v>
      </c>
      <c r="C243" t="s">
        <v>397</v>
      </c>
      <c r="D243" t="s">
        <v>47</v>
      </c>
      <c r="E243" t="s">
        <v>99</v>
      </c>
      <c r="F243" s="37">
        <v>35936.31</v>
      </c>
      <c r="G243">
        <v>43241</v>
      </c>
      <c r="H243">
        <v>1</v>
      </c>
      <c r="I243" t="s">
        <v>35</v>
      </c>
      <c r="J243" t="s">
        <v>49</v>
      </c>
    </row>
    <row r="244" spans="1:10" x14ac:dyDescent="0.3">
      <c r="A244" t="s">
        <v>777</v>
      </c>
      <c r="B244" t="s">
        <v>1292</v>
      </c>
      <c r="C244" t="s">
        <v>1293</v>
      </c>
      <c r="D244" t="s">
        <v>33</v>
      </c>
      <c r="E244" t="s">
        <v>57</v>
      </c>
      <c r="F244" s="37">
        <v>33031.26</v>
      </c>
      <c r="G244" t="s">
        <v>779</v>
      </c>
      <c r="H244">
        <v>0.4</v>
      </c>
      <c r="I244" t="s">
        <v>35</v>
      </c>
      <c r="J244" t="s">
        <v>102</v>
      </c>
    </row>
    <row r="245" spans="1:10" x14ac:dyDescent="0.3">
      <c r="A245" t="s">
        <v>780</v>
      </c>
      <c r="B245" t="s">
        <v>1294</v>
      </c>
      <c r="C245" t="s">
        <v>1295</v>
      </c>
      <c r="D245" t="s">
        <v>33</v>
      </c>
      <c r="E245" t="s">
        <v>88</v>
      </c>
      <c r="F245" s="37">
        <v>32496.880000000001</v>
      </c>
      <c r="G245">
        <v>43234</v>
      </c>
      <c r="H245">
        <v>1</v>
      </c>
      <c r="I245" t="s">
        <v>525</v>
      </c>
      <c r="J245" t="s">
        <v>36</v>
      </c>
    </row>
    <row r="246" spans="1:10" x14ac:dyDescent="0.3">
      <c r="A246" t="s">
        <v>869</v>
      </c>
      <c r="B246" t="s">
        <v>1366</v>
      </c>
      <c r="C246" t="s">
        <v>1367</v>
      </c>
      <c r="D246" t="s">
        <v>33</v>
      </c>
      <c r="E246" t="s">
        <v>48</v>
      </c>
      <c r="F246" s="37">
        <v>32269.91</v>
      </c>
      <c r="G246" t="s">
        <v>810</v>
      </c>
      <c r="H246">
        <v>1</v>
      </c>
      <c r="I246" t="s">
        <v>35</v>
      </c>
      <c r="J246" t="s">
        <v>36</v>
      </c>
    </row>
    <row r="247" spans="1:10" x14ac:dyDescent="0.3">
      <c r="A247" t="s">
        <v>116</v>
      </c>
      <c r="B247" t="s">
        <v>441</v>
      </c>
      <c r="C247" t="s">
        <v>442</v>
      </c>
      <c r="D247" t="s">
        <v>47</v>
      </c>
      <c r="E247" t="s">
        <v>42</v>
      </c>
      <c r="F247" s="37">
        <v>32192.15</v>
      </c>
      <c r="G247" t="s">
        <v>660</v>
      </c>
      <c r="H247">
        <v>1</v>
      </c>
      <c r="I247" t="s">
        <v>35</v>
      </c>
      <c r="J247" t="s">
        <v>102</v>
      </c>
    </row>
    <row r="248" spans="1:10" x14ac:dyDescent="0.3">
      <c r="A248" t="s">
        <v>862</v>
      </c>
      <c r="B248" t="s">
        <v>1360</v>
      </c>
      <c r="C248" t="s">
        <v>1361</v>
      </c>
      <c r="D248" t="s">
        <v>47</v>
      </c>
      <c r="E248" t="s">
        <v>92</v>
      </c>
      <c r="F248" s="37">
        <v>31816.57</v>
      </c>
      <c r="G248" t="s">
        <v>864</v>
      </c>
      <c r="H248">
        <v>0.3</v>
      </c>
      <c r="I248" t="s">
        <v>504</v>
      </c>
      <c r="J248" t="s">
        <v>36</v>
      </c>
    </row>
    <row r="249" spans="1:10" x14ac:dyDescent="0.3">
      <c r="A249" t="s">
        <v>774</v>
      </c>
      <c r="B249" t="s">
        <v>1288</v>
      </c>
      <c r="C249" t="s">
        <v>1289</v>
      </c>
      <c r="D249" t="s">
        <v>47</v>
      </c>
      <c r="E249" t="s">
        <v>141</v>
      </c>
      <c r="F249" s="37">
        <v>31241.24</v>
      </c>
      <c r="G249">
        <v>43725</v>
      </c>
      <c r="H249">
        <v>1</v>
      </c>
      <c r="I249" t="s">
        <v>35</v>
      </c>
      <c r="J249" t="s">
        <v>36</v>
      </c>
    </row>
    <row r="250" spans="1:10" x14ac:dyDescent="0.3">
      <c r="A250" t="s">
        <v>579</v>
      </c>
      <c r="B250" t="s">
        <v>1141</v>
      </c>
      <c r="C250" t="s">
        <v>1142</v>
      </c>
      <c r="D250" t="s">
        <v>33</v>
      </c>
      <c r="E250" t="s">
        <v>48</v>
      </c>
      <c r="F250" s="37">
        <v>31172.77</v>
      </c>
      <c r="G250" t="s">
        <v>581</v>
      </c>
      <c r="H250">
        <v>1</v>
      </c>
      <c r="I250" t="s">
        <v>504</v>
      </c>
      <c r="J250" t="s">
        <v>36</v>
      </c>
    </row>
    <row r="251" spans="1:10" x14ac:dyDescent="0.3">
      <c r="A251" t="s">
        <v>984</v>
      </c>
      <c r="B251" t="s">
        <v>1458</v>
      </c>
      <c r="C251" t="s">
        <v>1459</v>
      </c>
      <c r="D251" t="s">
        <v>33</v>
      </c>
      <c r="E251" t="s">
        <v>88</v>
      </c>
      <c r="F251" s="37">
        <v>31089.22</v>
      </c>
      <c r="G251">
        <v>43776</v>
      </c>
      <c r="H251">
        <v>1</v>
      </c>
      <c r="I251" t="s">
        <v>504</v>
      </c>
      <c r="J251" t="s">
        <v>49</v>
      </c>
    </row>
    <row r="252" spans="1:10" x14ac:dyDescent="0.3">
      <c r="A252" t="s">
        <v>622</v>
      </c>
      <c r="B252" t="s">
        <v>1172</v>
      </c>
      <c r="C252" t="s">
        <v>1173</v>
      </c>
      <c r="D252" t="s">
        <v>33</v>
      </c>
      <c r="E252" t="s">
        <v>88</v>
      </c>
      <c r="F252" s="37">
        <v>31042.51</v>
      </c>
      <c r="G252">
        <v>44473</v>
      </c>
      <c r="H252">
        <v>0.3</v>
      </c>
      <c r="I252" t="s">
        <v>504</v>
      </c>
      <c r="J252" t="s">
        <v>36</v>
      </c>
    </row>
    <row r="253" spans="1:10" x14ac:dyDescent="0.3">
      <c r="A253" t="s">
        <v>974</v>
      </c>
      <c r="B253" t="s">
        <v>1448</v>
      </c>
      <c r="C253" t="s">
        <v>1449</v>
      </c>
      <c r="D253" t="s">
        <v>47</v>
      </c>
      <c r="E253" t="s">
        <v>34</v>
      </c>
      <c r="F253" s="37">
        <v>30077.45</v>
      </c>
      <c r="G253">
        <v>43474</v>
      </c>
      <c r="H253">
        <v>1</v>
      </c>
      <c r="I253" t="s">
        <v>35</v>
      </c>
      <c r="J253" t="s">
        <v>82</v>
      </c>
    </row>
    <row r="254" spans="1:10" x14ac:dyDescent="0.3">
      <c r="A254" t="s">
        <v>980</v>
      </c>
      <c r="B254" t="s">
        <v>1454</v>
      </c>
      <c r="C254" t="s">
        <v>1455</v>
      </c>
      <c r="D254" t="s">
        <v>33</v>
      </c>
      <c r="E254" t="s">
        <v>85</v>
      </c>
      <c r="F254" s="37">
        <v>29808.07</v>
      </c>
      <c r="G254" t="s">
        <v>982</v>
      </c>
      <c r="H254">
        <v>0.3</v>
      </c>
      <c r="I254" t="s">
        <v>525</v>
      </c>
      <c r="J254" t="s">
        <v>102</v>
      </c>
    </row>
    <row r="255" spans="1:10" x14ac:dyDescent="0.3">
      <c r="A255" t="s">
        <v>118</v>
      </c>
      <c r="B255" t="s">
        <v>388</v>
      </c>
      <c r="C255" t="s">
        <v>389</v>
      </c>
      <c r="D255" t="s">
        <v>47</v>
      </c>
      <c r="E255" t="s">
        <v>88</v>
      </c>
      <c r="F255" s="37">
        <v>29774.76</v>
      </c>
      <c r="G255" t="s">
        <v>889</v>
      </c>
      <c r="H255">
        <v>1</v>
      </c>
      <c r="I255" t="s">
        <v>35</v>
      </c>
      <c r="J255" t="s">
        <v>82</v>
      </c>
    </row>
    <row r="256" spans="1:10" x14ac:dyDescent="0.3">
      <c r="A256" t="s">
        <v>820</v>
      </c>
      <c r="B256" t="s">
        <v>1328</v>
      </c>
      <c r="C256" t="s">
        <v>1329</v>
      </c>
      <c r="D256" t="s">
        <v>33</v>
      </c>
      <c r="E256" t="s">
        <v>34</v>
      </c>
      <c r="F256" s="37">
        <v>28974.03</v>
      </c>
      <c r="G256" t="s">
        <v>822</v>
      </c>
      <c r="H256">
        <v>1</v>
      </c>
      <c r="I256" t="s">
        <v>35</v>
      </c>
      <c r="J256" t="s">
        <v>71</v>
      </c>
    </row>
    <row r="257" spans="1:10" x14ac:dyDescent="0.3">
      <c r="A257" t="s">
        <v>657</v>
      </c>
      <c r="B257" t="s">
        <v>1200</v>
      </c>
      <c r="C257" t="s">
        <v>1201</v>
      </c>
      <c r="D257" t="s">
        <v>47</v>
      </c>
      <c r="E257" t="s">
        <v>88</v>
      </c>
      <c r="F257" s="37">
        <v>28481.16</v>
      </c>
      <c r="G257" t="s">
        <v>659</v>
      </c>
      <c r="H257">
        <v>1</v>
      </c>
      <c r="I257" t="s">
        <v>525</v>
      </c>
      <c r="J257" t="s">
        <v>49</v>
      </c>
    </row>
    <row r="258" spans="1:10" x14ac:dyDescent="0.3">
      <c r="A258" t="s">
        <v>796</v>
      </c>
      <c r="B258" t="s">
        <v>1393</v>
      </c>
      <c r="C258" t="s">
        <v>1394</v>
      </c>
      <c r="D258" t="s">
        <v>47</v>
      </c>
      <c r="E258" t="s">
        <v>88</v>
      </c>
      <c r="F258" s="37">
        <v>28481.16</v>
      </c>
      <c r="G258">
        <v>43916</v>
      </c>
      <c r="H258">
        <v>1</v>
      </c>
      <c r="I258" t="s">
        <v>35</v>
      </c>
      <c r="J258" t="s">
        <v>102</v>
      </c>
    </row>
    <row r="259" spans="1:10" x14ac:dyDescent="0.3">
      <c r="A259" t="s">
        <v>796</v>
      </c>
      <c r="B259" t="s">
        <v>1308</v>
      </c>
      <c r="C259" t="s">
        <v>1309</v>
      </c>
      <c r="D259" t="s">
        <v>47</v>
      </c>
      <c r="E259" t="s">
        <v>88</v>
      </c>
      <c r="F259" s="37">
        <v>28481.16</v>
      </c>
      <c r="G259">
        <v>43916</v>
      </c>
      <c r="H259">
        <v>1</v>
      </c>
      <c r="I259" t="s">
        <v>35</v>
      </c>
      <c r="J259" t="s">
        <v>102</v>
      </c>
    </row>
    <row r="260" spans="1:10" x14ac:dyDescent="0.3">
      <c r="A260" t="s">
        <v>957</v>
      </c>
      <c r="B260" t="s">
        <v>1435</v>
      </c>
      <c r="C260" t="s">
        <v>1436</v>
      </c>
      <c r="D260" t="s">
        <v>47</v>
      </c>
      <c r="E260" t="s">
        <v>85</v>
      </c>
      <c r="F260" s="37">
        <v>28329.77</v>
      </c>
      <c r="G260" t="s">
        <v>731</v>
      </c>
      <c r="H260">
        <v>1</v>
      </c>
      <c r="I260" t="s">
        <v>35</v>
      </c>
      <c r="J260" t="s">
        <v>136</v>
      </c>
    </row>
    <row r="261" spans="1:10" x14ac:dyDescent="0.3">
      <c r="A261" t="s">
        <v>887</v>
      </c>
      <c r="B261" t="s">
        <v>1378</v>
      </c>
      <c r="C261" t="s">
        <v>1379</v>
      </c>
      <c r="D261" t="s">
        <v>33</v>
      </c>
      <c r="E261" t="s">
        <v>48</v>
      </c>
      <c r="F261" s="37">
        <v>28305.08</v>
      </c>
      <c r="G261">
        <v>43754</v>
      </c>
      <c r="H261">
        <v>1</v>
      </c>
      <c r="I261" t="s">
        <v>35</v>
      </c>
      <c r="J261" t="s">
        <v>36</v>
      </c>
    </row>
    <row r="262" spans="1:10" x14ac:dyDescent="0.3">
      <c r="A262" t="s">
        <v>839</v>
      </c>
      <c r="B262" t="s">
        <v>1342</v>
      </c>
      <c r="C262" t="s">
        <v>1343</v>
      </c>
      <c r="D262" t="s">
        <v>47</v>
      </c>
      <c r="E262" t="s">
        <v>76</v>
      </c>
      <c r="F262" s="37">
        <v>28160.79</v>
      </c>
      <c r="G262" t="s">
        <v>841</v>
      </c>
      <c r="H262">
        <v>1</v>
      </c>
      <c r="I262" t="s">
        <v>525</v>
      </c>
      <c r="J262" t="s">
        <v>36</v>
      </c>
    </row>
    <row r="263" spans="1:10" x14ac:dyDescent="0.3">
      <c r="A263" t="s">
        <v>643</v>
      </c>
      <c r="B263" t="s">
        <v>1188</v>
      </c>
      <c r="C263" t="s">
        <v>1189</v>
      </c>
      <c r="D263" t="s">
        <v>33</v>
      </c>
      <c r="E263" t="s">
        <v>88</v>
      </c>
      <c r="F263" s="37">
        <v>0</v>
      </c>
      <c r="G263">
        <v>44011</v>
      </c>
      <c r="H263">
        <v>1</v>
      </c>
      <c r="I263" t="s">
        <v>35</v>
      </c>
      <c r="J263" t="s">
        <v>82</v>
      </c>
    </row>
    <row r="264" spans="1:10" x14ac:dyDescent="0.3">
      <c r="A264" t="s">
        <v>616</v>
      </c>
      <c r="B264" t="s">
        <v>1170</v>
      </c>
      <c r="C264" t="s">
        <v>1171</v>
      </c>
      <c r="D264" t="s">
        <v>47</v>
      </c>
      <c r="E264" t="s">
        <v>34</v>
      </c>
      <c r="F264" s="37">
        <v>0</v>
      </c>
      <c r="G264" t="s">
        <v>618</v>
      </c>
      <c r="H264">
        <v>0.2</v>
      </c>
      <c r="I264" t="s">
        <v>35</v>
      </c>
      <c r="J264" t="s">
        <v>71</v>
      </c>
    </row>
    <row r="265" spans="1:10" x14ac:dyDescent="0.3">
      <c r="A265" t="s">
        <v>715</v>
      </c>
      <c r="B265" t="s">
        <v>1237</v>
      </c>
      <c r="C265" t="s">
        <v>1238</v>
      </c>
      <c r="D265" t="s">
        <v>33</v>
      </c>
      <c r="E265" t="s">
        <v>76</v>
      </c>
      <c r="F265" s="37">
        <v>0</v>
      </c>
      <c r="G265">
        <v>43504</v>
      </c>
      <c r="H265">
        <v>1</v>
      </c>
      <c r="I265" t="s">
        <v>35</v>
      </c>
      <c r="J265" t="s">
        <v>36</v>
      </c>
    </row>
    <row r="266" spans="1:10" x14ac:dyDescent="0.3">
      <c r="A266" t="s">
        <v>721</v>
      </c>
      <c r="B266" t="s">
        <v>1243</v>
      </c>
      <c r="C266" t="s">
        <v>1244</v>
      </c>
      <c r="D266" t="s">
        <v>47</v>
      </c>
      <c r="E266" t="s">
        <v>88</v>
      </c>
      <c r="F266" s="37">
        <v>0</v>
      </c>
      <c r="G266" t="s">
        <v>722</v>
      </c>
      <c r="H266">
        <v>1</v>
      </c>
      <c r="I266" t="s">
        <v>35</v>
      </c>
      <c r="J266" t="s">
        <v>49</v>
      </c>
    </row>
    <row r="267" spans="1:10" x14ac:dyDescent="0.3">
      <c r="A267" t="s">
        <v>903</v>
      </c>
      <c r="B267" t="s">
        <v>1391</v>
      </c>
      <c r="C267" t="s">
        <v>1392</v>
      </c>
      <c r="D267" t="s">
        <v>47</v>
      </c>
      <c r="E267" t="s">
        <v>53</v>
      </c>
      <c r="F267" s="37">
        <v>0</v>
      </c>
      <c r="G267">
        <v>44207</v>
      </c>
      <c r="H267">
        <v>0.7</v>
      </c>
      <c r="I267" t="s">
        <v>35</v>
      </c>
      <c r="J267" t="s">
        <v>136</v>
      </c>
    </row>
    <row r="268" spans="1:10" x14ac:dyDescent="0.3">
      <c r="A268" t="s">
        <v>811</v>
      </c>
      <c r="B268" t="s">
        <v>1320</v>
      </c>
      <c r="C268" t="s">
        <v>1321</v>
      </c>
      <c r="D268" t="s">
        <v>33</v>
      </c>
      <c r="E268" t="s">
        <v>141</v>
      </c>
      <c r="G268" t="s">
        <v>813</v>
      </c>
      <c r="H268">
        <v>1</v>
      </c>
      <c r="I268" t="s">
        <v>35</v>
      </c>
      <c r="J268" t="s">
        <v>136</v>
      </c>
    </row>
    <row r="269" spans="1:10" x14ac:dyDescent="0.3">
      <c r="A269" t="s">
        <v>751</v>
      </c>
      <c r="B269" t="s">
        <v>1269</v>
      </c>
      <c r="C269" t="s">
        <v>1270</v>
      </c>
      <c r="D269" t="s">
        <v>33</v>
      </c>
      <c r="E269" t="s">
        <v>76</v>
      </c>
      <c r="G269">
        <v>43538</v>
      </c>
      <c r="H269">
        <v>1</v>
      </c>
      <c r="I269" t="s">
        <v>35</v>
      </c>
      <c r="J269" t="s">
        <v>71</v>
      </c>
    </row>
    <row r="270" spans="1:10" x14ac:dyDescent="0.3">
      <c r="A270" t="s">
        <v>898</v>
      </c>
      <c r="B270" t="s">
        <v>1388</v>
      </c>
      <c r="C270" t="s">
        <v>1389</v>
      </c>
      <c r="D270" t="s">
        <v>33</v>
      </c>
      <c r="E270" t="s">
        <v>99</v>
      </c>
      <c r="G270" t="s">
        <v>900</v>
      </c>
      <c r="H270">
        <v>1</v>
      </c>
      <c r="I270" t="s">
        <v>504</v>
      </c>
      <c r="J270" t="s">
        <v>58</v>
      </c>
    </row>
    <row r="271" spans="1:10" x14ac:dyDescent="0.3">
      <c r="A271" t="s">
        <v>944</v>
      </c>
      <c r="B271" t="s">
        <v>1423</v>
      </c>
      <c r="C271" t="s">
        <v>1424</v>
      </c>
      <c r="D271" t="s">
        <v>33</v>
      </c>
      <c r="E271" t="s">
        <v>81</v>
      </c>
      <c r="G271" t="s">
        <v>946</v>
      </c>
      <c r="H271">
        <v>1</v>
      </c>
      <c r="I271" t="s">
        <v>35</v>
      </c>
      <c r="J271" t="s">
        <v>71</v>
      </c>
    </row>
    <row r="272" spans="1:10" x14ac:dyDescent="0.3">
      <c r="A272" t="s">
        <v>643</v>
      </c>
      <c r="B272" t="s">
        <v>1188</v>
      </c>
      <c r="C272" t="s">
        <v>1189</v>
      </c>
      <c r="D272" t="s">
        <v>33</v>
      </c>
      <c r="E272" t="s">
        <v>88</v>
      </c>
      <c r="G272">
        <v>44011</v>
      </c>
      <c r="H272">
        <v>1</v>
      </c>
      <c r="I272" t="s">
        <v>35</v>
      </c>
      <c r="J272" t="s">
        <v>82</v>
      </c>
    </row>
    <row r="273" spans="1:10" x14ac:dyDescent="0.3">
      <c r="A273" t="s">
        <v>559</v>
      </c>
      <c r="B273" t="s">
        <v>1125</v>
      </c>
      <c r="C273" t="s">
        <v>1126</v>
      </c>
      <c r="D273" t="s">
        <v>47</v>
      </c>
      <c r="E273" t="s">
        <v>1534</v>
      </c>
      <c r="G273" t="s">
        <v>560</v>
      </c>
      <c r="H273">
        <v>0.7</v>
      </c>
      <c r="I273" t="s">
        <v>35</v>
      </c>
      <c r="J273" t="s">
        <v>71</v>
      </c>
    </row>
    <row r="274" spans="1:10" x14ac:dyDescent="0.3">
      <c r="A274" t="s">
        <v>970</v>
      </c>
      <c r="B274" t="s">
        <v>1444</v>
      </c>
      <c r="C274" t="s">
        <v>1445</v>
      </c>
      <c r="D274" t="s">
        <v>47</v>
      </c>
      <c r="E274" t="s">
        <v>85</v>
      </c>
      <c r="G274" t="s">
        <v>636</v>
      </c>
      <c r="H274">
        <v>1</v>
      </c>
      <c r="I274" t="s">
        <v>35</v>
      </c>
      <c r="J274" t="s">
        <v>58</v>
      </c>
    </row>
    <row r="275" spans="1:10" x14ac:dyDescent="0.3">
      <c r="A275" t="s">
        <v>616</v>
      </c>
      <c r="B275" t="s">
        <v>1170</v>
      </c>
      <c r="C275" t="s">
        <v>1171</v>
      </c>
      <c r="D275" t="s">
        <v>47</v>
      </c>
      <c r="E275" t="s">
        <v>34</v>
      </c>
      <c r="G275" t="s">
        <v>618</v>
      </c>
      <c r="H275">
        <v>0.2</v>
      </c>
      <c r="I275" t="s">
        <v>35</v>
      </c>
      <c r="J275" t="s">
        <v>71</v>
      </c>
    </row>
    <row r="276" spans="1:10" x14ac:dyDescent="0.3">
      <c r="A276" t="s">
        <v>715</v>
      </c>
      <c r="B276" t="s">
        <v>1237</v>
      </c>
      <c r="C276" t="s">
        <v>1238</v>
      </c>
      <c r="D276" t="s">
        <v>33</v>
      </c>
      <c r="E276" t="s">
        <v>76</v>
      </c>
      <c r="G276">
        <v>43504</v>
      </c>
      <c r="H276">
        <v>1</v>
      </c>
      <c r="I276" t="s">
        <v>35</v>
      </c>
      <c r="J276" t="s">
        <v>36</v>
      </c>
    </row>
    <row r="277" spans="1:10" x14ac:dyDescent="0.3">
      <c r="A277" t="s">
        <v>903</v>
      </c>
      <c r="B277" t="s">
        <v>1391</v>
      </c>
      <c r="C277" t="s">
        <v>1392</v>
      </c>
      <c r="D277" t="s">
        <v>47</v>
      </c>
      <c r="E277" t="s">
        <v>53</v>
      </c>
      <c r="G277">
        <v>44207</v>
      </c>
      <c r="H277">
        <v>0.7</v>
      </c>
      <c r="I277" t="s">
        <v>35</v>
      </c>
      <c r="J277" t="s">
        <v>136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D1423-BDFC-4CBF-A1B6-C8B196F8997A}">
  <dimension ref="A1:O281"/>
  <sheetViews>
    <sheetView workbookViewId="0">
      <selection activeCell="O11" sqref="O11"/>
    </sheetView>
  </sheetViews>
  <sheetFormatPr defaultRowHeight="14.2" x14ac:dyDescent="0.3"/>
  <cols>
    <col min="1" max="1" width="30.3984375" customWidth="1"/>
    <col min="2" max="2" width="23.19921875" customWidth="1"/>
    <col min="3" max="3" width="9.8984375" customWidth="1"/>
    <col min="4" max="4" width="14.69921875" customWidth="1"/>
    <col min="5" max="5" width="16.3984375" customWidth="1"/>
    <col min="6" max="6" width="12.09765625" customWidth="1"/>
    <col min="7" max="7" width="12.296875" customWidth="1"/>
    <col min="8" max="8" width="12.69921875" customWidth="1"/>
    <col min="9" max="9" width="11.8984375" customWidth="1"/>
    <col min="10" max="10" width="12.8984375" customWidth="1"/>
    <col min="11" max="11" width="36.796875" customWidth="1"/>
    <col min="12" max="12" width="12.8984375" customWidth="1"/>
    <col min="13" max="13" width="43.796875" customWidth="1"/>
    <col min="14" max="14" width="57.19921875" customWidth="1"/>
    <col min="15" max="15" width="3.296875" customWidth="1"/>
  </cols>
  <sheetData>
    <row r="1" spans="1:15" ht="14.5" x14ac:dyDescent="0.3">
      <c r="A1" t="s">
        <v>1527</v>
      </c>
      <c r="L1" s="113" t="s">
        <v>1535</v>
      </c>
      <c r="M1" s="113" t="s">
        <v>1538</v>
      </c>
      <c r="N1" s="113" t="s">
        <v>1536</v>
      </c>
      <c r="O1" s="113" t="s">
        <v>1560</v>
      </c>
    </row>
    <row r="2" spans="1:15" ht="28.8" x14ac:dyDescent="0.3">
      <c r="L2" s="8" t="s">
        <v>1537</v>
      </c>
      <c r="M2" s="6" t="s">
        <v>1551</v>
      </c>
      <c r="N2" s="7" t="s">
        <v>1552</v>
      </c>
      <c r="O2" s="6" t="s">
        <v>1550</v>
      </c>
    </row>
    <row r="3" spans="1:15" ht="14.5" x14ac:dyDescent="0.3">
      <c r="A3" t="s">
        <v>1531</v>
      </c>
      <c r="D3" s="37">
        <f>SUM(Table_Lookup[Salary])</f>
        <v>19501690.560000002</v>
      </c>
      <c r="L3" s="8"/>
      <c r="M3" s="8" t="s">
        <v>1540</v>
      </c>
      <c r="N3" s="75" t="s">
        <v>1539</v>
      </c>
      <c r="O3" s="8" t="s">
        <v>1543</v>
      </c>
    </row>
    <row r="4" spans="1:15" ht="14.5" x14ac:dyDescent="0.3">
      <c r="A4">
        <f>COUNTA(Table_Lookup[Emp ID])</f>
        <v>276</v>
      </c>
      <c r="B4">
        <f>COUNTA(_xlfn.ANCHORARRAY(B6))</f>
        <v>13</v>
      </c>
      <c r="D4" s="111">
        <f>AVERAGE(Table_Lookup[Salary])</f>
        <v>73314.626165413545</v>
      </c>
      <c r="G4" s="112">
        <f>MAX(Table_Lookup[Salary])</f>
        <v>208873</v>
      </c>
      <c r="L4" s="8" t="s">
        <v>1548</v>
      </c>
      <c r="M4" s="8" t="s">
        <v>1541</v>
      </c>
      <c r="N4" s="75" t="s">
        <v>1542</v>
      </c>
      <c r="O4" s="8" t="s">
        <v>1544</v>
      </c>
    </row>
    <row r="5" spans="1:15" ht="14.5" x14ac:dyDescent="0.3">
      <c r="A5" s="83" t="s">
        <v>1528</v>
      </c>
      <c r="B5" s="83" t="s">
        <v>1529</v>
      </c>
      <c r="C5" s="83" t="s">
        <v>1530</v>
      </c>
      <c r="D5" s="83" t="s">
        <v>1532</v>
      </c>
      <c r="E5" s="172" t="s">
        <v>1533</v>
      </c>
      <c r="F5" s="172"/>
      <c r="G5" s="83" t="s">
        <v>1020</v>
      </c>
      <c r="H5" s="116" t="s">
        <v>1574</v>
      </c>
      <c r="I5" s="116" t="s">
        <v>1575</v>
      </c>
      <c r="L5" s="8" t="s">
        <v>1549</v>
      </c>
      <c r="M5" s="8" t="s">
        <v>1546</v>
      </c>
      <c r="N5" s="75" t="s">
        <v>1547</v>
      </c>
      <c r="O5" s="8" t="s">
        <v>1545</v>
      </c>
    </row>
    <row r="6" spans="1:15" ht="14.5" x14ac:dyDescent="0.3">
      <c r="A6" t="str" cm="1">
        <f t="array" ref="A6:A281">(Table_Lookup[Department])</f>
        <v>Accounting</v>
      </c>
      <c r="B6" t="str" cm="1">
        <f t="array" ref="B6:B18">_xlfn._xlws.SORT(_xlfn.UNIQUE(Table_Lookup[Department]))</f>
        <v>Accounting</v>
      </c>
      <c r="C6" cm="1">
        <f t="array" ref="C6:C18">COUNTIFS(Table_Lookup[Department],_xlfn.ANCHORARRAY(B6))</f>
        <v>28</v>
      </c>
      <c r="D6" s="74" cm="1">
        <f t="array" ref="D6:D18">AVERAGEIFS(Table_Lookup[Salary],Table_Lookup[Department],_xlfn.ANCHORARRAY(B6))</f>
        <v>74957.540370370378</v>
      </c>
      <c r="E6" s="37" cm="1">
        <f t="array" ref="E6:E18">_xlfn.ANCHORARRAY(D6)-D4</f>
        <v>1642.9142049568327</v>
      </c>
      <c r="F6" s="115" cm="1">
        <f t="array" ref="F6:F18">_xlfn.ANCHORARRAY(E6)-E4</f>
        <v>1642.9142049568327</v>
      </c>
      <c r="G6" s="74" cm="1">
        <f t="array" ref="G6:G18">_xlfn.MAXIFS(Table_Lookup[Salary],Table_Lookup[Department],_xlfn.ANCHORARRAY(B6))</f>
        <v>208873</v>
      </c>
      <c r="H6" s="37"/>
      <c r="L6" s="8" t="s">
        <v>1028</v>
      </c>
      <c r="M6" s="8" t="s">
        <v>1553</v>
      </c>
      <c r="N6" s="75" t="s">
        <v>1554</v>
      </c>
      <c r="O6" s="8" t="s">
        <v>1555</v>
      </c>
    </row>
    <row r="7" spans="1:15" ht="14.5" x14ac:dyDescent="0.3">
      <c r="A7" t="str">
        <v>Cleaning</v>
      </c>
      <c r="B7" t="str">
        <v>Business Development</v>
      </c>
      <c r="C7">
        <v>26</v>
      </c>
      <c r="D7" s="74">
        <v>79781.805769230778</v>
      </c>
      <c r="E7" s="37">
        <v>6467.1796038172324</v>
      </c>
      <c r="F7" s="115">
        <v>6467.1796038172324</v>
      </c>
      <c r="G7" s="74">
        <v>110042.37</v>
      </c>
      <c r="H7" s="37"/>
      <c r="L7" s="8" t="s">
        <v>1561</v>
      </c>
      <c r="M7" s="8" t="s">
        <v>1562</v>
      </c>
      <c r="N7" s="75" t="s">
        <v>1563</v>
      </c>
      <c r="O7" s="8" t="s">
        <v>1564</v>
      </c>
    </row>
    <row r="8" spans="1:15" ht="14.5" x14ac:dyDescent="0.3">
      <c r="A8" t="str">
        <v>Services</v>
      </c>
      <c r="B8" t="str">
        <v>Cleaning</v>
      </c>
      <c r="C8">
        <v>9</v>
      </c>
      <c r="D8" s="74">
        <v>102288.41875</v>
      </c>
      <c r="E8" s="37">
        <v>28973.792584586452</v>
      </c>
      <c r="F8" s="115">
        <v>28973.792584586452</v>
      </c>
      <c r="G8" s="74">
        <v>208873</v>
      </c>
      <c r="H8" s="37"/>
      <c r="L8" s="8" t="s">
        <v>1556</v>
      </c>
      <c r="M8" s="8" t="s">
        <v>1557</v>
      </c>
      <c r="N8" s="75" t="s">
        <v>1558</v>
      </c>
      <c r="O8" s="8" t="s">
        <v>1559</v>
      </c>
    </row>
    <row r="9" spans="1:15" ht="14.5" x14ac:dyDescent="0.3">
      <c r="A9" t="str">
        <v>Accounting</v>
      </c>
      <c r="B9" t="str">
        <v>Engineering</v>
      </c>
      <c r="C9">
        <v>20</v>
      </c>
      <c r="D9" s="74">
        <v>73787.007368421066</v>
      </c>
      <c r="E9" s="37">
        <v>472.38120300752053</v>
      </c>
      <c r="F9" s="115">
        <v>472.38120300752053</v>
      </c>
      <c r="G9" s="74">
        <v>118976.16</v>
      </c>
      <c r="H9" s="37"/>
      <c r="L9" s="82" t="s">
        <v>1566</v>
      </c>
      <c r="M9" s="82" t="s">
        <v>1567</v>
      </c>
      <c r="N9" s="84" t="s">
        <v>1565</v>
      </c>
      <c r="O9" s="82" t="s">
        <v>1568</v>
      </c>
    </row>
    <row r="10" spans="1:15" ht="14.5" x14ac:dyDescent="0.3">
      <c r="A10" t="str">
        <v>Engineering</v>
      </c>
      <c r="B10" t="str">
        <v>Human Resources</v>
      </c>
      <c r="C10">
        <v>23</v>
      </c>
      <c r="D10" s="74">
        <v>73109.377727272731</v>
      </c>
      <c r="E10" s="37">
        <v>-205.24843814081396</v>
      </c>
      <c r="F10" s="115">
        <v>-205.24843814081396</v>
      </c>
      <c r="G10" s="74">
        <v>103494.94</v>
      </c>
      <c r="H10" s="37"/>
      <c r="L10" s="82" t="s">
        <v>1571</v>
      </c>
      <c r="M10" s="82" t="s">
        <v>1570</v>
      </c>
      <c r="N10" s="84" t="s">
        <v>1569</v>
      </c>
      <c r="O10" s="82" t="s">
        <v>1572</v>
      </c>
    </row>
    <row r="11" spans="1:15" ht="14.5" x14ac:dyDescent="0.3">
      <c r="A11" t="str">
        <v>Cleaning</v>
      </c>
      <c r="B11" t="str">
        <v>Legal</v>
      </c>
      <c r="C11">
        <v>24</v>
      </c>
      <c r="D11" s="74">
        <v>61395.342173913028</v>
      </c>
      <c r="E11" s="37">
        <v>-11919.283991500517</v>
      </c>
      <c r="F11" s="115">
        <v>-11919.283991500517</v>
      </c>
      <c r="G11" s="74">
        <v>113747.56</v>
      </c>
      <c r="H11" s="37"/>
      <c r="L11" s="82" t="s">
        <v>1579</v>
      </c>
      <c r="M11" s="82" t="s">
        <v>1578</v>
      </c>
      <c r="N11" s="84" t="s">
        <v>1576</v>
      </c>
      <c r="O11" s="82" t="s">
        <v>1577</v>
      </c>
    </row>
    <row r="12" spans="1:15" ht="14.5" x14ac:dyDescent="0.3">
      <c r="A12" t="str">
        <v>Training</v>
      </c>
      <c r="B12" t="str">
        <v>Marketing</v>
      </c>
      <c r="C12">
        <v>12</v>
      </c>
      <c r="D12" s="74">
        <v>64441.30000000001</v>
      </c>
      <c r="E12" s="37">
        <v>-8873.3261654135349</v>
      </c>
      <c r="F12" s="115">
        <v>-8873.3261654135349</v>
      </c>
      <c r="G12" s="74">
        <v>104903.79</v>
      </c>
      <c r="H12" s="37"/>
    </row>
    <row r="13" spans="1:15" ht="14.5" x14ac:dyDescent="0.3">
      <c r="A13" t="str">
        <v>Training</v>
      </c>
      <c r="B13" t="str">
        <v>Product Management</v>
      </c>
      <c r="C13">
        <v>30</v>
      </c>
      <c r="D13" s="74">
        <v>75179.064482758622</v>
      </c>
      <c r="E13" s="37">
        <v>1864.4383173450769</v>
      </c>
      <c r="F13" s="115">
        <v>1864.4383173450769</v>
      </c>
      <c r="G13" s="74">
        <v>115191.38</v>
      </c>
      <c r="H13" s="37"/>
    </row>
    <row r="14" spans="1:15" x14ac:dyDescent="0.3">
      <c r="A14" t="str">
        <v>Product Management</v>
      </c>
      <c r="B14" t="str">
        <v>Research and Development</v>
      </c>
      <c r="C14">
        <v>21</v>
      </c>
      <c r="D14" s="74">
        <v>63389.146315789476</v>
      </c>
      <c r="E14" s="37">
        <v>-9925.4798496240692</v>
      </c>
      <c r="F14" s="115">
        <v>-9925.4798496240692</v>
      </c>
      <c r="G14" s="74">
        <v>99683.67</v>
      </c>
      <c r="H14" s="37"/>
    </row>
    <row r="15" spans="1:15" x14ac:dyDescent="0.3">
      <c r="A15" t="str">
        <v>Cleaning</v>
      </c>
      <c r="B15" t="str">
        <v>Sales</v>
      </c>
      <c r="C15">
        <v>18</v>
      </c>
      <c r="D15" s="74">
        <v>71897.095555555556</v>
      </c>
      <c r="E15" s="37">
        <v>-1417.5306098579895</v>
      </c>
      <c r="F15" s="115">
        <v>-1417.5306098579895</v>
      </c>
      <c r="G15" s="74">
        <v>102129.37</v>
      </c>
      <c r="H15" s="37"/>
    </row>
    <row r="16" spans="1:15" x14ac:dyDescent="0.3">
      <c r="A16" t="str">
        <v>Training</v>
      </c>
      <c r="B16" t="str">
        <v>Services</v>
      </c>
      <c r="C16">
        <v>21</v>
      </c>
      <c r="D16" s="74">
        <v>74673.974761904756</v>
      </c>
      <c r="E16" s="37">
        <v>1359.3485964912106</v>
      </c>
      <c r="F16" s="115">
        <v>1359.3485964912106</v>
      </c>
      <c r="G16" s="74">
        <v>120000</v>
      </c>
      <c r="H16" s="37"/>
    </row>
    <row r="17" spans="1:8" x14ac:dyDescent="0.3">
      <c r="A17" t="str">
        <v>Engineering</v>
      </c>
      <c r="B17" t="str">
        <v>Support</v>
      </c>
      <c r="C17">
        <v>19</v>
      </c>
      <c r="D17" s="74">
        <v>62741.763888888876</v>
      </c>
      <c r="E17" s="37">
        <v>-10572.862276524669</v>
      </c>
      <c r="F17" s="115">
        <v>-10572.862276524669</v>
      </c>
      <c r="G17" s="74">
        <v>104802.63</v>
      </c>
      <c r="H17" s="37"/>
    </row>
    <row r="18" spans="1:8" x14ac:dyDescent="0.3">
      <c r="A18" t="str">
        <v>Engineering</v>
      </c>
      <c r="B18" t="str">
        <v>Training</v>
      </c>
      <c r="C18">
        <v>25</v>
      </c>
      <c r="D18" s="74">
        <v>83883.965000000011</v>
      </c>
      <c r="E18" s="37">
        <v>10569.338834586466</v>
      </c>
      <c r="F18" s="115">
        <v>10569.338834586466</v>
      </c>
      <c r="G18" s="74">
        <v>116767.63</v>
      </c>
      <c r="H18" s="37"/>
    </row>
    <row r="19" spans="1:8" x14ac:dyDescent="0.3">
      <c r="A19" t="str">
        <v>Accounting</v>
      </c>
      <c r="B19" t="s">
        <v>201</v>
      </c>
      <c r="C19">
        <f>SUM(C6:C18)</f>
        <v>276</v>
      </c>
      <c r="H19" s="37"/>
    </row>
    <row r="20" spans="1:8" x14ac:dyDescent="0.3">
      <c r="A20" t="str">
        <v>Legal</v>
      </c>
      <c r="H20" s="37"/>
    </row>
    <row r="21" spans="1:8" x14ac:dyDescent="0.3">
      <c r="A21" t="str">
        <v>Legal</v>
      </c>
      <c r="H21" s="37"/>
    </row>
    <row r="22" spans="1:8" x14ac:dyDescent="0.3">
      <c r="A22" t="str">
        <v>Legal</v>
      </c>
      <c r="H22" s="37"/>
    </row>
    <row r="23" spans="1:8" x14ac:dyDescent="0.3">
      <c r="A23" t="str">
        <v>Training</v>
      </c>
      <c r="H23" s="37"/>
    </row>
    <row r="24" spans="1:8" x14ac:dyDescent="0.3">
      <c r="A24" t="str">
        <v>Training</v>
      </c>
      <c r="H24" s="37"/>
    </row>
    <row r="25" spans="1:8" x14ac:dyDescent="0.3">
      <c r="A25" t="str">
        <v>Cleaning</v>
      </c>
      <c r="H25" s="37"/>
    </row>
    <row r="26" spans="1:8" x14ac:dyDescent="0.3">
      <c r="A26" t="str">
        <v>Services</v>
      </c>
      <c r="H26" s="37"/>
    </row>
    <row r="27" spans="1:8" x14ac:dyDescent="0.3">
      <c r="A27" t="str">
        <v>Services</v>
      </c>
      <c r="H27" s="37"/>
    </row>
    <row r="28" spans="1:8" x14ac:dyDescent="0.3">
      <c r="A28" t="str">
        <v>Product Management</v>
      </c>
      <c r="H28" s="37"/>
    </row>
    <row r="29" spans="1:8" x14ac:dyDescent="0.3">
      <c r="A29" t="str">
        <v>Legal</v>
      </c>
      <c r="H29" s="37"/>
    </row>
    <row r="30" spans="1:8" x14ac:dyDescent="0.3">
      <c r="A30" t="str">
        <v>Product Management</v>
      </c>
      <c r="H30" s="37"/>
    </row>
    <row r="31" spans="1:8" x14ac:dyDescent="0.3">
      <c r="A31" t="str">
        <v>Business Development</v>
      </c>
      <c r="H31" s="37"/>
    </row>
    <row r="32" spans="1:8" x14ac:dyDescent="0.3">
      <c r="A32" t="str">
        <v>Services</v>
      </c>
      <c r="H32" s="37"/>
    </row>
    <row r="33" spans="1:8" x14ac:dyDescent="0.3">
      <c r="A33" t="str">
        <v>Cleaning</v>
      </c>
      <c r="H33" s="37"/>
    </row>
    <row r="34" spans="1:8" x14ac:dyDescent="0.3">
      <c r="A34" t="str">
        <v>Engineering</v>
      </c>
      <c r="H34" s="37"/>
    </row>
    <row r="35" spans="1:8" x14ac:dyDescent="0.3">
      <c r="A35" t="str">
        <v>Accounting</v>
      </c>
      <c r="H35" s="37"/>
    </row>
    <row r="36" spans="1:8" x14ac:dyDescent="0.3">
      <c r="A36" t="str">
        <v>Product Management</v>
      </c>
      <c r="H36" s="37"/>
    </row>
    <row r="37" spans="1:8" x14ac:dyDescent="0.3">
      <c r="A37" t="str">
        <v>Product Management</v>
      </c>
      <c r="H37" s="37"/>
    </row>
    <row r="38" spans="1:8" x14ac:dyDescent="0.3">
      <c r="A38" t="str">
        <v>Product Management</v>
      </c>
      <c r="H38" s="37"/>
    </row>
    <row r="39" spans="1:8" x14ac:dyDescent="0.3">
      <c r="A39" t="str">
        <v>Business Development</v>
      </c>
      <c r="H39" s="37"/>
    </row>
    <row r="40" spans="1:8" x14ac:dyDescent="0.3">
      <c r="A40" t="str">
        <v>Business Development</v>
      </c>
      <c r="H40" s="37"/>
    </row>
    <row r="41" spans="1:8" x14ac:dyDescent="0.3">
      <c r="A41" t="str">
        <v>Marketing</v>
      </c>
      <c r="H41" s="37"/>
    </row>
    <row r="42" spans="1:8" x14ac:dyDescent="0.3">
      <c r="A42" t="str">
        <v>Support</v>
      </c>
      <c r="H42" s="37"/>
    </row>
    <row r="43" spans="1:8" x14ac:dyDescent="0.3">
      <c r="A43" t="str">
        <v>Product Management</v>
      </c>
      <c r="H43" s="37"/>
    </row>
    <row r="44" spans="1:8" x14ac:dyDescent="0.3">
      <c r="A44" t="str">
        <v>Support</v>
      </c>
      <c r="H44" s="37"/>
    </row>
    <row r="45" spans="1:8" x14ac:dyDescent="0.3">
      <c r="A45" t="str">
        <v>Human Resources</v>
      </c>
      <c r="H45" s="37"/>
    </row>
    <row r="46" spans="1:8" x14ac:dyDescent="0.3">
      <c r="A46" t="str">
        <v>Human Resources</v>
      </c>
      <c r="H46" s="37"/>
    </row>
    <row r="47" spans="1:8" x14ac:dyDescent="0.3">
      <c r="A47" t="str">
        <v>Training</v>
      </c>
      <c r="H47" s="37"/>
    </row>
    <row r="48" spans="1:8" x14ac:dyDescent="0.3">
      <c r="A48" t="str">
        <v>Accounting</v>
      </c>
      <c r="H48" s="37"/>
    </row>
    <row r="49" spans="1:8" x14ac:dyDescent="0.3">
      <c r="A49" t="str">
        <v>Sales</v>
      </c>
      <c r="H49" s="37"/>
    </row>
    <row r="50" spans="1:8" x14ac:dyDescent="0.3">
      <c r="A50" t="str">
        <v>Training</v>
      </c>
      <c r="H50" s="37"/>
    </row>
    <row r="51" spans="1:8" x14ac:dyDescent="0.3">
      <c r="A51" t="str">
        <v>Human Resources</v>
      </c>
      <c r="H51" s="37"/>
    </row>
    <row r="52" spans="1:8" x14ac:dyDescent="0.3">
      <c r="A52" t="str">
        <v>Services</v>
      </c>
      <c r="H52" s="37"/>
    </row>
    <row r="53" spans="1:8" x14ac:dyDescent="0.3">
      <c r="A53" t="str">
        <v>Support</v>
      </c>
      <c r="H53" s="37"/>
    </row>
    <row r="54" spans="1:8" x14ac:dyDescent="0.3">
      <c r="A54" t="str">
        <v>Training</v>
      </c>
      <c r="H54" s="37"/>
    </row>
    <row r="55" spans="1:8" x14ac:dyDescent="0.3">
      <c r="A55" t="str">
        <v>Research and Development</v>
      </c>
      <c r="H55" s="37"/>
    </row>
    <row r="56" spans="1:8" x14ac:dyDescent="0.3">
      <c r="A56" t="str">
        <v>Research and Development</v>
      </c>
      <c r="H56" s="37"/>
    </row>
    <row r="57" spans="1:8" x14ac:dyDescent="0.3">
      <c r="A57" t="str">
        <v>Legal</v>
      </c>
      <c r="H57" s="37"/>
    </row>
    <row r="58" spans="1:8" x14ac:dyDescent="0.3">
      <c r="A58" t="str">
        <v>Human Resources</v>
      </c>
      <c r="H58" s="37"/>
    </row>
    <row r="59" spans="1:8" x14ac:dyDescent="0.3">
      <c r="A59" t="str">
        <v>Human Resources</v>
      </c>
      <c r="H59" s="37"/>
    </row>
    <row r="60" spans="1:8" x14ac:dyDescent="0.3">
      <c r="A60" t="str">
        <v>Accounting</v>
      </c>
      <c r="H60" s="37"/>
    </row>
    <row r="61" spans="1:8" x14ac:dyDescent="0.3">
      <c r="A61" t="str">
        <v>Business Development</v>
      </c>
      <c r="H61" s="37"/>
    </row>
    <row r="62" spans="1:8" x14ac:dyDescent="0.3">
      <c r="A62" t="str">
        <v>Engineering</v>
      </c>
      <c r="H62" s="37"/>
    </row>
    <row r="63" spans="1:8" x14ac:dyDescent="0.3">
      <c r="A63" t="str">
        <v>Sales</v>
      </c>
      <c r="H63" s="37"/>
    </row>
    <row r="64" spans="1:8" x14ac:dyDescent="0.3">
      <c r="A64" t="str">
        <v>Sales</v>
      </c>
      <c r="H64" s="37"/>
    </row>
    <row r="65" spans="1:8" x14ac:dyDescent="0.3">
      <c r="A65" t="str">
        <v>Research and Development</v>
      </c>
      <c r="H65" s="37"/>
    </row>
    <row r="66" spans="1:8" x14ac:dyDescent="0.3">
      <c r="A66" t="str">
        <v>Training</v>
      </c>
      <c r="H66" s="37"/>
    </row>
    <row r="67" spans="1:8" x14ac:dyDescent="0.3">
      <c r="A67" t="str">
        <v>Accounting</v>
      </c>
      <c r="H67" s="37"/>
    </row>
    <row r="68" spans="1:8" x14ac:dyDescent="0.3">
      <c r="A68" t="str">
        <v>Training</v>
      </c>
      <c r="H68" s="37"/>
    </row>
    <row r="69" spans="1:8" x14ac:dyDescent="0.3">
      <c r="A69" t="str">
        <v>Support</v>
      </c>
      <c r="H69" s="37"/>
    </row>
    <row r="70" spans="1:8" x14ac:dyDescent="0.3">
      <c r="A70" t="str">
        <v>Engineering</v>
      </c>
      <c r="H70" s="37"/>
    </row>
    <row r="71" spans="1:8" x14ac:dyDescent="0.3">
      <c r="A71" t="str">
        <v>Training</v>
      </c>
      <c r="H71" s="37"/>
    </row>
    <row r="72" spans="1:8" x14ac:dyDescent="0.3">
      <c r="A72" t="str">
        <v>Training</v>
      </c>
      <c r="H72" s="37"/>
    </row>
    <row r="73" spans="1:8" x14ac:dyDescent="0.3">
      <c r="A73" t="str">
        <v>Engineering</v>
      </c>
      <c r="H73" s="37"/>
    </row>
    <row r="74" spans="1:8" x14ac:dyDescent="0.3">
      <c r="A74" t="str">
        <v>Human Resources</v>
      </c>
      <c r="H74" s="37"/>
    </row>
    <row r="75" spans="1:8" x14ac:dyDescent="0.3">
      <c r="A75" t="str">
        <v>Research and Development</v>
      </c>
      <c r="H75" s="37"/>
    </row>
    <row r="76" spans="1:8" x14ac:dyDescent="0.3">
      <c r="A76" t="str">
        <v>Product Management</v>
      </c>
      <c r="H76" s="37"/>
    </row>
    <row r="77" spans="1:8" x14ac:dyDescent="0.3">
      <c r="A77" t="str">
        <v>Accounting</v>
      </c>
      <c r="H77" s="37"/>
    </row>
    <row r="78" spans="1:8" x14ac:dyDescent="0.3">
      <c r="A78" t="str">
        <v>Sales</v>
      </c>
      <c r="H78" s="37"/>
    </row>
    <row r="79" spans="1:8" x14ac:dyDescent="0.3">
      <c r="A79" t="str">
        <v>Business Development</v>
      </c>
      <c r="H79" s="37"/>
    </row>
    <row r="80" spans="1:8" x14ac:dyDescent="0.3">
      <c r="A80" t="str">
        <v>Business Development</v>
      </c>
      <c r="H80" s="37"/>
    </row>
    <row r="81" spans="1:8" x14ac:dyDescent="0.3">
      <c r="A81" t="str">
        <v>Business Development</v>
      </c>
      <c r="H81" s="37"/>
    </row>
    <row r="82" spans="1:8" x14ac:dyDescent="0.3">
      <c r="A82" t="str">
        <v>Legal</v>
      </c>
      <c r="H82" s="37"/>
    </row>
    <row r="83" spans="1:8" x14ac:dyDescent="0.3">
      <c r="A83" t="str">
        <v>Product Management</v>
      </c>
      <c r="H83" s="37"/>
    </row>
    <row r="84" spans="1:8" x14ac:dyDescent="0.3">
      <c r="A84" t="str">
        <v>Legal</v>
      </c>
      <c r="H84" s="37"/>
    </row>
    <row r="85" spans="1:8" x14ac:dyDescent="0.3">
      <c r="A85" t="str">
        <v>Product Management</v>
      </c>
      <c r="H85" s="37"/>
    </row>
    <row r="86" spans="1:8" x14ac:dyDescent="0.3">
      <c r="A86" t="str">
        <v>Services</v>
      </c>
      <c r="H86" s="37"/>
    </row>
    <row r="87" spans="1:8" x14ac:dyDescent="0.3">
      <c r="A87" t="str">
        <v>Services</v>
      </c>
      <c r="H87" s="37"/>
    </row>
    <row r="88" spans="1:8" x14ac:dyDescent="0.3">
      <c r="A88" t="str">
        <v>Marketing</v>
      </c>
      <c r="H88" s="37"/>
    </row>
    <row r="89" spans="1:8" x14ac:dyDescent="0.3">
      <c r="A89" t="str">
        <v>Services</v>
      </c>
      <c r="H89" s="37"/>
    </row>
    <row r="90" spans="1:8" x14ac:dyDescent="0.3">
      <c r="A90" t="str">
        <v>Business Development</v>
      </c>
      <c r="H90" s="37"/>
    </row>
    <row r="91" spans="1:8" x14ac:dyDescent="0.3">
      <c r="A91" t="str">
        <v>Engineering</v>
      </c>
      <c r="H91" s="37"/>
    </row>
    <row r="92" spans="1:8" x14ac:dyDescent="0.3">
      <c r="A92" t="str">
        <v>Support</v>
      </c>
      <c r="H92" s="37"/>
    </row>
    <row r="93" spans="1:8" x14ac:dyDescent="0.3">
      <c r="A93" t="str">
        <v>Business Development</v>
      </c>
      <c r="H93" s="37"/>
    </row>
    <row r="94" spans="1:8" x14ac:dyDescent="0.3">
      <c r="A94" t="str">
        <v>Human Resources</v>
      </c>
      <c r="H94" s="37"/>
    </row>
    <row r="95" spans="1:8" x14ac:dyDescent="0.3">
      <c r="A95" t="str">
        <v>Business Development</v>
      </c>
      <c r="H95" s="37"/>
    </row>
    <row r="96" spans="1:8" x14ac:dyDescent="0.3">
      <c r="A96" t="str">
        <v>Training</v>
      </c>
      <c r="H96" s="37"/>
    </row>
    <row r="97" spans="1:8" x14ac:dyDescent="0.3">
      <c r="A97" t="str">
        <v>Business Development</v>
      </c>
      <c r="H97" s="37"/>
    </row>
    <row r="98" spans="1:8" x14ac:dyDescent="0.3">
      <c r="A98" t="str">
        <v>Research and Development</v>
      </c>
      <c r="H98" s="37"/>
    </row>
    <row r="99" spans="1:8" x14ac:dyDescent="0.3">
      <c r="A99" t="str">
        <v>Human Resources</v>
      </c>
      <c r="H99" s="37"/>
    </row>
    <row r="100" spans="1:8" x14ac:dyDescent="0.3">
      <c r="A100" t="str">
        <v>Sales</v>
      </c>
      <c r="H100" s="37"/>
    </row>
    <row r="101" spans="1:8" x14ac:dyDescent="0.3">
      <c r="A101" t="str">
        <v>Training</v>
      </c>
      <c r="H101" s="37"/>
    </row>
    <row r="102" spans="1:8" x14ac:dyDescent="0.3">
      <c r="A102" t="str">
        <v>Services</v>
      </c>
      <c r="H102" s="37"/>
    </row>
    <row r="103" spans="1:8" x14ac:dyDescent="0.3">
      <c r="A103" t="str">
        <v>Sales</v>
      </c>
      <c r="H103" s="37"/>
    </row>
    <row r="104" spans="1:8" x14ac:dyDescent="0.3">
      <c r="A104" t="str">
        <v>Sales</v>
      </c>
      <c r="H104" s="37"/>
    </row>
    <row r="105" spans="1:8" x14ac:dyDescent="0.3">
      <c r="A105" t="str">
        <v>Research and Development</v>
      </c>
      <c r="H105" s="37"/>
    </row>
    <row r="106" spans="1:8" x14ac:dyDescent="0.3">
      <c r="A106" t="str">
        <v>Human Resources</v>
      </c>
      <c r="H106" s="37"/>
    </row>
    <row r="107" spans="1:8" x14ac:dyDescent="0.3">
      <c r="A107" t="str">
        <v>Sales</v>
      </c>
      <c r="H107" s="37"/>
    </row>
    <row r="108" spans="1:8" x14ac:dyDescent="0.3">
      <c r="A108" t="str">
        <v>Engineering</v>
      </c>
      <c r="H108" s="37"/>
    </row>
    <row r="109" spans="1:8" x14ac:dyDescent="0.3">
      <c r="A109" t="str">
        <v>Services</v>
      </c>
      <c r="H109" s="37"/>
    </row>
    <row r="110" spans="1:8" x14ac:dyDescent="0.3">
      <c r="A110" t="str">
        <v>Sales</v>
      </c>
      <c r="H110" s="37"/>
    </row>
    <row r="111" spans="1:8" x14ac:dyDescent="0.3">
      <c r="A111" t="str">
        <v>Business Development</v>
      </c>
      <c r="H111" s="37"/>
    </row>
    <row r="112" spans="1:8" x14ac:dyDescent="0.3">
      <c r="A112" t="str">
        <v>Business Development</v>
      </c>
      <c r="H112" s="37"/>
    </row>
    <row r="113" spans="1:8" x14ac:dyDescent="0.3">
      <c r="A113" t="str">
        <v>Business Development</v>
      </c>
      <c r="H113" s="37"/>
    </row>
    <row r="114" spans="1:8" x14ac:dyDescent="0.3">
      <c r="A114" t="str">
        <v>Product Management</v>
      </c>
      <c r="H114" s="37"/>
    </row>
    <row r="115" spans="1:8" x14ac:dyDescent="0.3">
      <c r="A115" t="str">
        <v>Business Development</v>
      </c>
      <c r="H115" s="37"/>
    </row>
    <row r="116" spans="1:8" x14ac:dyDescent="0.3">
      <c r="A116" t="str">
        <v>Business Development</v>
      </c>
      <c r="H116" s="37"/>
    </row>
    <row r="117" spans="1:8" x14ac:dyDescent="0.3">
      <c r="A117" t="str">
        <v>Training</v>
      </c>
      <c r="H117" s="37"/>
    </row>
    <row r="118" spans="1:8" x14ac:dyDescent="0.3">
      <c r="A118" t="str">
        <v>Training</v>
      </c>
      <c r="H118" s="37"/>
    </row>
    <row r="119" spans="1:8" x14ac:dyDescent="0.3">
      <c r="A119" t="str">
        <v>Research and Development</v>
      </c>
      <c r="H119" s="37"/>
    </row>
    <row r="120" spans="1:8" x14ac:dyDescent="0.3">
      <c r="A120" t="str">
        <v>Engineering</v>
      </c>
      <c r="H120" s="37"/>
    </row>
    <row r="121" spans="1:8" x14ac:dyDescent="0.3">
      <c r="A121" t="str">
        <v>Engineering</v>
      </c>
      <c r="H121" s="37"/>
    </row>
    <row r="122" spans="1:8" x14ac:dyDescent="0.3">
      <c r="A122" t="str">
        <v>Sales</v>
      </c>
      <c r="H122" s="37"/>
    </row>
    <row r="123" spans="1:8" x14ac:dyDescent="0.3">
      <c r="A123" t="str">
        <v>Product Management</v>
      </c>
      <c r="H123" s="37"/>
    </row>
    <row r="124" spans="1:8" x14ac:dyDescent="0.3">
      <c r="A124" t="str">
        <v>Services</v>
      </c>
      <c r="H124" s="37"/>
    </row>
    <row r="125" spans="1:8" x14ac:dyDescent="0.3">
      <c r="A125" t="str">
        <v>Sales</v>
      </c>
      <c r="H125" s="37"/>
    </row>
    <row r="126" spans="1:8" x14ac:dyDescent="0.3">
      <c r="A126" t="str">
        <v>Marketing</v>
      </c>
      <c r="H126" s="37"/>
    </row>
    <row r="127" spans="1:8" x14ac:dyDescent="0.3">
      <c r="A127" t="str">
        <v>Human Resources</v>
      </c>
      <c r="H127" s="37"/>
    </row>
    <row r="128" spans="1:8" x14ac:dyDescent="0.3">
      <c r="A128" t="str">
        <v>Accounting</v>
      </c>
      <c r="H128" s="37"/>
    </row>
    <row r="129" spans="1:8" x14ac:dyDescent="0.3">
      <c r="A129" t="str">
        <v>Accounting</v>
      </c>
      <c r="H129" s="37"/>
    </row>
    <row r="130" spans="1:8" x14ac:dyDescent="0.3">
      <c r="A130" t="str">
        <v>Support</v>
      </c>
      <c r="H130" s="37"/>
    </row>
    <row r="131" spans="1:8" x14ac:dyDescent="0.3">
      <c r="A131" t="str">
        <v>Legal</v>
      </c>
      <c r="H131" s="37"/>
    </row>
    <row r="132" spans="1:8" x14ac:dyDescent="0.3">
      <c r="A132" t="str">
        <v>Product Management</v>
      </c>
      <c r="H132" s="37"/>
    </row>
    <row r="133" spans="1:8" x14ac:dyDescent="0.3">
      <c r="A133" t="str">
        <v>Product Management</v>
      </c>
      <c r="H133" s="37"/>
    </row>
    <row r="134" spans="1:8" x14ac:dyDescent="0.3">
      <c r="A134" t="str">
        <v>Research and Development</v>
      </c>
      <c r="H134" s="37"/>
    </row>
    <row r="135" spans="1:8" x14ac:dyDescent="0.3">
      <c r="A135" t="str">
        <v>Human Resources</v>
      </c>
      <c r="H135" s="37"/>
    </row>
    <row r="136" spans="1:8" x14ac:dyDescent="0.3">
      <c r="A136" t="str">
        <v>Business Development</v>
      </c>
      <c r="H136" s="37"/>
    </row>
    <row r="137" spans="1:8" x14ac:dyDescent="0.3">
      <c r="A137" t="str">
        <v>Business Development</v>
      </c>
      <c r="H137" s="37"/>
    </row>
    <row r="138" spans="1:8" x14ac:dyDescent="0.3">
      <c r="A138" t="str">
        <v>Human Resources</v>
      </c>
      <c r="H138" s="37"/>
    </row>
    <row r="139" spans="1:8" x14ac:dyDescent="0.3">
      <c r="A139" t="str">
        <v>Human Resources</v>
      </c>
      <c r="H139" s="37"/>
    </row>
    <row r="140" spans="1:8" x14ac:dyDescent="0.3">
      <c r="A140" t="str">
        <v>Legal</v>
      </c>
      <c r="H140" s="37"/>
    </row>
    <row r="141" spans="1:8" x14ac:dyDescent="0.3">
      <c r="A141" t="str">
        <v>Product Management</v>
      </c>
      <c r="H141" s="37"/>
    </row>
    <row r="142" spans="1:8" x14ac:dyDescent="0.3">
      <c r="A142" t="str">
        <v>Support</v>
      </c>
      <c r="H142" s="37"/>
    </row>
    <row r="143" spans="1:8" x14ac:dyDescent="0.3">
      <c r="A143" t="str">
        <v>Accounting</v>
      </c>
      <c r="H143" s="37"/>
    </row>
    <row r="144" spans="1:8" x14ac:dyDescent="0.3">
      <c r="A144" t="str">
        <v>Accounting</v>
      </c>
      <c r="H144" s="37"/>
    </row>
    <row r="145" spans="1:8" x14ac:dyDescent="0.3">
      <c r="A145" t="str">
        <v>Training</v>
      </c>
      <c r="H145" s="37"/>
    </row>
    <row r="146" spans="1:8" x14ac:dyDescent="0.3">
      <c r="A146" t="str">
        <v>Business Development</v>
      </c>
      <c r="H146" s="37"/>
    </row>
    <row r="147" spans="1:8" x14ac:dyDescent="0.3">
      <c r="A147" t="str">
        <v>Services</v>
      </c>
      <c r="H147" s="37"/>
    </row>
    <row r="148" spans="1:8" x14ac:dyDescent="0.3">
      <c r="A148" t="str">
        <v>Marketing</v>
      </c>
      <c r="H148" s="37"/>
    </row>
    <row r="149" spans="1:8" x14ac:dyDescent="0.3">
      <c r="A149" t="str">
        <v>Business Development</v>
      </c>
      <c r="H149" s="37"/>
    </row>
    <row r="150" spans="1:8" x14ac:dyDescent="0.3">
      <c r="A150" t="str">
        <v>Services</v>
      </c>
      <c r="H150" s="37"/>
    </row>
    <row r="151" spans="1:8" x14ac:dyDescent="0.3">
      <c r="A151" t="str">
        <v>Human Resources</v>
      </c>
      <c r="H151" s="37"/>
    </row>
    <row r="152" spans="1:8" x14ac:dyDescent="0.3">
      <c r="A152" t="str">
        <v>Business Development</v>
      </c>
      <c r="H152" s="37"/>
    </row>
    <row r="153" spans="1:8" x14ac:dyDescent="0.3">
      <c r="A153" t="str">
        <v>Research and Development</v>
      </c>
      <c r="H153" s="37"/>
    </row>
    <row r="154" spans="1:8" x14ac:dyDescent="0.3">
      <c r="A154" t="str">
        <v>Business Development</v>
      </c>
      <c r="H154" s="37"/>
    </row>
    <row r="155" spans="1:8" x14ac:dyDescent="0.3">
      <c r="A155" t="str">
        <v>Accounting</v>
      </c>
      <c r="H155" s="37"/>
    </row>
    <row r="156" spans="1:8" x14ac:dyDescent="0.3">
      <c r="A156" t="str">
        <v>Accounting</v>
      </c>
      <c r="H156" s="37"/>
    </row>
    <row r="157" spans="1:8" x14ac:dyDescent="0.3">
      <c r="A157" t="str">
        <v>Services</v>
      </c>
      <c r="H157" s="37"/>
    </row>
    <row r="158" spans="1:8" x14ac:dyDescent="0.3">
      <c r="A158" t="str">
        <v>Services</v>
      </c>
      <c r="H158" s="37"/>
    </row>
    <row r="159" spans="1:8" x14ac:dyDescent="0.3">
      <c r="A159" t="str">
        <v>Business Development</v>
      </c>
      <c r="H159" s="37"/>
    </row>
    <row r="160" spans="1:8" x14ac:dyDescent="0.3">
      <c r="A160" t="str">
        <v>Accounting</v>
      </c>
      <c r="H160" s="37"/>
    </row>
    <row r="161" spans="1:8" x14ac:dyDescent="0.3">
      <c r="A161" t="str">
        <v>Sales</v>
      </c>
      <c r="H161" s="37"/>
    </row>
    <row r="162" spans="1:8" x14ac:dyDescent="0.3">
      <c r="A162" t="str">
        <v>Product Management</v>
      </c>
      <c r="H162" s="37"/>
    </row>
    <row r="163" spans="1:8" x14ac:dyDescent="0.3">
      <c r="A163" t="str">
        <v>Product Management</v>
      </c>
      <c r="H163" s="37"/>
    </row>
    <row r="164" spans="1:8" x14ac:dyDescent="0.3">
      <c r="A164" t="str">
        <v>Product Management</v>
      </c>
      <c r="H164" s="37"/>
    </row>
    <row r="165" spans="1:8" x14ac:dyDescent="0.3">
      <c r="A165" t="str">
        <v>Marketing</v>
      </c>
      <c r="H165" s="37"/>
    </row>
    <row r="166" spans="1:8" x14ac:dyDescent="0.3">
      <c r="A166" t="str">
        <v>Human Resources</v>
      </c>
      <c r="H166" s="37"/>
    </row>
    <row r="167" spans="1:8" x14ac:dyDescent="0.3">
      <c r="A167" t="str">
        <v>Marketing</v>
      </c>
      <c r="H167" s="37"/>
    </row>
    <row r="168" spans="1:8" x14ac:dyDescent="0.3">
      <c r="A168" t="str">
        <v>Product Management</v>
      </c>
      <c r="H168" s="37"/>
    </row>
    <row r="169" spans="1:8" x14ac:dyDescent="0.3">
      <c r="A169" t="str">
        <v>Product Management</v>
      </c>
      <c r="H169" s="37"/>
    </row>
    <row r="170" spans="1:8" x14ac:dyDescent="0.3">
      <c r="A170" t="str">
        <v>Accounting</v>
      </c>
      <c r="H170" s="37"/>
    </row>
    <row r="171" spans="1:8" x14ac:dyDescent="0.3">
      <c r="A171" t="str">
        <v>Product Management</v>
      </c>
      <c r="H171" s="37"/>
    </row>
    <row r="172" spans="1:8" x14ac:dyDescent="0.3">
      <c r="A172" t="str">
        <v>Product Management</v>
      </c>
      <c r="H172" s="37"/>
    </row>
    <row r="173" spans="1:8" x14ac:dyDescent="0.3">
      <c r="A173" t="str">
        <v>Legal</v>
      </c>
      <c r="H173" s="37"/>
    </row>
    <row r="174" spans="1:8" x14ac:dyDescent="0.3">
      <c r="A174" t="str">
        <v>Legal</v>
      </c>
      <c r="H174" s="37"/>
    </row>
    <row r="175" spans="1:8" x14ac:dyDescent="0.3">
      <c r="A175" t="str">
        <v>Marketing</v>
      </c>
      <c r="H175" s="37"/>
    </row>
    <row r="176" spans="1:8" x14ac:dyDescent="0.3">
      <c r="A176" t="str">
        <v>Marketing</v>
      </c>
      <c r="H176" s="37"/>
    </row>
    <row r="177" spans="1:8" x14ac:dyDescent="0.3">
      <c r="A177" t="str">
        <v>Human Resources</v>
      </c>
      <c r="H177" s="37"/>
    </row>
    <row r="178" spans="1:8" x14ac:dyDescent="0.3">
      <c r="A178" t="str">
        <v>Legal</v>
      </c>
      <c r="H178" s="37"/>
    </row>
    <row r="179" spans="1:8" x14ac:dyDescent="0.3">
      <c r="A179" t="str">
        <v>Support</v>
      </c>
      <c r="H179" s="37"/>
    </row>
    <row r="180" spans="1:8" x14ac:dyDescent="0.3">
      <c r="A180" t="str">
        <v>Legal</v>
      </c>
      <c r="H180" s="37"/>
    </row>
    <row r="181" spans="1:8" x14ac:dyDescent="0.3">
      <c r="A181" t="str">
        <v>Research and Development</v>
      </c>
      <c r="H181" s="37"/>
    </row>
    <row r="182" spans="1:8" x14ac:dyDescent="0.3">
      <c r="A182" t="str">
        <v>Sales</v>
      </c>
      <c r="H182" s="37"/>
    </row>
    <row r="183" spans="1:8" x14ac:dyDescent="0.3">
      <c r="A183" t="str">
        <v>Human Resources</v>
      </c>
      <c r="H183" s="37"/>
    </row>
    <row r="184" spans="1:8" x14ac:dyDescent="0.3">
      <c r="A184" t="str">
        <v>Business Development</v>
      </c>
      <c r="H184" s="37"/>
    </row>
    <row r="185" spans="1:8" x14ac:dyDescent="0.3">
      <c r="A185" t="str">
        <v>Engineering</v>
      </c>
      <c r="H185" s="37"/>
    </row>
    <row r="186" spans="1:8" x14ac:dyDescent="0.3">
      <c r="A186" t="str">
        <v>Support</v>
      </c>
      <c r="H186" s="37"/>
    </row>
    <row r="187" spans="1:8" x14ac:dyDescent="0.3">
      <c r="A187" t="str">
        <v>Legal</v>
      </c>
      <c r="H187" s="37"/>
    </row>
    <row r="188" spans="1:8" x14ac:dyDescent="0.3">
      <c r="A188" t="str">
        <v>Research and Development</v>
      </c>
      <c r="H188" s="37"/>
    </row>
    <row r="189" spans="1:8" x14ac:dyDescent="0.3">
      <c r="A189" t="str">
        <v>Support</v>
      </c>
      <c r="H189" s="37"/>
    </row>
    <row r="190" spans="1:8" x14ac:dyDescent="0.3">
      <c r="A190" t="str">
        <v>Support</v>
      </c>
      <c r="H190" s="37"/>
    </row>
    <row r="191" spans="1:8" x14ac:dyDescent="0.3">
      <c r="A191" t="str">
        <v>Support</v>
      </c>
      <c r="H191" s="37"/>
    </row>
    <row r="192" spans="1:8" x14ac:dyDescent="0.3">
      <c r="A192" t="str">
        <v>Cleaning</v>
      </c>
      <c r="H192" s="37"/>
    </row>
    <row r="193" spans="1:8" x14ac:dyDescent="0.3">
      <c r="A193" t="str">
        <v>Training</v>
      </c>
      <c r="H193" s="37"/>
    </row>
    <row r="194" spans="1:8" x14ac:dyDescent="0.3">
      <c r="A194" t="str">
        <v>Accounting</v>
      </c>
      <c r="H194" s="37"/>
    </row>
    <row r="195" spans="1:8" x14ac:dyDescent="0.3">
      <c r="A195" t="str">
        <v>Accounting</v>
      </c>
      <c r="H195" s="37"/>
    </row>
    <row r="196" spans="1:8" x14ac:dyDescent="0.3">
      <c r="A196" t="str">
        <v>Training</v>
      </c>
      <c r="H196" s="37"/>
    </row>
    <row r="197" spans="1:8" x14ac:dyDescent="0.3">
      <c r="A197" t="str">
        <v>Training</v>
      </c>
      <c r="H197" s="37"/>
    </row>
    <row r="198" spans="1:8" x14ac:dyDescent="0.3">
      <c r="A198" t="str">
        <v>Support</v>
      </c>
      <c r="H198" s="37"/>
    </row>
    <row r="199" spans="1:8" x14ac:dyDescent="0.3">
      <c r="A199" t="str">
        <v>Training</v>
      </c>
      <c r="H199" s="37"/>
    </row>
    <row r="200" spans="1:8" x14ac:dyDescent="0.3">
      <c r="A200" t="str">
        <v>Training</v>
      </c>
      <c r="H200" s="37"/>
    </row>
    <row r="201" spans="1:8" x14ac:dyDescent="0.3">
      <c r="A201" t="str">
        <v>Marketing</v>
      </c>
      <c r="H201" s="37"/>
    </row>
    <row r="202" spans="1:8" x14ac:dyDescent="0.3">
      <c r="A202" t="str">
        <v>Engineering</v>
      </c>
      <c r="H202" s="37"/>
    </row>
    <row r="203" spans="1:8" x14ac:dyDescent="0.3">
      <c r="A203" t="str">
        <v>Accounting</v>
      </c>
      <c r="H203" s="37"/>
    </row>
    <row r="204" spans="1:8" x14ac:dyDescent="0.3">
      <c r="A204" t="str">
        <v>Research and Development</v>
      </c>
      <c r="H204" s="37"/>
    </row>
    <row r="205" spans="1:8" x14ac:dyDescent="0.3">
      <c r="A205" t="str">
        <v>Accounting</v>
      </c>
      <c r="H205" s="37"/>
    </row>
    <row r="206" spans="1:8" x14ac:dyDescent="0.3">
      <c r="A206" t="str">
        <v>Accounting</v>
      </c>
      <c r="H206" s="37"/>
    </row>
    <row r="207" spans="1:8" x14ac:dyDescent="0.3">
      <c r="A207" t="str">
        <v>Product Management</v>
      </c>
      <c r="H207" s="37"/>
    </row>
    <row r="208" spans="1:8" x14ac:dyDescent="0.3">
      <c r="A208" t="str">
        <v>Cleaning</v>
      </c>
      <c r="H208" s="37"/>
    </row>
    <row r="209" spans="1:8" x14ac:dyDescent="0.3">
      <c r="A209" t="str">
        <v>Engineering</v>
      </c>
      <c r="H209" s="37"/>
    </row>
    <row r="210" spans="1:8" x14ac:dyDescent="0.3">
      <c r="A210" t="str">
        <v>Research and Development</v>
      </c>
      <c r="H210" s="37"/>
    </row>
    <row r="211" spans="1:8" x14ac:dyDescent="0.3">
      <c r="A211" t="str">
        <v>Human Resources</v>
      </c>
      <c r="H211" s="37"/>
    </row>
    <row r="212" spans="1:8" x14ac:dyDescent="0.3">
      <c r="A212" t="str">
        <v>Accounting</v>
      </c>
      <c r="H212" s="37"/>
    </row>
    <row r="213" spans="1:8" x14ac:dyDescent="0.3">
      <c r="A213" t="str">
        <v>Product Management</v>
      </c>
      <c r="H213" s="37"/>
    </row>
    <row r="214" spans="1:8" x14ac:dyDescent="0.3">
      <c r="A214" t="str">
        <v>Human Resources</v>
      </c>
      <c r="H214" s="37"/>
    </row>
    <row r="215" spans="1:8" x14ac:dyDescent="0.3">
      <c r="A215" t="str">
        <v>Services</v>
      </c>
      <c r="H215" s="37"/>
    </row>
    <row r="216" spans="1:8" x14ac:dyDescent="0.3">
      <c r="A216" t="str">
        <v>Sales</v>
      </c>
      <c r="H216" s="37"/>
    </row>
    <row r="217" spans="1:8" x14ac:dyDescent="0.3">
      <c r="A217" t="str">
        <v>Engineering</v>
      </c>
      <c r="H217" s="37"/>
    </row>
    <row r="218" spans="1:8" x14ac:dyDescent="0.3">
      <c r="A218" t="str">
        <v>Research and Development</v>
      </c>
      <c r="H218" s="37"/>
    </row>
    <row r="219" spans="1:8" x14ac:dyDescent="0.3">
      <c r="A219" t="str">
        <v>Accounting</v>
      </c>
      <c r="H219" s="37"/>
    </row>
    <row r="220" spans="1:8" x14ac:dyDescent="0.3">
      <c r="A220" t="str">
        <v>Research and Development</v>
      </c>
      <c r="H220" s="37"/>
    </row>
    <row r="221" spans="1:8" x14ac:dyDescent="0.3">
      <c r="A221" t="str">
        <v>Cleaning</v>
      </c>
      <c r="H221" s="37"/>
    </row>
    <row r="222" spans="1:8" x14ac:dyDescent="0.3">
      <c r="A222" t="str">
        <v>Engineering</v>
      </c>
      <c r="H222" s="37"/>
    </row>
    <row r="223" spans="1:8" x14ac:dyDescent="0.3">
      <c r="A223" t="str">
        <v>Services</v>
      </c>
      <c r="H223" s="37"/>
    </row>
    <row r="224" spans="1:8" x14ac:dyDescent="0.3">
      <c r="A224" t="str">
        <v>Services</v>
      </c>
      <c r="H224" s="37"/>
    </row>
    <row r="225" spans="1:8" x14ac:dyDescent="0.3">
      <c r="A225" t="str">
        <v>Sales</v>
      </c>
      <c r="H225" s="37"/>
    </row>
    <row r="226" spans="1:8" x14ac:dyDescent="0.3">
      <c r="A226" t="str">
        <v>Sales</v>
      </c>
      <c r="H226" s="37"/>
    </row>
    <row r="227" spans="1:8" x14ac:dyDescent="0.3">
      <c r="A227" t="str">
        <v>Marketing</v>
      </c>
      <c r="H227" s="37"/>
    </row>
    <row r="228" spans="1:8" x14ac:dyDescent="0.3">
      <c r="A228" t="str">
        <v>Product Management</v>
      </c>
      <c r="H228" s="37"/>
    </row>
    <row r="229" spans="1:8" x14ac:dyDescent="0.3">
      <c r="A229" t="str">
        <v>Product Management</v>
      </c>
      <c r="H229" s="37"/>
    </row>
    <row r="230" spans="1:8" x14ac:dyDescent="0.3">
      <c r="A230" t="str">
        <v>Engineering</v>
      </c>
      <c r="H230" s="37"/>
    </row>
    <row r="231" spans="1:8" x14ac:dyDescent="0.3">
      <c r="A231" t="str">
        <v>Business Development</v>
      </c>
      <c r="H231" s="37"/>
    </row>
    <row r="232" spans="1:8" x14ac:dyDescent="0.3">
      <c r="A232" t="str">
        <v>Research and Development</v>
      </c>
      <c r="H232" s="37"/>
    </row>
    <row r="233" spans="1:8" x14ac:dyDescent="0.3">
      <c r="A233" t="str">
        <v>Research and Development</v>
      </c>
      <c r="H233" s="37"/>
    </row>
    <row r="234" spans="1:8" x14ac:dyDescent="0.3">
      <c r="A234" t="str">
        <v>Sales</v>
      </c>
      <c r="H234" s="37"/>
    </row>
    <row r="235" spans="1:8" x14ac:dyDescent="0.3">
      <c r="A235" t="str">
        <v>Accounting</v>
      </c>
      <c r="H235" s="37"/>
    </row>
    <row r="236" spans="1:8" x14ac:dyDescent="0.3">
      <c r="A236" t="str">
        <v>Product Management</v>
      </c>
      <c r="H236" s="37"/>
    </row>
    <row r="237" spans="1:8" x14ac:dyDescent="0.3">
      <c r="A237" t="str">
        <v>Product Management</v>
      </c>
      <c r="H237" s="37"/>
    </row>
    <row r="238" spans="1:8" x14ac:dyDescent="0.3">
      <c r="A238" t="str">
        <v>Training</v>
      </c>
      <c r="H238" s="37"/>
    </row>
    <row r="239" spans="1:8" x14ac:dyDescent="0.3">
      <c r="A239" t="str">
        <v>Training</v>
      </c>
      <c r="H239" s="37"/>
    </row>
    <row r="240" spans="1:8" x14ac:dyDescent="0.3">
      <c r="A240" t="str">
        <v>Marketing</v>
      </c>
      <c r="H240" s="37"/>
    </row>
    <row r="241" spans="1:8" x14ac:dyDescent="0.3">
      <c r="A241" t="str">
        <v>Support</v>
      </c>
      <c r="H241" s="37"/>
    </row>
    <row r="242" spans="1:8" x14ac:dyDescent="0.3">
      <c r="A242" t="str">
        <v>Support</v>
      </c>
      <c r="H242" s="37"/>
    </row>
    <row r="243" spans="1:8" x14ac:dyDescent="0.3">
      <c r="A243" t="str">
        <v>Accounting</v>
      </c>
      <c r="H243" s="37"/>
    </row>
    <row r="244" spans="1:8" x14ac:dyDescent="0.3">
      <c r="A244" t="str">
        <v>Accounting</v>
      </c>
      <c r="H244" s="37"/>
    </row>
    <row r="245" spans="1:8" x14ac:dyDescent="0.3">
      <c r="A245" t="str">
        <v>Engineering</v>
      </c>
      <c r="H245" s="37"/>
    </row>
    <row r="246" spans="1:8" x14ac:dyDescent="0.3">
      <c r="A246" t="str">
        <v>Human Resources</v>
      </c>
      <c r="H246" s="37"/>
    </row>
    <row r="247" spans="1:8" x14ac:dyDescent="0.3">
      <c r="A247" t="str">
        <v>Accounting</v>
      </c>
      <c r="H247" s="37"/>
    </row>
    <row r="248" spans="1:8" x14ac:dyDescent="0.3">
      <c r="A248" t="str">
        <v>Business Development</v>
      </c>
      <c r="H248" s="37"/>
    </row>
    <row r="249" spans="1:8" x14ac:dyDescent="0.3">
      <c r="A249" t="str">
        <v>Legal</v>
      </c>
      <c r="H249" s="37"/>
    </row>
    <row r="250" spans="1:8" x14ac:dyDescent="0.3">
      <c r="A250" t="str">
        <v>Services</v>
      </c>
      <c r="H250" s="37"/>
    </row>
    <row r="251" spans="1:8" x14ac:dyDescent="0.3">
      <c r="A251" t="str">
        <v>Sales</v>
      </c>
      <c r="H251" s="37"/>
    </row>
    <row r="252" spans="1:8" x14ac:dyDescent="0.3">
      <c r="A252" t="str">
        <v>Marketing</v>
      </c>
      <c r="H252" s="37"/>
    </row>
    <row r="253" spans="1:8" x14ac:dyDescent="0.3">
      <c r="A253" t="str">
        <v>Product Management</v>
      </c>
      <c r="H253" s="37"/>
    </row>
    <row r="254" spans="1:8" x14ac:dyDescent="0.3">
      <c r="A254" t="str">
        <v>Services</v>
      </c>
      <c r="H254" s="37"/>
    </row>
    <row r="255" spans="1:8" x14ac:dyDescent="0.3">
      <c r="A255" t="str">
        <v>Legal</v>
      </c>
      <c r="H255" s="37"/>
    </row>
    <row r="256" spans="1:8" x14ac:dyDescent="0.3">
      <c r="A256" t="str">
        <v>Legal</v>
      </c>
      <c r="H256" s="37"/>
    </row>
    <row r="257" spans="1:8" x14ac:dyDescent="0.3">
      <c r="A257" t="str">
        <v>Support</v>
      </c>
      <c r="H257" s="37"/>
    </row>
    <row r="258" spans="1:8" x14ac:dyDescent="0.3">
      <c r="A258" t="str">
        <v>Human Resources</v>
      </c>
      <c r="H258" s="37"/>
    </row>
    <row r="259" spans="1:8" x14ac:dyDescent="0.3">
      <c r="A259" t="str">
        <v>Legal</v>
      </c>
      <c r="H259" s="37"/>
    </row>
    <row r="260" spans="1:8" x14ac:dyDescent="0.3">
      <c r="A260" t="str">
        <v>Support</v>
      </c>
      <c r="H260" s="37"/>
    </row>
    <row r="261" spans="1:8" x14ac:dyDescent="0.3">
      <c r="A261" t="str">
        <v>Legal</v>
      </c>
      <c r="H261" s="37"/>
    </row>
    <row r="262" spans="1:8" x14ac:dyDescent="0.3">
      <c r="A262" t="str">
        <v>Legal</v>
      </c>
      <c r="H262" s="37"/>
    </row>
    <row r="263" spans="1:8" x14ac:dyDescent="0.3">
      <c r="A263" t="str">
        <v>Legal</v>
      </c>
      <c r="H263" s="37"/>
    </row>
    <row r="264" spans="1:8" x14ac:dyDescent="0.3">
      <c r="A264" t="str">
        <v>Human Resources</v>
      </c>
      <c r="H264" s="37"/>
    </row>
    <row r="265" spans="1:8" x14ac:dyDescent="0.3">
      <c r="A265" t="str">
        <v>Services</v>
      </c>
      <c r="H265" s="37"/>
    </row>
    <row r="266" spans="1:8" x14ac:dyDescent="0.3">
      <c r="A266" t="str">
        <v>Research and Development</v>
      </c>
      <c r="H266" s="37"/>
    </row>
    <row r="267" spans="1:8" x14ac:dyDescent="0.3">
      <c r="A267" t="str">
        <v>Legal</v>
      </c>
      <c r="H267" s="37"/>
    </row>
    <row r="268" spans="1:8" x14ac:dyDescent="0.3">
      <c r="A268" t="str">
        <v>Support</v>
      </c>
      <c r="H268" s="37"/>
    </row>
    <row r="269" spans="1:8" x14ac:dyDescent="0.3">
      <c r="A269" t="str">
        <v>Research and Development</v>
      </c>
      <c r="H269" s="37"/>
    </row>
    <row r="270" spans="1:8" x14ac:dyDescent="0.3">
      <c r="A270" t="str">
        <v>Legal</v>
      </c>
      <c r="H270" s="37"/>
    </row>
    <row r="271" spans="1:8" x14ac:dyDescent="0.3">
      <c r="A271" t="str">
        <v>Engineering</v>
      </c>
      <c r="H271" s="37"/>
    </row>
    <row r="272" spans="1:8" x14ac:dyDescent="0.3">
      <c r="A272" t="str">
        <v>Product Management</v>
      </c>
      <c r="H272" s="37"/>
    </row>
    <row r="273" spans="1:8" x14ac:dyDescent="0.3">
      <c r="A273" t="str">
        <v>Research and Development</v>
      </c>
      <c r="H273" s="37"/>
    </row>
    <row r="274" spans="1:8" x14ac:dyDescent="0.3">
      <c r="A274" t="str">
        <v>Accounting</v>
      </c>
      <c r="H274" s="37"/>
    </row>
    <row r="275" spans="1:8" x14ac:dyDescent="0.3">
      <c r="A275" t="str">
        <v>Training</v>
      </c>
      <c r="H275" s="37"/>
    </row>
    <row r="276" spans="1:8" x14ac:dyDescent="0.3">
      <c r="A276" t="str">
        <v>Legal</v>
      </c>
      <c r="H276" s="37"/>
    </row>
    <row r="277" spans="1:8" x14ac:dyDescent="0.3">
      <c r="A277" t="str">
        <v>Cleaning</v>
      </c>
      <c r="H277" s="37"/>
    </row>
    <row r="278" spans="1:8" x14ac:dyDescent="0.3">
      <c r="A278" t="str">
        <v>Human Resources</v>
      </c>
      <c r="H278" s="37"/>
    </row>
    <row r="279" spans="1:8" x14ac:dyDescent="0.3">
      <c r="A279" t="str">
        <v>Support</v>
      </c>
      <c r="H279" s="37"/>
    </row>
    <row r="280" spans="1:8" x14ac:dyDescent="0.3">
      <c r="A280" t="str">
        <v>Research and Development</v>
      </c>
      <c r="H280" s="37"/>
    </row>
    <row r="281" spans="1:8" x14ac:dyDescent="0.3">
      <c r="A281" t="str">
        <v>Engineering</v>
      </c>
      <c r="H281" s="37"/>
    </row>
  </sheetData>
  <mergeCells count="1">
    <mergeCell ref="E5:F5"/>
  </mergeCells>
  <conditionalFormatting sqref="E6:E18">
    <cfRule type="dataBar" priority="1">
      <dataBar showValue="0">
        <cfvo type="min"/>
        <cfvo type="max"/>
        <color rgb="FF638EC6"/>
      </dataBar>
      <extLst>
        <ext xmlns:x14="http://schemas.microsoft.com/office/spreadsheetml/2009/9/main" uri="{B025F937-C7B1-47D3-B67F-A62EFF666E3E}">
          <x14:id>{B57A8E66-258E-4CC7-92CB-6CF8452315FB}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57A8E66-258E-4CC7-92CB-6CF8452315FB}">
            <x14:dataBar minLength="0" maxLength="100" gradient="0">
              <x14:cfvo type="autoMin"/>
              <x14:cfvo type="autoMax"/>
              <x14:negativeFillColor rgb="FFFF0000"/>
              <x14:axisColor rgb="FF000000"/>
            </x14:dataBar>
          </x14:cfRule>
          <xm:sqref>E6:E18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2D37-597D-4083-B75E-2471E5F9AA3B}">
  <dimension ref="A1:H21"/>
  <sheetViews>
    <sheetView workbookViewId="0">
      <selection activeCell="B10" sqref="B10"/>
    </sheetView>
  </sheetViews>
  <sheetFormatPr defaultRowHeight="14.2" x14ac:dyDescent="0.3"/>
  <cols>
    <col min="1" max="1" width="21.8984375" customWidth="1"/>
    <col min="2" max="2" width="15.8984375" customWidth="1"/>
    <col min="3" max="3" width="19.8984375" customWidth="1"/>
    <col min="4" max="4" width="11.296875" customWidth="1"/>
    <col min="5" max="5" width="21.3984375" customWidth="1"/>
    <col min="6" max="6" width="63.19921875" customWidth="1"/>
    <col min="7" max="7" width="56.59765625" customWidth="1"/>
    <col min="8" max="8" width="50.3984375" customWidth="1"/>
    <col min="9" max="9" width="53.8984375" customWidth="1"/>
    <col min="10" max="10" width="41.59765625" bestFit="1" customWidth="1"/>
    <col min="15" max="15" width="9.3984375" bestFit="1" customWidth="1"/>
    <col min="16" max="16" width="7.8984375" bestFit="1" customWidth="1"/>
    <col min="17" max="17" width="43.796875" bestFit="1" customWidth="1"/>
    <col min="18" max="18" width="44.09765625" customWidth="1"/>
  </cols>
  <sheetData>
    <row r="1" spans="1:8" ht="14.5" x14ac:dyDescent="0.3">
      <c r="E1" s="83" t="s">
        <v>1055</v>
      </c>
      <c r="F1" s="83" t="s">
        <v>185</v>
      </c>
      <c r="G1" s="91" t="s">
        <v>39</v>
      </c>
      <c r="H1" s="83" t="s">
        <v>38</v>
      </c>
    </row>
    <row r="2" spans="1:8" ht="42.55" x14ac:dyDescent="0.3">
      <c r="E2" s="8" t="s">
        <v>1070</v>
      </c>
      <c r="F2" s="75"/>
      <c r="G2" s="96" t="s">
        <v>1483</v>
      </c>
    </row>
    <row r="3" spans="1:8" ht="28.8" x14ac:dyDescent="0.3">
      <c r="E3" s="8" t="s">
        <v>1074</v>
      </c>
      <c r="F3" s="7" t="s">
        <v>1075</v>
      </c>
      <c r="G3" s="96" t="s">
        <v>1076</v>
      </c>
      <c r="H3" s="7" t="s">
        <v>1464</v>
      </c>
    </row>
    <row r="4" spans="1:8" ht="14.5" x14ac:dyDescent="0.3">
      <c r="E4" s="8"/>
      <c r="F4" s="99" t="s">
        <v>1078</v>
      </c>
      <c r="G4" s="98" t="s">
        <v>1079</v>
      </c>
      <c r="H4" s="8"/>
    </row>
    <row r="5" spans="1:8" ht="43.25" x14ac:dyDescent="0.3">
      <c r="E5" s="8" t="s">
        <v>1465</v>
      </c>
      <c r="F5" s="99" t="s">
        <v>1467</v>
      </c>
      <c r="G5" s="99" t="s">
        <v>1473</v>
      </c>
      <c r="H5" s="7" t="s">
        <v>1468</v>
      </c>
    </row>
    <row r="6" spans="1:8" ht="28.8" x14ac:dyDescent="0.3">
      <c r="E6" s="8" t="s">
        <v>1466</v>
      </c>
      <c r="F6" s="99" t="s">
        <v>1474</v>
      </c>
      <c r="G6" s="99" t="s">
        <v>1475</v>
      </c>
      <c r="H6" s="8"/>
    </row>
    <row r="7" spans="1:8" ht="14.5" x14ac:dyDescent="0.3">
      <c r="A7" s="97" t="s">
        <v>1071</v>
      </c>
      <c r="B7" s="97" t="s">
        <v>22</v>
      </c>
      <c r="C7" s="97" t="s">
        <v>508</v>
      </c>
      <c r="D7" s="97" t="s">
        <v>1077</v>
      </c>
      <c r="E7" s="8" t="s">
        <v>1080</v>
      </c>
      <c r="F7" s="99" t="s">
        <v>1476</v>
      </c>
      <c r="G7" s="98" t="s">
        <v>1477</v>
      </c>
      <c r="H7" s="8"/>
    </row>
    <row r="8" spans="1:8" ht="28.8" x14ac:dyDescent="0.3">
      <c r="E8" s="8" t="s">
        <v>1479</v>
      </c>
      <c r="F8" s="7" t="s">
        <v>1482</v>
      </c>
      <c r="G8" s="60" t="s">
        <v>1478</v>
      </c>
      <c r="H8" s="8" t="s">
        <v>1481</v>
      </c>
    </row>
    <row r="9" spans="1:8" x14ac:dyDescent="0.3">
      <c r="A9" t="s">
        <v>1072</v>
      </c>
      <c r="B9" t="str">
        <f>VLOOKUP(C7,Table_Lookup[],2,FALSE)</f>
        <v>Collen</v>
      </c>
    </row>
    <row r="10" spans="1:8" x14ac:dyDescent="0.3">
      <c r="A10" t="s">
        <v>24</v>
      </c>
      <c r="B10" t="str">
        <f>IFERROR(VLOOKUP(D7,#REF!,3,FALSE),"Not Found")</f>
        <v>Not Found</v>
      </c>
    </row>
    <row r="11" spans="1:8" x14ac:dyDescent="0.3">
      <c r="A11" t="s">
        <v>25</v>
      </c>
    </row>
    <row r="12" spans="1:8" x14ac:dyDescent="0.3">
      <c r="A12" t="s">
        <v>26</v>
      </c>
    </row>
    <row r="13" spans="1:8" x14ac:dyDescent="0.3">
      <c r="A13" t="s">
        <v>1073</v>
      </c>
    </row>
    <row r="16" spans="1:8" x14ac:dyDescent="0.3">
      <c r="A16" t="s">
        <v>1461</v>
      </c>
      <c r="B16" t="s">
        <v>1480</v>
      </c>
    </row>
    <row r="17" spans="1:3" x14ac:dyDescent="0.3">
      <c r="B17">
        <f>MATCH(B16,Table_Lookup[Last Name],0)</f>
        <v>133</v>
      </c>
      <c r="C17" s="97" t="s">
        <v>1470</v>
      </c>
    </row>
    <row r="18" spans="1:3" x14ac:dyDescent="0.3">
      <c r="B18" t="str" cm="1">
        <f t="array" ref="B18">INDEX(Table_Lookup[First Name],B17)</f>
        <v>Crawford</v>
      </c>
      <c r="C18" s="97" t="s">
        <v>1471</v>
      </c>
    </row>
    <row r="19" spans="1:3" x14ac:dyDescent="0.3">
      <c r="A19" t="s">
        <v>1462</v>
      </c>
      <c r="B19" t="str">
        <f>INDEX(Table_Lookup[Emp ID],MATCH(B16,Table_Lookup[Last Name],0))</f>
        <v>TN03331</v>
      </c>
      <c r="C19" s="97" t="s">
        <v>1472</v>
      </c>
    </row>
    <row r="20" spans="1:3" x14ac:dyDescent="0.3">
      <c r="A20" t="s">
        <v>25</v>
      </c>
      <c r="B20" t="str">
        <f>IFERROR(INDEX(Table_Lookup[Department],MATCH(B16,Table_Lookup[Last Name],0)),"NOT FOUND")</f>
        <v>Human Resources</v>
      </c>
    </row>
    <row r="21" spans="1:3" x14ac:dyDescent="0.3">
      <c r="A21" t="s">
        <v>1463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AFF4-0FF1-4E90-BC07-9CE53019232E}">
  <dimension ref="A1:J63"/>
  <sheetViews>
    <sheetView topLeftCell="A15" workbookViewId="0">
      <selection activeCell="A12" sqref="A12"/>
    </sheetView>
  </sheetViews>
  <sheetFormatPr defaultRowHeight="14.2" x14ac:dyDescent="0.3"/>
  <cols>
    <col min="1" max="1" width="44.3984375" customWidth="1"/>
    <col min="2" max="2" width="43.69921875" customWidth="1"/>
    <col min="3" max="3" width="25.8984375" customWidth="1"/>
    <col min="4" max="4" width="10.296875" customWidth="1"/>
    <col min="8" max="8" width="24.09765625" customWidth="1"/>
    <col min="9" max="9" width="72.3984375" customWidth="1"/>
    <col min="10" max="10" width="53.8984375" customWidth="1"/>
    <col min="11" max="11" width="9.3984375" customWidth="1"/>
    <col min="12" max="12" width="61.3984375" customWidth="1"/>
    <col min="13" max="13" width="53.796875" bestFit="1" customWidth="1"/>
  </cols>
  <sheetData>
    <row r="1" spans="1:10" ht="14.5" x14ac:dyDescent="0.3">
      <c r="H1" s="83" t="s">
        <v>1055</v>
      </c>
      <c r="I1" s="83" t="s">
        <v>185</v>
      </c>
      <c r="J1" s="91" t="s">
        <v>39</v>
      </c>
    </row>
    <row r="2" spans="1:10" ht="72" x14ac:dyDescent="0.3">
      <c r="H2" s="8" t="s">
        <v>1484</v>
      </c>
      <c r="I2" s="7" t="s">
        <v>1485</v>
      </c>
      <c r="J2" s="99" t="s">
        <v>1487</v>
      </c>
    </row>
    <row r="3" spans="1:10" ht="57.55" x14ac:dyDescent="0.3">
      <c r="H3" s="8" t="s">
        <v>1486</v>
      </c>
      <c r="I3" s="7" t="s">
        <v>1489</v>
      </c>
      <c r="J3" s="99" t="s">
        <v>1488</v>
      </c>
    </row>
    <row r="4" spans="1:10" ht="57.55" x14ac:dyDescent="0.3">
      <c r="H4" s="8"/>
      <c r="I4" s="99" t="s">
        <v>1490</v>
      </c>
      <c r="J4" s="99" t="s">
        <v>1491</v>
      </c>
    </row>
    <row r="5" spans="1:10" ht="43.25" x14ac:dyDescent="0.3">
      <c r="H5" s="6" t="s">
        <v>1493</v>
      </c>
      <c r="I5" s="99" t="s">
        <v>1495</v>
      </c>
      <c r="J5" s="99" t="s">
        <v>1494</v>
      </c>
    </row>
    <row r="6" spans="1:10" ht="43.25" x14ac:dyDescent="0.3">
      <c r="H6" s="8" t="s">
        <v>1496</v>
      </c>
      <c r="I6" s="99" t="s">
        <v>1498</v>
      </c>
      <c r="J6" s="99"/>
    </row>
    <row r="7" spans="1:10" ht="57.55" x14ac:dyDescent="0.3">
      <c r="H7" s="8" t="s">
        <v>1504</v>
      </c>
      <c r="I7" s="99" t="s">
        <v>1505</v>
      </c>
      <c r="J7" s="99" t="s">
        <v>1506</v>
      </c>
    </row>
    <row r="8" spans="1:10" ht="28.8" x14ac:dyDescent="0.3">
      <c r="H8" s="8" t="s">
        <v>1511</v>
      </c>
      <c r="I8" s="7" t="s">
        <v>1508</v>
      </c>
      <c r="J8" s="60"/>
    </row>
    <row r="9" spans="1:10" ht="28.8" x14ac:dyDescent="0.3">
      <c r="H9" s="8" t="s">
        <v>1512</v>
      </c>
      <c r="I9" s="7" t="s">
        <v>1509</v>
      </c>
      <c r="J9" s="60" t="s">
        <v>1510</v>
      </c>
    </row>
    <row r="10" spans="1:10" ht="28.8" x14ac:dyDescent="0.3">
      <c r="A10" s="97" t="s">
        <v>1071</v>
      </c>
      <c r="B10" s="97" t="s">
        <v>22</v>
      </c>
      <c r="C10" s="97" t="s">
        <v>717</v>
      </c>
      <c r="D10" s="97" t="s">
        <v>1077</v>
      </c>
      <c r="H10" s="8"/>
      <c r="I10" s="7" t="s">
        <v>1517</v>
      </c>
      <c r="J10" s="97" t="s">
        <v>1518</v>
      </c>
    </row>
    <row r="11" spans="1:10" ht="14.5" x14ac:dyDescent="0.3">
      <c r="H11" s="82"/>
      <c r="I11" s="82"/>
      <c r="J11" s="82"/>
    </row>
    <row r="12" spans="1:10" ht="14.5" x14ac:dyDescent="0.3">
      <c r="A12" t="s">
        <v>1072</v>
      </c>
      <c r="B12" t="str">
        <f>_xlfn.XLOOKUP(C10,Table_Lookup[Emp ID],Table_Lookup[First Name])</f>
        <v>Maible</v>
      </c>
      <c r="D12" t="str">
        <f>IFERROR(_xlfn.XLOOKUP(D10,Table_Lookup[Emp ID],Table_Lookup[First Name]),"NOT Found")</f>
        <v>NOT Found</v>
      </c>
      <c r="H12" s="82"/>
      <c r="I12" s="82"/>
      <c r="J12" s="82"/>
    </row>
    <row r="13" spans="1:10" ht="14.5" x14ac:dyDescent="0.3">
      <c r="A13" t="s">
        <v>24</v>
      </c>
      <c r="B13" t="str">
        <f>_xlfn.XLOOKUP(C10,Table_Lookup[Emp ID],Table_Lookup[Gender])</f>
        <v>Male</v>
      </c>
      <c r="D13" t="str">
        <f>_xlfn.XLOOKUP(D10,Table_Lookup[Emp ID],Table_Lookup[First Name],"NOT Found")</f>
        <v>NOT Found</v>
      </c>
    </row>
    <row r="14" spans="1:10" ht="14.5" x14ac:dyDescent="0.3">
      <c r="A14" t="s">
        <v>25</v>
      </c>
      <c r="B14" t="str">
        <f>_xlfn.XLOOKUP(C10,Table_Lookup[Emp ID],Table_Lookup[Department])</f>
        <v>Accounting</v>
      </c>
    </row>
    <row r="15" spans="1:10" ht="14.5" x14ac:dyDescent="0.3">
      <c r="A15" t="s">
        <v>26</v>
      </c>
      <c r="B15" s="37">
        <f>_xlfn.XLOOKUP(C10,Table_Lookup[Emp ID],Table_Lookup[Salary])</f>
        <v>208873</v>
      </c>
      <c r="J15" t="s">
        <v>1519</v>
      </c>
    </row>
    <row r="16" spans="1:10" ht="14.5" x14ac:dyDescent="0.3">
      <c r="A16" t="s">
        <v>1073</v>
      </c>
      <c r="B16" t="str">
        <f>_xlfn.XLOOKUP(C10,Table_Lookup[Emp ID],Table_Lookup[Work location])</f>
        <v>Columbus, USA</v>
      </c>
    </row>
    <row r="22" spans="1:10" ht="14.5" x14ac:dyDescent="0.3">
      <c r="A22" t="s">
        <v>1461</v>
      </c>
      <c r="B22" t="s">
        <v>1480</v>
      </c>
    </row>
    <row r="25" spans="1:10" ht="14.5" x14ac:dyDescent="0.3">
      <c r="A25" t="s">
        <v>1462</v>
      </c>
      <c r="B25" t="str">
        <f>_xlfn.XLOOKUP(B22,Table_Lookup[Last Name],Table_Lookup[Emp ID],"Not Found")</f>
        <v>TN03331</v>
      </c>
    </row>
    <row r="26" spans="1:10" ht="14.5" x14ac:dyDescent="0.3">
      <c r="A26" t="s">
        <v>25</v>
      </c>
    </row>
    <row r="27" spans="1:10" ht="14.5" x14ac:dyDescent="0.3">
      <c r="A27" t="s">
        <v>1463</v>
      </c>
    </row>
    <row r="28" spans="1:10" x14ac:dyDescent="0.3">
      <c r="A28" s="173" t="s">
        <v>1492</v>
      </c>
    </row>
    <row r="29" spans="1:10" x14ac:dyDescent="0.3">
      <c r="A29" s="173"/>
    </row>
    <row r="31" spans="1:10" x14ac:dyDescent="0.3">
      <c r="A31" t="str" cm="1">
        <f t="array" ref="A31:J31">_xlfn.XLOOKUP(B22,Table_Lookup[Last Name],Table_Lookup[],"Not Found")</f>
        <v>TN03331</v>
      </c>
      <c r="B31" t="str">
        <v>Crawford</v>
      </c>
      <c r="C31" t="str">
        <v>Scad</v>
      </c>
      <c r="D31" t="str">
        <v>Male</v>
      </c>
      <c r="E31" t="str">
        <v>Human Resources</v>
      </c>
      <c r="F31">
        <v>72876.91</v>
      </c>
      <c r="G31" t="str">
        <v>27-May-19</v>
      </c>
      <c r="H31">
        <v>0.4</v>
      </c>
      <c r="I31" t="str">
        <v>Fixed Term</v>
      </c>
      <c r="J31" t="str">
        <v>Auckland, New Zealand</v>
      </c>
    </row>
    <row r="33" spans="1:4" x14ac:dyDescent="0.3">
      <c r="A33" s="100" t="s">
        <v>1497</v>
      </c>
    </row>
    <row r="35" spans="1:4" x14ac:dyDescent="0.3">
      <c r="A35" t="str" cm="1">
        <f t="array" ref="A35:A44">TRANSPOSE(_xlfn.XLOOKUP(B22,Table_Lookup[Last Name],Table_Lookup[]))</f>
        <v>TN03331</v>
      </c>
    </row>
    <row r="36" spans="1:4" x14ac:dyDescent="0.3">
      <c r="A36" t="str">
        <v>Crawford</v>
      </c>
    </row>
    <row r="37" spans="1:4" x14ac:dyDescent="0.3">
      <c r="A37" t="str">
        <v>Scad</v>
      </c>
    </row>
    <row r="38" spans="1:4" x14ac:dyDescent="0.3">
      <c r="A38" t="str">
        <v>Male</v>
      </c>
    </row>
    <row r="39" spans="1:4" x14ac:dyDescent="0.3">
      <c r="A39" t="str">
        <v>Human Resources</v>
      </c>
    </row>
    <row r="40" spans="1:4" x14ac:dyDescent="0.3">
      <c r="A40" s="37">
        <v>72876.91</v>
      </c>
    </row>
    <row r="41" spans="1:4" x14ac:dyDescent="0.3">
      <c r="A41" t="str">
        <v>27-May-19</v>
      </c>
    </row>
    <row r="42" spans="1:4" x14ac:dyDescent="0.3">
      <c r="A42">
        <v>0.4</v>
      </c>
    </row>
    <row r="43" spans="1:4" x14ac:dyDescent="0.3">
      <c r="A43" t="str">
        <v>Fixed Term</v>
      </c>
    </row>
    <row r="44" spans="1:4" x14ac:dyDescent="0.3">
      <c r="A44" t="str">
        <v>Auckland, New Zealand</v>
      </c>
    </row>
    <row r="46" spans="1:4" x14ac:dyDescent="0.3">
      <c r="A46" s="101" t="s">
        <v>1499</v>
      </c>
      <c r="C46" s="102">
        <v>120000</v>
      </c>
      <c r="D46" t="s">
        <v>1500</v>
      </c>
    </row>
    <row r="50" spans="1:8" x14ac:dyDescent="0.3">
      <c r="B50" s="27" t="s">
        <v>1515</v>
      </c>
    </row>
    <row r="51" spans="1:8" x14ac:dyDescent="0.3">
      <c r="A51" s="97" t="s">
        <v>1501</v>
      </c>
    </row>
    <row r="52" spans="1:8" x14ac:dyDescent="0.3">
      <c r="A52" t="s">
        <v>1502</v>
      </c>
      <c r="B52" s="37">
        <f>MAX(Table_Lookup[Salary])</f>
        <v>208873</v>
      </c>
    </row>
    <row r="53" spans="1:8" x14ac:dyDescent="0.3">
      <c r="A53" t="s">
        <v>1503</v>
      </c>
      <c r="C53" t="str" cm="1">
        <f t="array" ref="C53">_xlfn.XLOOKUP(MAX(Table_Lookup[Salary]),Table_Lookup[Salary],Table_Lookup[First Name]&amp;" " &amp;Table_Lookup[Last Name]&amp;" - " &amp; Table_Lookup[Work location])</f>
        <v>Maible Azemar - Columbus, USA</v>
      </c>
    </row>
    <row r="54" spans="1:8" x14ac:dyDescent="0.3">
      <c r="A54" s="37"/>
    </row>
    <row r="55" spans="1:8" x14ac:dyDescent="0.3">
      <c r="A55" s="97" t="s">
        <v>1507</v>
      </c>
    </row>
    <row r="57" spans="1:8" x14ac:dyDescent="0.3">
      <c r="A57" t="s">
        <v>1513</v>
      </c>
      <c r="B57" t="str" cm="1">
        <f t="array" ref="B57:B58">_xlfn._xlws.FILTER(Table_Lookup[First Name]&amp;" "&amp;Table_Lookup[Last Name],Table_Lookup[Salary]=MAX(Table_Lookup[Salary]))</f>
        <v>Maible Azemar</v>
      </c>
    </row>
    <row r="58" spans="1:8" x14ac:dyDescent="0.3">
      <c r="B58" t="str">
        <v>Minerva Ricardot</v>
      </c>
    </row>
    <row r="62" spans="1:8" x14ac:dyDescent="0.3">
      <c r="A62" t="s">
        <v>1514</v>
      </c>
      <c r="B62" s="37" t="str" cm="1">
        <f t="array" ref="B62">_xlfn.TEXTJOIN(",", ,_xlfn._xlws.FILTER(Table_Lookup[Salary]&amp;"@ "&amp;Table_Lookup[First Name]&amp;" "&amp;Table_Lookup[Last Name],Table_Lookup[Salary]=MAX(Table_Lookup[Salary])))</f>
        <v>208873@ Maible Azemar,208873@ Minerva Ricardot</v>
      </c>
      <c r="C62" s="37" t="str" cm="1">
        <f t="array" ref="C62:H63">_xlfn._xlws.FILTER(Table_Lookup[Emp ID]:Table_Lookup[Salary],Table_Lookup[Salary]=MAX(Table_Lookup[Salary]))</f>
        <v>VT00017</v>
      </c>
      <c r="D62" t="str">
        <v>Maible</v>
      </c>
      <c r="E62" t="str">
        <v>Azemar</v>
      </c>
      <c r="F62" t="str">
        <v>Male</v>
      </c>
      <c r="G62" t="str">
        <v>Accounting</v>
      </c>
      <c r="H62">
        <v>208873</v>
      </c>
    </row>
    <row r="63" spans="1:8" x14ac:dyDescent="0.3">
      <c r="B63" s="37"/>
      <c r="C63" t="str">
        <v>PR00147</v>
      </c>
      <c r="D63" t="str">
        <v>Minerva</v>
      </c>
      <c r="E63" t="str">
        <v>Ricardot</v>
      </c>
      <c r="F63" t="str">
        <v>Male</v>
      </c>
      <c r="G63" t="str">
        <v>Cleaning</v>
      </c>
      <c r="H63">
        <v>208873</v>
      </c>
    </row>
  </sheetData>
  <mergeCells count="1">
    <mergeCell ref="A28:A2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95AC-2C7B-4685-9C83-47FB353FF56C}">
  <dimension ref="U5:V10"/>
  <sheetViews>
    <sheetView workbookViewId="0">
      <selection activeCell="A26" sqref="A26"/>
    </sheetView>
  </sheetViews>
  <sheetFormatPr defaultRowHeight="14.2" x14ac:dyDescent="0.3"/>
  <cols>
    <col min="1" max="1" width="9.09765625" bestFit="1" customWidth="1"/>
    <col min="2" max="2" width="12.296875" bestFit="1" customWidth="1"/>
    <col min="3" max="3" width="14.19921875" bestFit="1" customWidth="1"/>
    <col min="4" max="4" width="11" bestFit="1" customWidth="1"/>
    <col min="5" max="5" width="23.19921875" bestFit="1" customWidth="1"/>
    <col min="6" max="6" width="10" bestFit="1" customWidth="1"/>
    <col min="7" max="7" width="13.796875" bestFit="1" customWidth="1"/>
    <col min="8" max="8" width="11.59765625" bestFit="1" customWidth="1"/>
    <col min="9" max="9" width="12" bestFit="1" customWidth="1"/>
    <col min="10" max="10" width="6.8984375" bestFit="1" customWidth="1"/>
    <col min="11" max="11" width="6.09765625" bestFit="1" customWidth="1"/>
    <col min="12" max="12" width="15.59765625" bestFit="1" customWidth="1"/>
    <col min="13" max="13" width="20.8984375" bestFit="1" customWidth="1"/>
    <col min="14" max="14" width="11.69921875" bestFit="1" customWidth="1"/>
    <col min="15" max="16" width="80.8984375" bestFit="1" customWidth="1"/>
    <col min="17" max="17" width="41.19921875" bestFit="1" customWidth="1"/>
    <col min="18" max="18" width="51" bestFit="1" customWidth="1"/>
    <col min="19" max="19" width="34.796875" bestFit="1" customWidth="1"/>
    <col min="20" max="20" width="11.69921875" bestFit="1" customWidth="1"/>
    <col min="21" max="22" width="11.69921875" customWidth="1"/>
    <col min="23" max="23" width="80.8984375" customWidth="1"/>
    <col min="24" max="24" width="80.8984375" bestFit="1" customWidth="1"/>
    <col min="25" max="25" width="41.19921875" bestFit="1" customWidth="1"/>
    <col min="26" max="26" width="51" bestFit="1" customWidth="1"/>
    <col min="27" max="27" width="34.796875" bestFit="1" customWidth="1"/>
  </cols>
  <sheetData>
    <row r="5" spans="21:22" x14ac:dyDescent="0.3">
      <c r="U5" s="24"/>
      <c r="V5" t="s">
        <v>364</v>
      </c>
    </row>
    <row r="6" spans="21:22" x14ac:dyDescent="0.3">
      <c r="U6" s="25"/>
      <c r="V6" t="s">
        <v>365</v>
      </c>
    </row>
    <row r="7" spans="21:22" x14ac:dyDescent="0.3">
      <c r="U7" s="26"/>
      <c r="V7" t="s">
        <v>366</v>
      </c>
    </row>
    <row r="8" spans="21:22" x14ac:dyDescent="0.3">
      <c r="U8" s="27"/>
      <c r="V8" t="s">
        <v>367</v>
      </c>
    </row>
    <row r="9" spans="21:22" x14ac:dyDescent="0.3">
      <c r="U9" s="28"/>
      <c r="V9" t="s">
        <v>368</v>
      </c>
    </row>
    <row r="10" spans="21:22" x14ac:dyDescent="0.3">
      <c r="U10" s="29"/>
      <c r="V10" t="s">
        <v>369</v>
      </c>
    </row>
  </sheetData>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3C458-FEEC-4BB3-8C5E-CF6B6E05F399}">
  <dimension ref="A3:G98"/>
  <sheetViews>
    <sheetView workbookViewId="0">
      <selection activeCell="D6" sqref="D6"/>
    </sheetView>
  </sheetViews>
  <sheetFormatPr defaultRowHeight="14.2" x14ac:dyDescent="0.3"/>
  <cols>
    <col min="1" max="1" width="7.296875" customWidth="1"/>
    <col min="2" max="2" width="17.19921875" customWidth="1"/>
    <col min="3" max="3" width="7.19921875" customWidth="1"/>
    <col min="4" max="4" width="8" customWidth="1"/>
    <col min="6" max="6" width="7.296875" customWidth="1"/>
    <col min="7" max="7" width="13" customWidth="1"/>
  </cols>
  <sheetData>
    <row r="3" spans="1:7" x14ac:dyDescent="0.3">
      <c r="A3" s="23" t="s">
        <v>195</v>
      </c>
    </row>
    <row r="5" spans="1:7" x14ac:dyDescent="0.3">
      <c r="A5" t="s">
        <v>196</v>
      </c>
      <c r="B5" t="s">
        <v>197</v>
      </c>
      <c r="C5" t="s">
        <v>198</v>
      </c>
      <c r="D5" t="s">
        <v>199</v>
      </c>
      <c r="E5" t="s">
        <v>200</v>
      </c>
      <c r="F5" t="s">
        <v>201</v>
      </c>
      <c r="G5" t="s">
        <v>202</v>
      </c>
    </row>
    <row r="6" spans="1:7" x14ac:dyDescent="0.3">
      <c r="A6" t="s">
        <v>203</v>
      </c>
      <c r="B6" t="s">
        <v>204</v>
      </c>
      <c r="C6">
        <v>39</v>
      </c>
      <c r="D6">
        <v>41</v>
      </c>
      <c r="E6">
        <v>33</v>
      </c>
      <c r="F6">
        <v>113</v>
      </c>
      <c r="G6">
        <v>74</v>
      </c>
    </row>
    <row r="7" spans="1:7" x14ac:dyDescent="0.3">
      <c r="A7" t="s">
        <v>205</v>
      </c>
      <c r="B7" t="s">
        <v>206</v>
      </c>
      <c r="C7">
        <v>38</v>
      </c>
      <c r="D7">
        <v>32</v>
      </c>
      <c r="E7">
        <v>19</v>
      </c>
      <c r="F7">
        <v>89</v>
      </c>
      <c r="G7">
        <v>51</v>
      </c>
    </row>
    <row r="8" spans="1:7" x14ac:dyDescent="0.3">
      <c r="A8" t="s">
        <v>207</v>
      </c>
      <c r="B8" t="s">
        <v>208</v>
      </c>
      <c r="C8">
        <v>27</v>
      </c>
      <c r="D8">
        <v>14</v>
      </c>
      <c r="E8">
        <v>17</v>
      </c>
      <c r="F8">
        <v>58</v>
      </c>
      <c r="G8">
        <v>31</v>
      </c>
    </row>
    <row r="9" spans="1:7" x14ac:dyDescent="0.3">
      <c r="A9" t="s">
        <v>209</v>
      </c>
      <c r="B9" t="s">
        <v>210</v>
      </c>
      <c r="C9">
        <v>22</v>
      </c>
      <c r="D9">
        <v>20</v>
      </c>
      <c r="E9">
        <v>22</v>
      </c>
      <c r="F9">
        <v>64</v>
      </c>
      <c r="G9">
        <v>42</v>
      </c>
    </row>
    <row r="10" spans="1:7" x14ac:dyDescent="0.3">
      <c r="A10" t="s">
        <v>211</v>
      </c>
      <c r="B10" t="s">
        <v>212</v>
      </c>
      <c r="C10">
        <v>20</v>
      </c>
      <c r="D10">
        <v>28</v>
      </c>
      <c r="E10">
        <v>23</v>
      </c>
      <c r="F10">
        <v>71</v>
      </c>
      <c r="G10">
        <v>51</v>
      </c>
    </row>
    <row r="11" spans="1:7" x14ac:dyDescent="0.3">
      <c r="A11" t="s">
        <v>213</v>
      </c>
      <c r="B11" t="s">
        <v>214</v>
      </c>
      <c r="C11">
        <v>17</v>
      </c>
      <c r="D11">
        <v>7</v>
      </c>
      <c r="E11">
        <v>22</v>
      </c>
      <c r="F11">
        <v>46</v>
      </c>
      <c r="G11">
        <v>29</v>
      </c>
    </row>
    <row r="12" spans="1:7" x14ac:dyDescent="0.3">
      <c r="A12" t="s">
        <v>215</v>
      </c>
      <c r="B12" t="s">
        <v>216</v>
      </c>
      <c r="C12">
        <v>10</v>
      </c>
      <c r="D12">
        <v>12</v>
      </c>
      <c r="E12">
        <v>14</v>
      </c>
      <c r="F12">
        <v>36</v>
      </c>
      <c r="G12">
        <v>26</v>
      </c>
    </row>
    <row r="13" spans="1:7" x14ac:dyDescent="0.3">
      <c r="A13" t="s">
        <v>217</v>
      </c>
      <c r="B13" t="s">
        <v>218</v>
      </c>
      <c r="C13">
        <v>10</v>
      </c>
      <c r="D13">
        <v>12</v>
      </c>
      <c r="E13">
        <v>11</v>
      </c>
      <c r="F13">
        <v>33</v>
      </c>
      <c r="G13">
        <v>23</v>
      </c>
    </row>
    <row r="14" spans="1:7" x14ac:dyDescent="0.3">
      <c r="A14" t="s">
        <v>219</v>
      </c>
      <c r="B14" t="s">
        <v>220</v>
      </c>
      <c r="C14">
        <v>10</v>
      </c>
      <c r="D14">
        <v>11</v>
      </c>
      <c r="E14">
        <v>16</v>
      </c>
      <c r="F14">
        <v>37</v>
      </c>
      <c r="G14">
        <v>27</v>
      </c>
    </row>
    <row r="15" spans="1:7" x14ac:dyDescent="0.3">
      <c r="A15" t="s">
        <v>221</v>
      </c>
      <c r="B15" t="s">
        <v>222</v>
      </c>
      <c r="C15">
        <v>10</v>
      </c>
      <c r="D15">
        <v>10</v>
      </c>
      <c r="E15">
        <v>20</v>
      </c>
      <c r="F15">
        <v>40</v>
      </c>
      <c r="G15">
        <v>30</v>
      </c>
    </row>
    <row r="16" spans="1:7" x14ac:dyDescent="0.3">
      <c r="A16" t="s">
        <v>223</v>
      </c>
      <c r="B16" t="s">
        <v>224</v>
      </c>
      <c r="C16">
        <v>7</v>
      </c>
      <c r="D16">
        <v>7</v>
      </c>
      <c r="E16">
        <v>10</v>
      </c>
      <c r="F16">
        <v>24</v>
      </c>
      <c r="G16">
        <v>17</v>
      </c>
    </row>
    <row r="17" spans="1:7" x14ac:dyDescent="0.3">
      <c r="A17" t="s">
        <v>225</v>
      </c>
      <c r="B17" t="s">
        <v>226</v>
      </c>
      <c r="C17">
        <v>7</v>
      </c>
      <c r="D17">
        <v>6</v>
      </c>
      <c r="E17">
        <v>8</v>
      </c>
      <c r="F17">
        <v>21</v>
      </c>
      <c r="G17">
        <v>14</v>
      </c>
    </row>
    <row r="18" spans="1:7" x14ac:dyDescent="0.3">
      <c r="A18" t="s">
        <v>227</v>
      </c>
      <c r="B18" t="s">
        <v>228</v>
      </c>
      <c r="C18">
        <v>7</v>
      </c>
      <c r="D18">
        <v>6</v>
      </c>
      <c r="E18">
        <v>7</v>
      </c>
      <c r="F18">
        <v>20</v>
      </c>
      <c r="G18">
        <v>13</v>
      </c>
    </row>
    <row r="19" spans="1:7" x14ac:dyDescent="0.3">
      <c r="A19" t="s">
        <v>229</v>
      </c>
      <c r="B19" t="s">
        <v>230</v>
      </c>
      <c r="C19">
        <v>7</v>
      </c>
      <c r="D19">
        <v>3</v>
      </c>
      <c r="E19">
        <v>5</v>
      </c>
      <c r="F19">
        <v>15</v>
      </c>
      <c r="G19">
        <v>8</v>
      </c>
    </row>
    <row r="20" spans="1:7" x14ac:dyDescent="0.3">
      <c r="A20" t="s">
        <v>231</v>
      </c>
      <c r="B20" t="s">
        <v>232</v>
      </c>
      <c r="C20">
        <v>6</v>
      </c>
      <c r="D20">
        <v>7</v>
      </c>
      <c r="E20">
        <v>7</v>
      </c>
      <c r="F20">
        <v>20</v>
      </c>
      <c r="G20">
        <v>14</v>
      </c>
    </row>
    <row r="21" spans="1:7" x14ac:dyDescent="0.3">
      <c r="A21" t="s">
        <v>233</v>
      </c>
      <c r="B21" t="s">
        <v>234</v>
      </c>
      <c r="C21">
        <v>6</v>
      </c>
      <c r="D21">
        <v>4</v>
      </c>
      <c r="E21">
        <v>10</v>
      </c>
      <c r="F21">
        <v>20</v>
      </c>
      <c r="G21">
        <v>14</v>
      </c>
    </row>
    <row r="22" spans="1:7" x14ac:dyDescent="0.3">
      <c r="A22" t="s">
        <v>235</v>
      </c>
      <c r="B22" t="s">
        <v>236</v>
      </c>
      <c r="C22">
        <v>4</v>
      </c>
      <c r="D22">
        <v>5</v>
      </c>
      <c r="E22">
        <v>5</v>
      </c>
      <c r="F22">
        <v>14</v>
      </c>
      <c r="G22">
        <v>10</v>
      </c>
    </row>
    <row r="23" spans="1:7" x14ac:dyDescent="0.3">
      <c r="A23" t="s">
        <v>237</v>
      </c>
      <c r="B23" t="s">
        <v>238</v>
      </c>
      <c r="C23">
        <v>4</v>
      </c>
      <c r="D23">
        <v>4</v>
      </c>
      <c r="E23">
        <v>3</v>
      </c>
      <c r="F23">
        <v>11</v>
      </c>
      <c r="G23">
        <v>7</v>
      </c>
    </row>
    <row r="24" spans="1:7" x14ac:dyDescent="0.3">
      <c r="A24" t="s">
        <v>239</v>
      </c>
      <c r="B24" t="s">
        <v>240</v>
      </c>
      <c r="C24">
        <v>4</v>
      </c>
      <c r="D24">
        <v>4</v>
      </c>
      <c r="E24">
        <v>2</v>
      </c>
      <c r="F24">
        <v>10</v>
      </c>
      <c r="G24">
        <v>6</v>
      </c>
    </row>
    <row r="25" spans="1:7" x14ac:dyDescent="0.3">
      <c r="A25" t="s">
        <v>241</v>
      </c>
      <c r="B25" t="s">
        <v>242</v>
      </c>
      <c r="C25">
        <v>4</v>
      </c>
      <c r="D25">
        <v>2</v>
      </c>
      <c r="E25">
        <v>2</v>
      </c>
      <c r="F25">
        <v>8</v>
      </c>
      <c r="G25">
        <v>4</v>
      </c>
    </row>
    <row r="26" spans="1:7" x14ac:dyDescent="0.3">
      <c r="A26" t="s">
        <v>243</v>
      </c>
      <c r="B26" t="s">
        <v>244</v>
      </c>
      <c r="C26">
        <v>4</v>
      </c>
      <c r="D26">
        <v>1</v>
      </c>
      <c r="E26">
        <v>4</v>
      </c>
      <c r="F26">
        <v>9</v>
      </c>
      <c r="G26">
        <v>5</v>
      </c>
    </row>
    <row r="27" spans="1:7" x14ac:dyDescent="0.3">
      <c r="A27" t="s">
        <v>245</v>
      </c>
      <c r="B27" t="s">
        <v>246</v>
      </c>
      <c r="C27">
        <v>3</v>
      </c>
      <c r="D27">
        <v>8</v>
      </c>
      <c r="E27">
        <v>6</v>
      </c>
      <c r="F27">
        <v>17</v>
      </c>
      <c r="G27">
        <v>14</v>
      </c>
    </row>
    <row r="28" spans="1:7" x14ac:dyDescent="0.3">
      <c r="A28" t="s">
        <v>247</v>
      </c>
      <c r="B28" t="s">
        <v>248</v>
      </c>
      <c r="C28">
        <v>3</v>
      </c>
      <c r="D28">
        <v>6</v>
      </c>
      <c r="E28">
        <v>0</v>
      </c>
      <c r="F28">
        <v>9</v>
      </c>
      <c r="G28">
        <v>6</v>
      </c>
    </row>
    <row r="29" spans="1:7" x14ac:dyDescent="0.3">
      <c r="A29" t="s">
        <v>249</v>
      </c>
      <c r="B29" t="s">
        <v>250</v>
      </c>
      <c r="C29">
        <v>3</v>
      </c>
      <c r="D29">
        <v>4</v>
      </c>
      <c r="E29">
        <v>6</v>
      </c>
      <c r="F29">
        <v>13</v>
      </c>
      <c r="G29">
        <v>10</v>
      </c>
    </row>
    <row r="30" spans="1:7" x14ac:dyDescent="0.3">
      <c r="A30" t="s">
        <v>251</v>
      </c>
      <c r="B30" t="s">
        <v>252</v>
      </c>
      <c r="C30">
        <v>3</v>
      </c>
      <c r="D30">
        <v>4</v>
      </c>
      <c r="E30">
        <v>4</v>
      </c>
      <c r="F30">
        <v>11</v>
      </c>
      <c r="G30">
        <v>8</v>
      </c>
    </row>
    <row r="31" spans="1:7" x14ac:dyDescent="0.3">
      <c r="A31" t="s">
        <v>253</v>
      </c>
      <c r="B31" t="s">
        <v>254</v>
      </c>
      <c r="C31">
        <v>3</v>
      </c>
      <c r="D31">
        <v>3</v>
      </c>
      <c r="E31">
        <v>2</v>
      </c>
      <c r="F31">
        <v>8</v>
      </c>
      <c r="G31">
        <v>5</v>
      </c>
    </row>
    <row r="32" spans="1:7" x14ac:dyDescent="0.3">
      <c r="A32" t="s">
        <v>255</v>
      </c>
      <c r="B32" t="s">
        <v>256</v>
      </c>
      <c r="C32">
        <v>3</v>
      </c>
      <c r="D32">
        <v>2</v>
      </c>
      <c r="E32">
        <v>2</v>
      </c>
      <c r="F32">
        <v>7</v>
      </c>
      <c r="G32">
        <v>4</v>
      </c>
    </row>
    <row r="33" spans="1:7" x14ac:dyDescent="0.3">
      <c r="A33" t="s">
        <v>257</v>
      </c>
      <c r="B33" t="s">
        <v>258</v>
      </c>
      <c r="C33">
        <v>3</v>
      </c>
      <c r="D33">
        <v>1</v>
      </c>
      <c r="E33">
        <v>5</v>
      </c>
      <c r="F33">
        <v>9</v>
      </c>
      <c r="G33">
        <v>6</v>
      </c>
    </row>
    <row r="34" spans="1:7" x14ac:dyDescent="0.3">
      <c r="A34" t="s">
        <v>259</v>
      </c>
      <c r="B34" t="s">
        <v>260</v>
      </c>
      <c r="C34">
        <v>3</v>
      </c>
      <c r="D34">
        <v>1</v>
      </c>
      <c r="E34">
        <v>3</v>
      </c>
      <c r="F34">
        <v>7</v>
      </c>
      <c r="G34">
        <v>4</v>
      </c>
    </row>
    <row r="35" spans="1:7" x14ac:dyDescent="0.3">
      <c r="A35" t="s">
        <v>261</v>
      </c>
      <c r="B35" t="s">
        <v>262</v>
      </c>
      <c r="C35">
        <v>3</v>
      </c>
      <c r="D35">
        <v>1</v>
      </c>
      <c r="E35">
        <v>2</v>
      </c>
      <c r="F35">
        <v>6</v>
      </c>
      <c r="G35">
        <v>3</v>
      </c>
    </row>
    <row r="36" spans="1:7" x14ac:dyDescent="0.3">
      <c r="A36" t="s">
        <v>263</v>
      </c>
      <c r="B36" t="s">
        <v>264</v>
      </c>
      <c r="C36">
        <v>3</v>
      </c>
      <c r="D36">
        <v>1</v>
      </c>
      <c r="E36">
        <v>1</v>
      </c>
      <c r="F36">
        <v>5</v>
      </c>
      <c r="G36">
        <v>2</v>
      </c>
    </row>
    <row r="37" spans="1:7" x14ac:dyDescent="0.3">
      <c r="A37" t="s">
        <v>265</v>
      </c>
      <c r="B37" t="s">
        <v>266</v>
      </c>
      <c r="C37">
        <v>3</v>
      </c>
      <c r="D37">
        <v>0</v>
      </c>
      <c r="E37">
        <v>2</v>
      </c>
      <c r="F37">
        <v>5</v>
      </c>
      <c r="G37">
        <v>2</v>
      </c>
    </row>
    <row r="38" spans="1:7" x14ac:dyDescent="0.3">
      <c r="A38" t="s">
        <v>267</v>
      </c>
      <c r="B38" t="s">
        <v>268</v>
      </c>
      <c r="C38">
        <v>2</v>
      </c>
      <c r="D38">
        <v>5</v>
      </c>
      <c r="E38">
        <v>1</v>
      </c>
      <c r="F38">
        <v>8</v>
      </c>
      <c r="G38">
        <v>6</v>
      </c>
    </row>
    <row r="39" spans="1:7" x14ac:dyDescent="0.3">
      <c r="A39" t="s">
        <v>269</v>
      </c>
      <c r="B39" t="s">
        <v>270</v>
      </c>
      <c r="C39">
        <v>2</v>
      </c>
      <c r="D39">
        <v>4</v>
      </c>
      <c r="E39">
        <v>6</v>
      </c>
      <c r="F39">
        <v>12</v>
      </c>
      <c r="G39">
        <v>10</v>
      </c>
    </row>
    <row r="40" spans="1:7" x14ac:dyDescent="0.3">
      <c r="A40" t="s">
        <v>271</v>
      </c>
      <c r="B40" t="s">
        <v>272</v>
      </c>
      <c r="C40">
        <v>2</v>
      </c>
      <c r="D40">
        <v>2</v>
      </c>
      <c r="E40">
        <v>9</v>
      </c>
      <c r="F40">
        <v>13</v>
      </c>
      <c r="G40">
        <v>11</v>
      </c>
    </row>
    <row r="41" spans="1:7" x14ac:dyDescent="0.3">
      <c r="A41" t="s">
        <v>273</v>
      </c>
      <c r="B41" t="s">
        <v>274</v>
      </c>
      <c r="C41">
        <v>2</v>
      </c>
      <c r="D41">
        <v>1</v>
      </c>
      <c r="E41">
        <v>1</v>
      </c>
      <c r="F41">
        <v>4</v>
      </c>
      <c r="G41">
        <v>2</v>
      </c>
    </row>
    <row r="42" spans="1:7" x14ac:dyDescent="0.3">
      <c r="A42" t="s">
        <v>273</v>
      </c>
      <c r="B42" t="s">
        <v>275</v>
      </c>
      <c r="C42">
        <v>2</v>
      </c>
      <c r="D42">
        <v>1</v>
      </c>
      <c r="E42">
        <v>1</v>
      </c>
      <c r="F42">
        <v>4</v>
      </c>
      <c r="G42">
        <v>2</v>
      </c>
    </row>
    <row r="43" spans="1:7" x14ac:dyDescent="0.3">
      <c r="A43" t="s">
        <v>276</v>
      </c>
      <c r="B43" t="s">
        <v>277</v>
      </c>
      <c r="C43">
        <v>2</v>
      </c>
      <c r="D43">
        <v>1</v>
      </c>
      <c r="E43">
        <v>0</v>
      </c>
      <c r="F43">
        <v>3</v>
      </c>
      <c r="G43">
        <v>1</v>
      </c>
    </row>
    <row r="44" spans="1:7" x14ac:dyDescent="0.3">
      <c r="A44" t="s">
        <v>278</v>
      </c>
      <c r="B44" t="s">
        <v>279</v>
      </c>
      <c r="C44">
        <v>2</v>
      </c>
      <c r="D44">
        <v>0</v>
      </c>
      <c r="E44">
        <v>2</v>
      </c>
      <c r="F44">
        <v>4</v>
      </c>
      <c r="G44">
        <v>2</v>
      </c>
    </row>
    <row r="45" spans="1:7" x14ac:dyDescent="0.3">
      <c r="A45" t="s">
        <v>278</v>
      </c>
      <c r="B45" t="s">
        <v>280</v>
      </c>
      <c r="C45">
        <v>2</v>
      </c>
      <c r="D45">
        <v>0</v>
      </c>
      <c r="E45">
        <v>2</v>
      </c>
      <c r="F45">
        <v>4</v>
      </c>
      <c r="G45">
        <v>2</v>
      </c>
    </row>
    <row r="46" spans="1:7" x14ac:dyDescent="0.3">
      <c r="A46" t="s">
        <v>281</v>
      </c>
      <c r="B46" t="s">
        <v>282</v>
      </c>
      <c r="C46">
        <v>2</v>
      </c>
      <c r="D46">
        <v>0</v>
      </c>
      <c r="E46">
        <v>1</v>
      </c>
      <c r="F46">
        <v>3</v>
      </c>
      <c r="G46">
        <v>1</v>
      </c>
    </row>
    <row r="47" spans="1:7" x14ac:dyDescent="0.3">
      <c r="A47" t="s">
        <v>283</v>
      </c>
      <c r="B47" t="s">
        <v>284</v>
      </c>
      <c r="C47">
        <v>2</v>
      </c>
      <c r="D47">
        <v>0</v>
      </c>
      <c r="E47">
        <v>0</v>
      </c>
      <c r="F47">
        <v>2</v>
      </c>
      <c r="G47">
        <v>0</v>
      </c>
    </row>
    <row r="48" spans="1:7" x14ac:dyDescent="0.3">
      <c r="A48" t="s">
        <v>283</v>
      </c>
      <c r="B48" t="s">
        <v>285</v>
      </c>
      <c r="C48">
        <v>2</v>
      </c>
      <c r="D48">
        <v>0</v>
      </c>
      <c r="E48">
        <v>0</v>
      </c>
      <c r="F48">
        <v>2</v>
      </c>
      <c r="G48">
        <v>0</v>
      </c>
    </row>
    <row r="49" spans="1:7" x14ac:dyDescent="0.3">
      <c r="A49" t="s">
        <v>286</v>
      </c>
      <c r="B49" t="s">
        <v>287</v>
      </c>
      <c r="C49">
        <v>1</v>
      </c>
      <c r="D49">
        <v>6</v>
      </c>
      <c r="E49">
        <v>12</v>
      </c>
      <c r="F49">
        <v>19</v>
      </c>
      <c r="G49">
        <v>18</v>
      </c>
    </row>
    <row r="50" spans="1:7" x14ac:dyDescent="0.3">
      <c r="A50" t="s">
        <v>288</v>
      </c>
      <c r="B50" t="s">
        <v>289</v>
      </c>
      <c r="C50">
        <v>1</v>
      </c>
      <c r="D50">
        <v>3</v>
      </c>
      <c r="E50">
        <v>3</v>
      </c>
      <c r="F50">
        <v>7</v>
      </c>
      <c r="G50">
        <v>6</v>
      </c>
    </row>
    <row r="51" spans="1:7" x14ac:dyDescent="0.3">
      <c r="A51" t="s">
        <v>290</v>
      </c>
      <c r="B51" t="s">
        <v>291</v>
      </c>
      <c r="C51">
        <v>1</v>
      </c>
      <c r="D51">
        <v>3</v>
      </c>
      <c r="E51">
        <v>0</v>
      </c>
      <c r="F51">
        <v>4</v>
      </c>
      <c r="G51">
        <v>3</v>
      </c>
    </row>
    <row r="52" spans="1:7" x14ac:dyDescent="0.3">
      <c r="A52" t="s">
        <v>290</v>
      </c>
      <c r="B52" t="s">
        <v>292</v>
      </c>
      <c r="C52">
        <v>1</v>
      </c>
      <c r="D52">
        <v>3</v>
      </c>
      <c r="E52">
        <v>0</v>
      </c>
      <c r="F52">
        <v>4</v>
      </c>
      <c r="G52">
        <v>3</v>
      </c>
    </row>
    <row r="53" spans="1:7" x14ac:dyDescent="0.3">
      <c r="A53" t="s">
        <v>293</v>
      </c>
      <c r="B53" t="s">
        <v>294</v>
      </c>
      <c r="C53">
        <v>1</v>
      </c>
      <c r="D53">
        <v>2</v>
      </c>
      <c r="E53">
        <v>4</v>
      </c>
      <c r="F53">
        <v>7</v>
      </c>
      <c r="G53">
        <v>6</v>
      </c>
    </row>
    <row r="54" spans="1:7" x14ac:dyDescent="0.3">
      <c r="A54" t="s">
        <v>295</v>
      </c>
      <c r="B54" t="s">
        <v>296</v>
      </c>
      <c r="C54">
        <v>1</v>
      </c>
      <c r="D54">
        <v>2</v>
      </c>
      <c r="E54">
        <v>3</v>
      </c>
      <c r="F54">
        <v>6</v>
      </c>
      <c r="G54">
        <v>5</v>
      </c>
    </row>
    <row r="55" spans="1:7" x14ac:dyDescent="0.3">
      <c r="A55" t="s">
        <v>297</v>
      </c>
      <c r="B55" t="s">
        <v>298</v>
      </c>
      <c r="C55">
        <v>1</v>
      </c>
      <c r="D55">
        <v>2</v>
      </c>
      <c r="E55">
        <v>1</v>
      </c>
      <c r="F55">
        <v>4</v>
      </c>
      <c r="G55">
        <v>3</v>
      </c>
    </row>
    <row r="56" spans="1:7" x14ac:dyDescent="0.3">
      <c r="A56" t="s">
        <v>297</v>
      </c>
      <c r="B56" t="s">
        <v>299</v>
      </c>
      <c r="C56">
        <v>1</v>
      </c>
      <c r="D56">
        <v>2</v>
      </c>
      <c r="E56">
        <v>1</v>
      </c>
      <c r="F56">
        <v>4</v>
      </c>
      <c r="G56">
        <v>3</v>
      </c>
    </row>
    <row r="57" spans="1:7" x14ac:dyDescent="0.3">
      <c r="A57" t="s">
        <v>300</v>
      </c>
      <c r="B57" t="s">
        <v>301</v>
      </c>
      <c r="C57">
        <v>1</v>
      </c>
      <c r="D57">
        <v>2</v>
      </c>
      <c r="E57">
        <v>0</v>
      </c>
      <c r="F57">
        <v>3</v>
      </c>
      <c r="G57">
        <v>2</v>
      </c>
    </row>
    <row r="58" spans="1:7" x14ac:dyDescent="0.3">
      <c r="A58" t="s">
        <v>302</v>
      </c>
      <c r="B58" t="s">
        <v>303</v>
      </c>
      <c r="C58">
        <v>1</v>
      </c>
      <c r="D58">
        <v>1</v>
      </c>
      <c r="E58">
        <v>5</v>
      </c>
      <c r="F58">
        <v>7</v>
      </c>
      <c r="G58">
        <v>6</v>
      </c>
    </row>
    <row r="59" spans="1:7" x14ac:dyDescent="0.3">
      <c r="A59" t="s">
        <v>304</v>
      </c>
      <c r="B59" t="s">
        <v>305</v>
      </c>
      <c r="C59">
        <v>1</v>
      </c>
      <c r="D59">
        <v>1</v>
      </c>
      <c r="E59">
        <v>4</v>
      </c>
      <c r="F59">
        <v>6</v>
      </c>
      <c r="G59">
        <v>5</v>
      </c>
    </row>
    <row r="60" spans="1:7" x14ac:dyDescent="0.3">
      <c r="A60" t="s">
        <v>306</v>
      </c>
      <c r="B60" t="s">
        <v>307</v>
      </c>
      <c r="C60">
        <v>1</v>
      </c>
      <c r="D60">
        <v>1</v>
      </c>
      <c r="E60">
        <v>3</v>
      </c>
      <c r="F60">
        <v>5</v>
      </c>
      <c r="G60">
        <v>4</v>
      </c>
    </row>
    <row r="61" spans="1:7" x14ac:dyDescent="0.3">
      <c r="A61" t="s">
        <v>308</v>
      </c>
      <c r="B61" t="s">
        <v>309</v>
      </c>
      <c r="C61">
        <v>1</v>
      </c>
      <c r="D61">
        <v>1</v>
      </c>
      <c r="E61">
        <v>2</v>
      </c>
      <c r="F61">
        <v>4</v>
      </c>
      <c r="G61">
        <v>3</v>
      </c>
    </row>
    <row r="62" spans="1:7" x14ac:dyDescent="0.3">
      <c r="A62" t="s">
        <v>308</v>
      </c>
      <c r="B62" t="s">
        <v>310</v>
      </c>
      <c r="C62">
        <v>1</v>
      </c>
      <c r="D62">
        <v>1</v>
      </c>
      <c r="E62">
        <v>2</v>
      </c>
      <c r="F62">
        <v>4</v>
      </c>
      <c r="G62">
        <v>3</v>
      </c>
    </row>
    <row r="63" spans="1:7" x14ac:dyDescent="0.3">
      <c r="A63" t="s">
        <v>311</v>
      </c>
      <c r="B63" t="s">
        <v>312</v>
      </c>
      <c r="C63">
        <v>1</v>
      </c>
      <c r="D63">
        <v>1</v>
      </c>
      <c r="E63">
        <v>0</v>
      </c>
      <c r="F63">
        <v>2</v>
      </c>
      <c r="G63">
        <v>1</v>
      </c>
    </row>
    <row r="64" spans="1:7" x14ac:dyDescent="0.3">
      <c r="A64" t="s">
        <v>313</v>
      </c>
      <c r="B64" t="s">
        <v>314</v>
      </c>
      <c r="C64">
        <v>1</v>
      </c>
      <c r="D64">
        <v>0</v>
      </c>
      <c r="E64">
        <v>1</v>
      </c>
      <c r="F64">
        <v>2</v>
      </c>
      <c r="G64">
        <v>1</v>
      </c>
    </row>
    <row r="65" spans="1:7" x14ac:dyDescent="0.3">
      <c r="A65" t="s">
        <v>313</v>
      </c>
      <c r="B65" t="s">
        <v>315</v>
      </c>
      <c r="C65">
        <v>1</v>
      </c>
      <c r="D65">
        <v>0</v>
      </c>
      <c r="E65">
        <v>1</v>
      </c>
      <c r="F65">
        <v>2</v>
      </c>
      <c r="G65">
        <v>1</v>
      </c>
    </row>
    <row r="66" spans="1:7" x14ac:dyDescent="0.3">
      <c r="A66" t="s">
        <v>313</v>
      </c>
      <c r="B66" t="s">
        <v>316</v>
      </c>
      <c r="C66">
        <v>1</v>
      </c>
      <c r="D66">
        <v>0</v>
      </c>
      <c r="E66">
        <v>1</v>
      </c>
      <c r="F66">
        <v>2</v>
      </c>
      <c r="G66">
        <v>1</v>
      </c>
    </row>
    <row r="67" spans="1:7" x14ac:dyDescent="0.3">
      <c r="A67" t="s">
        <v>313</v>
      </c>
      <c r="B67" t="s">
        <v>317</v>
      </c>
      <c r="C67">
        <v>1</v>
      </c>
      <c r="D67">
        <v>0</v>
      </c>
      <c r="E67">
        <v>1</v>
      </c>
      <c r="F67">
        <v>2</v>
      </c>
      <c r="G67">
        <v>1</v>
      </c>
    </row>
    <row r="68" spans="1:7" x14ac:dyDescent="0.3">
      <c r="A68" t="s">
        <v>318</v>
      </c>
      <c r="B68" t="s">
        <v>319</v>
      </c>
      <c r="C68">
        <v>1</v>
      </c>
      <c r="D68">
        <v>0</v>
      </c>
      <c r="E68">
        <v>0</v>
      </c>
      <c r="F68">
        <v>1</v>
      </c>
      <c r="G68">
        <v>0</v>
      </c>
    </row>
    <row r="69" spans="1:7" x14ac:dyDescent="0.3">
      <c r="A69" t="s">
        <v>318</v>
      </c>
      <c r="B69" t="s">
        <v>320</v>
      </c>
      <c r="C69">
        <v>1</v>
      </c>
      <c r="D69">
        <v>0</v>
      </c>
      <c r="E69">
        <v>0</v>
      </c>
      <c r="F69">
        <v>1</v>
      </c>
      <c r="G69">
        <v>0</v>
      </c>
    </row>
    <row r="70" spans="1:7" x14ac:dyDescent="0.3">
      <c r="A70" t="s">
        <v>318</v>
      </c>
      <c r="B70" t="s">
        <v>321</v>
      </c>
      <c r="C70">
        <v>1</v>
      </c>
      <c r="D70">
        <v>0</v>
      </c>
      <c r="E70">
        <v>0</v>
      </c>
      <c r="F70">
        <v>1</v>
      </c>
      <c r="G70">
        <v>0</v>
      </c>
    </row>
    <row r="71" spans="1:7" x14ac:dyDescent="0.3">
      <c r="A71" t="s">
        <v>322</v>
      </c>
      <c r="B71" t="s">
        <v>323</v>
      </c>
      <c r="C71">
        <v>0</v>
      </c>
      <c r="D71">
        <v>4</v>
      </c>
      <c r="E71">
        <v>1</v>
      </c>
      <c r="F71">
        <v>5</v>
      </c>
      <c r="G71">
        <v>5</v>
      </c>
    </row>
    <row r="72" spans="1:7" x14ac:dyDescent="0.3">
      <c r="A72" t="s">
        <v>324</v>
      </c>
      <c r="B72" t="s">
        <v>325</v>
      </c>
      <c r="C72">
        <v>0</v>
      </c>
      <c r="D72">
        <v>3</v>
      </c>
      <c r="E72">
        <v>4</v>
      </c>
      <c r="F72">
        <v>7</v>
      </c>
      <c r="G72">
        <v>7</v>
      </c>
    </row>
    <row r="73" spans="1:7" x14ac:dyDescent="0.3">
      <c r="A73" t="s">
        <v>326</v>
      </c>
      <c r="B73" t="s">
        <v>327</v>
      </c>
      <c r="C73">
        <v>0</v>
      </c>
      <c r="D73">
        <v>3</v>
      </c>
      <c r="E73">
        <v>2</v>
      </c>
      <c r="F73">
        <v>5</v>
      </c>
      <c r="G73">
        <v>5</v>
      </c>
    </row>
    <row r="74" spans="1:7" x14ac:dyDescent="0.3">
      <c r="A74" t="s">
        <v>328</v>
      </c>
      <c r="B74" t="s">
        <v>329</v>
      </c>
      <c r="C74">
        <v>0</v>
      </c>
      <c r="D74">
        <v>2</v>
      </c>
      <c r="E74">
        <v>2</v>
      </c>
      <c r="F74">
        <v>4</v>
      </c>
      <c r="G74">
        <v>4</v>
      </c>
    </row>
    <row r="75" spans="1:7" x14ac:dyDescent="0.3">
      <c r="A75" t="s">
        <v>330</v>
      </c>
      <c r="B75" t="s">
        <v>331</v>
      </c>
      <c r="C75">
        <v>0</v>
      </c>
      <c r="D75">
        <v>2</v>
      </c>
      <c r="E75">
        <v>1</v>
      </c>
      <c r="F75">
        <v>3</v>
      </c>
      <c r="G75">
        <v>3</v>
      </c>
    </row>
    <row r="76" spans="1:7" x14ac:dyDescent="0.3">
      <c r="A76" t="s">
        <v>332</v>
      </c>
      <c r="B76" t="s">
        <v>333</v>
      </c>
      <c r="C76">
        <v>0</v>
      </c>
      <c r="D76">
        <v>1</v>
      </c>
      <c r="E76">
        <v>3</v>
      </c>
      <c r="F76">
        <v>4</v>
      </c>
      <c r="G76">
        <v>4</v>
      </c>
    </row>
    <row r="77" spans="1:7" x14ac:dyDescent="0.3">
      <c r="A77" t="s">
        <v>334</v>
      </c>
      <c r="B77" t="s">
        <v>335</v>
      </c>
      <c r="C77">
        <v>0</v>
      </c>
      <c r="D77">
        <v>1</v>
      </c>
      <c r="E77">
        <v>2</v>
      </c>
      <c r="F77">
        <v>3</v>
      </c>
      <c r="G77">
        <v>3</v>
      </c>
    </row>
    <row r="78" spans="1:7" x14ac:dyDescent="0.3">
      <c r="A78" t="s">
        <v>334</v>
      </c>
      <c r="B78" t="s">
        <v>336</v>
      </c>
      <c r="C78">
        <v>0</v>
      </c>
      <c r="D78">
        <v>1</v>
      </c>
      <c r="E78">
        <v>2</v>
      </c>
      <c r="F78">
        <v>3</v>
      </c>
      <c r="G78">
        <v>3</v>
      </c>
    </row>
    <row r="79" spans="1:7" x14ac:dyDescent="0.3">
      <c r="A79" t="s">
        <v>337</v>
      </c>
      <c r="B79" t="s">
        <v>338</v>
      </c>
      <c r="C79">
        <v>0</v>
      </c>
      <c r="D79">
        <v>1</v>
      </c>
      <c r="E79">
        <v>1</v>
      </c>
      <c r="F79">
        <v>2</v>
      </c>
      <c r="G79">
        <v>2</v>
      </c>
    </row>
    <row r="80" spans="1:7" x14ac:dyDescent="0.3">
      <c r="A80" t="s">
        <v>337</v>
      </c>
      <c r="B80" t="s">
        <v>339</v>
      </c>
      <c r="C80">
        <v>0</v>
      </c>
      <c r="D80">
        <v>1</v>
      </c>
      <c r="E80">
        <v>1</v>
      </c>
      <c r="F80">
        <v>2</v>
      </c>
      <c r="G80">
        <v>2</v>
      </c>
    </row>
    <row r="81" spans="1:7" x14ac:dyDescent="0.3">
      <c r="A81" t="s">
        <v>337</v>
      </c>
      <c r="B81" t="s">
        <v>340</v>
      </c>
      <c r="C81">
        <v>0</v>
      </c>
      <c r="D81">
        <v>1</v>
      </c>
      <c r="E81">
        <v>1</v>
      </c>
      <c r="F81">
        <v>2</v>
      </c>
      <c r="G81">
        <v>2</v>
      </c>
    </row>
    <row r="82" spans="1:7" x14ac:dyDescent="0.3">
      <c r="A82" t="s">
        <v>341</v>
      </c>
      <c r="B82" t="s">
        <v>342</v>
      </c>
      <c r="C82">
        <v>0</v>
      </c>
      <c r="D82">
        <v>1</v>
      </c>
      <c r="E82">
        <v>0</v>
      </c>
      <c r="F82">
        <v>1</v>
      </c>
      <c r="G82">
        <v>1</v>
      </c>
    </row>
    <row r="83" spans="1:7" x14ac:dyDescent="0.3">
      <c r="A83" t="s">
        <v>341</v>
      </c>
      <c r="B83" t="s">
        <v>343</v>
      </c>
      <c r="C83">
        <v>0</v>
      </c>
      <c r="D83">
        <v>1</v>
      </c>
      <c r="E83">
        <v>0</v>
      </c>
      <c r="F83">
        <v>1</v>
      </c>
      <c r="G83">
        <v>1</v>
      </c>
    </row>
    <row r="84" spans="1:7" x14ac:dyDescent="0.3">
      <c r="A84" t="s">
        <v>341</v>
      </c>
      <c r="B84" t="s">
        <v>344</v>
      </c>
      <c r="C84">
        <v>0</v>
      </c>
      <c r="D84">
        <v>1</v>
      </c>
      <c r="E84">
        <v>0</v>
      </c>
      <c r="F84">
        <v>1</v>
      </c>
      <c r="G84">
        <v>1</v>
      </c>
    </row>
    <row r="85" spans="1:7" x14ac:dyDescent="0.3">
      <c r="A85" t="s">
        <v>341</v>
      </c>
      <c r="B85" t="s">
        <v>345</v>
      </c>
      <c r="C85">
        <v>0</v>
      </c>
      <c r="D85">
        <v>1</v>
      </c>
      <c r="E85">
        <v>0</v>
      </c>
      <c r="F85">
        <v>1</v>
      </c>
      <c r="G85">
        <v>1</v>
      </c>
    </row>
    <row r="86" spans="1:7" x14ac:dyDescent="0.3">
      <c r="A86" t="s">
        <v>341</v>
      </c>
      <c r="B86" t="s">
        <v>346</v>
      </c>
      <c r="C86">
        <v>0</v>
      </c>
      <c r="D86">
        <v>1</v>
      </c>
      <c r="E86">
        <v>0</v>
      </c>
      <c r="F86">
        <v>1</v>
      </c>
      <c r="G86">
        <v>1</v>
      </c>
    </row>
    <row r="87" spans="1:7" x14ac:dyDescent="0.3">
      <c r="A87" t="s">
        <v>341</v>
      </c>
      <c r="B87" t="s">
        <v>347</v>
      </c>
      <c r="C87">
        <v>0</v>
      </c>
      <c r="D87">
        <v>1</v>
      </c>
      <c r="E87">
        <v>0</v>
      </c>
      <c r="F87">
        <v>1</v>
      </c>
      <c r="G87">
        <v>1</v>
      </c>
    </row>
    <row r="88" spans="1:7" x14ac:dyDescent="0.3">
      <c r="A88" t="s">
        <v>348</v>
      </c>
      <c r="B88" t="s">
        <v>349</v>
      </c>
      <c r="C88">
        <v>0</v>
      </c>
      <c r="D88">
        <v>0</v>
      </c>
      <c r="E88">
        <v>8</v>
      </c>
      <c r="F88">
        <v>8</v>
      </c>
      <c r="G88">
        <v>8</v>
      </c>
    </row>
    <row r="89" spans="1:7" x14ac:dyDescent="0.3">
      <c r="A89" t="s">
        <v>350</v>
      </c>
      <c r="B89" t="s">
        <v>351</v>
      </c>
      <c r="C89">
        <v>0</v>
      </c>
      <c r="D89">
        <v>0</v>
      </c>
      <c r="E89">
        <v>4</v>
      </c>
      <c r="F89">
        <v>4</v>
      </c>
      <c r="G89">
        <v>4</v>
      </c>
    </row>
    <row r="90" spans="1:7" x14ac:dyDescent="0.3">
      <c r="A90" t="s">
        <v>352</v>
      </c>
      <c r="B90" t="s">
        <v>353</v>
      </c>
      <c r="C90">
        <v>0</v>
      </c>
      <c r="D90">
        <v>0</v>
      </c>
      <c r="E90">
        <v>2</v>
      </c>
      <c r="F90">
        <v>2</v>
      </c>
      <c r="G90">
        <v>2</v>
      </c>
    </row>
    <row r="91" spans="1:7" x14ac:dyDescent="0.3">
      <c r="A91" t="s">
        <v>354</v>
      </c>
      <c r="B91" t="s">
        <v>355</v>
      </c>
      <c r="C91">
        <v>0</v>
      </c>
      <c r="D91">
        <v>0</v>
      </c>
      <c r="E91">
        <v>1</v>
      </c>
      <c r="F91">
        <v>1</v>
      </c>
      <c r="G91">
        <v>1</v>
      </c>
    </row>
    <row r="92" spans="1:7" x14ac:dyDescent="0.3">
      <c r="A92" t="s">
        <v>354</v>
      </c>
      <c r="B92" t="s">
        <v>356</v>
      </c>
      <c r="C92">
        <v>0</v>
      </c>
      <c r="D92">
        <v>0</v>
      </c>
      <c r="E92">
        <v>1</v>
      </c>
      <c r="F92">
        <v>1</v>
      </c>
      <c r="G92">
        <v>1</v>
      </c>
    </row>
    <row r="93" spans="1:7" x14ac:dyDescent="0.3">
      <c r="A93" t="s">
        <v>354</v>
      </c>
      <c r="B93" t="s">
        <v>357</v>
      </c>
      <c r="C93">
        <v>0</v>
      </c>
      <c r="D93">
        <v>0</v>
      </c>
      <c r="E93">
        <v>1</v>
      </c>
      <c r="F93">
        <v>1</v>
      </c>
      <c r="G93">
        <v>1</v>
      </c>
    </row>
    <row r="94" spans="1:7" x14ac:dyDescent="0.3">
      <c r="A94" t="s">
        <v>354</v>
      </c>
      <c r="B94" t="s">
        <v>358</v>
      </c>
      <c r="C94">
        <v>0</v>
      </c>
      <c r="D94">
        <v>0</v>
      </c>
      <c r="E94">
        <v>1</v>
      </c>
      <c r="F94">
        <v>1</v>
      </c>
      <c r="G94">
        <v>1</v>
      </c>
    </row>
    <row r="95" spans="1:7" x14ac:dyDescent="0.3">
      <c r="A95" t="s">
        <v>354</v>
      </c>
      <c r="B95" t="s">
        <v>359</v>
      </c>
      <c r="C95">
        <v>0</v>
      </c>
      <c r="D95">
        <v>0</v>
      </c>
      <c r="E95">
        <v>1</v>
      </c>
      <c r="F95">
        <v>1</v>
      </c>
      <c r="G95">
        <v>1</v>
      </c>
    </row>
    <row r="96" spans="1:7" x14ac:dyDescent="0.3">
      <c r="A96" t="s">
        <v>354</v>
      </c>
      <c r="B96" t="s">
        <v>360</v>
      </c>
      <c r="C96">
        <v>0</v>
      </c>
      <c r="D96">
        <v>0</v>
      </c>
      <c r="E96">
        <v>1</v>
      </c>
      <c r="F96">
        <v>1</v>
      </c>
      <c r="G96">
        <v>1</v>
      </c>
    </row>
    <row r="97" spans="1:7" x14ac:dyDescent="0.3">
      <c r="A97" t="s">
        <v>354</v>
      </c>
      <c r="B97" t="s">
        <v>361</v>
      </c>
      <c r="C97">
        <v>0</v>
      </c>
      <c r="D97">
        <v>0</v>
      </c>
      <c r="E97">
        <v>1</v>
      </c>
      <c r="F97">
        <v>1</v>
      </c>
      <c r="G97">
        <v>1</v>
      </c>
    </row>
    <row r="98" spans="1:7" x14ac:dyDescent="0.3">
      <c r="A98" t="s">
        <v>354</v>
      </c>
      <c r="B98" t="s">
        <v>362</v>
      </c>
      <c r="C98">
        <v>0</v>
      </c>
      <c r="D98">
        <v>0</v>
      </c>
      <c r="E98">
        <v>1</v>
      </c>
      <c r="F98">
        <v>1</v>
      </c>
      <c r="G98">
        <v>1</v>
      </c>
    </row>
  </sheetData>
  <conditionalFormatting sqref="B5:B98">
    <cfRule type="duplicateValues" dxfId="0" priority="1"/>
  </conditionalFormatting>
  <hyperlinks>
    <hyperlink ref="A3" r:id="rId1" xr:uid="{59CD6C58-A274-4D66-8E43-84BACEE7905E}"/>
  </hyperlinks>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37291-EE98-4D0B-AA56-02D2EC04D928}">
  <dimension ref="A1:Z1002"/>
  <sheetViews>
    <sheetView workbookViewId="0">
      <selection activeCell="I8" sqref="I8"/>
    </sheetView>
  </sheetViews>
  <sheetFormatPr defaultRowHeight="14.2" x14ac:dyDescent="0.3"/>
  <cols>
    <col min="1" max="1" width="13.296875" customWidth="1"/>
    <col min="2" max="2" width="13.3984375" customWidth="1"/>
    <col min="3" max="3" width="10.296875" customWidth="1"/>
    <col min="4" max="4" width="15.8984375" customWidth="1"/>
    <col min="5" max="5" width="12.69921875" customWidth="1"/>
    <col min="6" max="6" width="17.796875" customWidth="1"/>
    <col min="7" max="7" width="18.8984375" customWidth="1"/>
    <col min="8" max="8" width="13.8984375" customWidth="1"/>
    <col min="9" max="9" width="13.3984375" customWidth="1"/>
    <col min="10" max="10" width="23.8984375" customWidth="1"/>
    <col min="11" max="11" width="16.59765625" customWidth="1"/>
    <col min="12" max="12" width="9.09765625" customWidth="1"/>
    <col min="14" max="14" width="8.796875" customWidth="1"/>
    <col min="15" max="15" width="69.796875" customWidth="1"/>
    <col min="16" max="16" width="32.296875" customWidth="1"/>
    <col min="27" max="27" width="52.3984375" customWidth="1"/>
    <col min="28" max="28" width="69.796875" bestFit="1" customWidth="1"/>
    <col min="29" max="29" width="32.296875" bestFit="1" customWidth="1"/>
  </cols>
  <sheetData>
    <row r="1" spans="1:26" x14ac:dyDescent="0.3">
      <c r="Z1" s="26"/>
    </row>
    <row r="2" spans="1:26" x14ac:dyDescent="0.3">
      <c r="A2" s="129" t="s">
        <v>1602</v>
      </c>
      <c r="B2" s="107" t="s">
        <v>1603</v>
      </c>
      <c r="C2" s="107" t="s">
        <v>1604</v>
      </c>
      <c r="D2" s="107" t="s">
        <v>1605</v>
      </c>
      <c r="E2" s="107" t="s">
        <v>1606</v>
      </c>
      <c r="F2" s="107" t="s">
        <v>1607</v>
      </c>
      <c r="G2" s="130" t="s">
        <v>1608</v>
      </c>
      <c r="H2" s="144" t="s">
        <v>2670</v>
      </c>
      <c r="I2" s="144" t="s">
        <v>2677</v>
      </c>
      <c r="J2" s="144" t="s">
        <v>2695</v>
      </c>
      <c r="K2" s="144" t="s">
        <v>2698</v>
      </c>
      <c r="N2" s="122" t="s">
        <v>1603</v>
      </c>
      <c r="O2" s="123" t="s">
        <v>2629</v>
      </c>
      <c r="P2" s="123" t="s">
        <v>477</v>
      </c>
      <c r="Q2" s="124" t="s">
        <v>2630</v>
      </c>
    </row>
    <row r="3" spans="1:26" x14ac:dyDescent="0.3">
      <c r="A3" s="8" t="s">
        <v>1609</v>
      </c>
      <c r="B3" s="8" t="s">
        <v>1610</v>
      </c>
      <c r="C3" s="8">
        <v>116</v>
      </c>
      <c r="D3" s="120" t="s">
        <v>1611</v>
      </c>
      <c r="E3" s="121">
        <v>44927</v>
      </c>
      <c r="F3" s="8">
        <v>128</v>
      </c>
      <c r="G3" s="8">
        <v>4.9000000000000004</v>
      </c>
      <c r="H3" s="82">
        <f>IF(MONTH(TABLE_PIVOT[[#This Row],[Date of Call]])&lt;=6,YEAR(TABLE_PIVOT[[#This Row],[Date of Call]]),YEAR(TABLE_PIVOT[[#This Row],[Date of Call]])+1)</f>
        <v>2023</v>
      </c>
      <c r="I3" s="82" t="str">
        <f>TEXT(TABLE_PIVOT[[#This Row],[Date of Call]],"DDDD")</f>
        <v>Sunday</v>
      </c>
      <c r="J3" s="82" t="str" cm="1">
        <f t="array" ref="J3">_xlfn.IFS(TABLE_PIVOT[[#This Row],[Duration]]&lt;=10,"Under 10 Mins",TABLE_PIVOT[[#This Row],[Duration]]&lt;=30,"10 to 30 Mins",TABLE_PIVOT[[#This Row],[Duration]]&lt;=60,"30 to 60 Mins",TABLE_PIVOT[[#This Row],[Duration]]&lt;=120,"1 to 2 Hours",TRUE,"More Than 2 Hours")</f>
        <v>1 to 2 Hours</v>
      </c>
      <c r="K3" s="82">
        <f>ROUND(TABLE_PIVOT[[#This Row],[Satisfaction Rating]],0)</f>
        <v>5</v>
      </c>
      <c r="N3" s="125" t="s">
        <v>1662</v>
      </c>
      <c r="O3" s="117" t="s">
        <v>47</v>
      </c>
      <c r="P3" s="82">
        <v>41</v>
      </c>
      <c r="Q3" s="126" t="s">
        <v>2631</v>
      </c>
    </row>
    <row r="4" spans="1:26" x14ac:dyDescent="0.3">
      <c r="A4" s="8" t="s">
        <v>1612</v>
      </c>
      <c r="B4" s="8" t="s">
        <v>1613</v>
      </c>
      <c r="C4" s="8">
        <v>119</v>
      </c>
      <c r="D4" s="120" t="s">
        <v>1611</v>
      </c>
      <c r="E4" s="121">
        <v>44927</v>
      </c>
      <c r="F4" s="8">
        <v>135</v>
      </c>
      <c r="G4" s="8">
        <v>2.9</v>
      </c>
      <c r="H4" s="82">
        <f>IF(MONTH(TABLE_PIVOT[[#This Row],[Date of Call]])&lt;=6,YEAR(TABLE_PIVOT[[#This Row],[Date of Call]]),YEAR(TABLE_PIVOT[[#This Row],[Date of Call]])+1)</f>
        <v>2023</v>
      </c>
      <c r="I4" s="82" t="str">
        <f>TEXT(TABLE_PIVOT[[#This Row],[Date of Call]],"DDDD")</f>
        <v>Sunday</v>
      </c>
      <c r="J4" s="82" t="str" cm="1">
        <f t="array" ref="J4">_xlfn.IFS(TABLE_PIVOT[[#This Row],[Duration]]&lt;=10,"Under 10 Mins",TABLE_PIVOT[[#This Row],[Duration]]&lt;=30,"10 to 30 Mins",TABLE_PIVOT[[#This Row],[Duration]]&lt;=60,"30 to 60 Mins",TABLE_PIVOT[[#This Row],[Duration]]&lt;=120,"1 to 2 Hours",TRUE,"More Than 2 Hours")</f>
        <v>1 to 2 Hours</v>
      </c>
      <c r="K4" s="82">
        <f>ROUND(TABLE_PIVOT[[#This Row],[Satisfaction Rating]],0)</f>
        <v>3</v>
      </c>
      <c r="N4" s="125" t="s">
        <v>1635</v>
      </c>
      <c r="O4" s="117" t="s">
        <v>47</v>
      </c>
      <c r="P4" s="82">
        <v>31</v>
      </c>
      <c r="Q4" s="126" t="s">
        <v>2632</v>
      </c>
    </row>
    <row r="5" spans="1:26" x14ac:dyDescent="0.3">
      <c r="A5" s="8" t="s">
        <v>1614</v>
      </c>
      <c r="B5" s="8" t="s">
        <v>1615</v>
      </c>
      <c r="C5" s="8">
        <v>68</v>
      </c>
      <c r="D5" s="120" t="s">
        <v>1616</v>
      </c>
      <c r="E5" s="121">
        <v>44927</v>
      </c>
      <c r="F5" s="8">
        <v>66</v>
      </c>
      <c r="G5" s="8">
        <v>4.7</v>
      </c>
      <c r="H5" s="82">
        <f>IF(MONTH(TABLE_PIVOT[[#This Row],[Date of Call]])&lt;=6,YEAR(TABLE_PIVOT[[#This Row],[Date of Call]]),YEAR(TABLE_PIVOT[[#This Row],[Date of Call]])+1)</f>
        <v>2023</v>
      </c>
      <c r="I5" s="82" t="str">
        <f>TEXT(TABLE_PIVOT[[#This Row],[Date of Call]],"DDDD")</f>
        <v>Sunday</v>
      </c>
      <c r="J5" s="82" t="str" cm="1">
        <f t="array" ref="J5">_xlfn.IFS(TABLE_PIVOT[[#This Row],[Duration]]&lt;=10,"Under 10 Mins",TABLE_PIVOT[[#This Row],[Duration]]&lt;=30,"10 to 30 Mins",TABLE_PIVOT[[#This Row],[Duration]]&lt;=60,"30 to 60 Mins",TABLE_PIVOT[[#This Row],[Duration]]&lt;=120,"1 to 2 Hours",TRUE,"More Than 2 Hours")</f>
        <v>1 to 2 Hours</v>
      </c>
      <c r="K5" s="82">
        <f>ROUND(TABLE_PIVOT[[#This Row],[Satisfaction Rating]],0)</f>
        <v>5</v>
      </c>
      <c r="N5" s="125" t="s">
        <v>1610</v>
      </c>
      <c r="O5" s="117" t="s">
        <v>47</v>
      </c>
      <c r="P5" s="82">
        <v>26</v>
      </c>
      <c r="Q5" s="126" t="s">
        <v>2633</v>
      </c>
    </row>
    <row r="6" spans="1:26" x14ac:dyDescent="0.3">
      <c r="A6" s="8" t="s">
        <v>1617</v>
      </c>
      <c r="B6" s="8" t="s">
        <v>1618</v>
      </c>
      <c r="C6" s="8">
        <v>119</v>
      </c>
      <c r="D6" s="120" t="s">
        <v>1616</v>
      </c>
      <c r="E6" s="121">
        <v>44927</v>
      </c>
      <c r="F6" s="8">
        <v>22</v>
      </c>
      <c r="G6" s="8">
        <v>2.9</v>
      </c>
      <c r="H6" s="82">
        <f>IF(MONTH(TABLE_PIVOT[[#This Row],[Date of Call]])&lt;=6,YEAR(TABLE_PIVOT[[#This Row],[Date of Call]]),YEAR(TABLE_PIVOT[[#This Row],[Date of Call]])+1)</f>
        <v>2023</v>
      </c>
      <c r="I6" s="82" t="str">
        <f>TEXT(TABLE_PIVOT[[#This Row],[Date of Call]],"DDDD")</f>
        <v>Sunday</v>
      </c>
      <c r="J6" s="82" t="str" cm="1">
        <f t="array" ref="J6">_xlfn.IFS(TABLE_PIVOT[[#This Row],[Duration]]&lt;=10,"Under 10 Mins",TABLE_PIVOT[[#This Row],[Duration]]&lt;=30,"10 to 30 Mins",TABLE_PIVOT[[#This Row],[Duration]]&lt;=60,"30 to 60 Mins",TABLE_PIVOT[[#This Row],[Duration]]&lt;=120,"1 to 2 Hours",TRUE,"More Than 2 Hours")</f>
        <v>1 to 2 Hours</v>
      </c>
      <c r="K6" s="82">
        <f>ROUND(TABLE_PIVOT[[#This Row],[Satisfaction Rating]],0)</f>
        <v>3</v>
      </c>
      <c r="N6" s="125" t="s">
        <v>1613</v>
      </c>
      <c r="O6" s="117" t="s">
        <v>47</v>
      </c>
      <c r="P6" s="82">
        <v>36</v>
      </c>
      <c r="Q6" s="126" t="s">
        <v>2633</v>
      </c>
    </row>
    <row r="7" spans="1:26" x14ac:dyDescent="0.3">
      <c r="A7" s="8" t="s">
        <v>1619</v>
      </c>
      <c r="B7" s="8" t="s">
        <v>1620</v>
      </c>
      <c r="C7" s="8">
        <v>128</v>
      </c>
      <c r="D7" s="120" t="s">
        <v>1621</v>
      </c>
      <c r="E7" s="121">
        <v>44928</v>
      </c>
      <c r="F7" s="8">
        <v>31</v>
      </c>
      <c r="G7" s="8">
        <v>2.8</v>
      </c>
      <c r="H7" s="82">
        <f>IF(MONTH(TABLE_PIVOT[[#This Row],[Date of Call]])&lt;=6,YEAR(TABLE_PIVOT[[#This Row],[Date of Call]]),YEAR(TABLE_PIVOT[[#This Row],[Date of Call]])+1)</f>
        <v>2023</v>
      </c>
      <c r="I7" s="82" t="str">
        <f>TEXT(TABLE_PIVOT[[#This Row],[Date of Call]],"DDDD")</f>
        <v>Monday</v>
      </c>
      <c r="J7" s="82" t="str" cm="1">
        <f t="array" ref="J7">_xlfn.IFS(TABLE_PIVOT[[#This Row],[Duration]]&lt;=10,"Under 10 Mins",TABLE_PIVOT[[#This Row],[Duration]]&lt;=30,"10 to 30 Mins",TABLE_PIVOT[[#This Row],[Duration]]&lt;=60,"30 to 60 Mins",TABLE_PIVOT[[#This Row],[Duration]]&lt;=120,"1 to 2 Hours",TRUE,"More Than 2 Hours")</f>
        <v>More Than 2 Hours</v>
      </c>
      <c r="K7" s="82">
        <f>ROUND(TABLE_PIVOT[[#This Row],[Satisfaction Rating]],0)</f>
        <v>3</v>
      </c>
      <c r="N7" s="125" t="s">
        <v>1615</v>
      </c>
      <c r="O7" s="117" t="s">
        <v>47</v>
      </c>
      <c r="P7" s="82">
        <v>37</v>
      </c>
      <c r="Q7" s="126" t="s">
        <v>2631</v>
      </c>
    </row>
    <row r="8" spans="1:26" x14ac:dyDescent="0.3">
      <c r="A8" s="8" t="s">
        <v>1622</v>
      </c>
      <c r="B8" s="8" t="s">
        <v>1620</v>
      </c>
      <c r="C8" s="8">
        <v>49</v>
      </c>
      <c r="D8" s="120" t="s">
        <v>1616</v>
      </c>
      <c r="E8" s="121">
        <v>44929</v>
      </c>
      <c r="F8" s="8">
        <v>135</v>
      </c>
      <c r="G8" s="8">
        <v>4.8</v>
      </c>
      <c r="H8" s="82">
        <f>IF(MONTH(TABLE_PIVOT[[#This Row],[Date of Call]])&lt;=6,YEAR(TABLE_PIVOT[[#This Row],[Date of Call]]),YEAR(TABLE_PIVOT[[#This Row],[Date of Call]])+1)</f>
        <v>2023</v>
      </c>
      <c r="I8" s="82" t="str">
        <f>TEXT(TABLE_PIVOT[[#This Row],[Date of Call]],"DDDD")</f>
        <v>Tuesday</v>
      </c>
      <c r="J8" s="82" t="str" cm="1">
        <f t="array" ref="J8">_xlfn.IFS(TABLE_PIVOT[[#This Row],[Duration]]&lt;=10,"Under 10 Mins",TABLE_PIVOT[[#This Row],[Duration]]&lt;=30,"10 to 30 Mins",TABLE_PIVOT[[#This Row],[Duration]]&lt;=60,"30 to 60 Mins",TABLE_PIVOT[[#This Row],[Duration]]&lt;=120,"1 to 2 Hours",TRUE,"More Than 2 Hours")</f>
        <v>30 to 60 Mins</v>
      </c>
      <c r="K8" s="82">
        <f>ROUND(TABLE_PIVOT[[#This Row],[Satisfaction Rating]],0)</f>
        <v>5</v>
      </c>
      <c r="N8" s="125" t="s">
        <v>1644</v>
      </c>
      <c r="O8" s="117" t="s">
        <v>47</v>
      </c>
      <c r="P8" s="82">
        <v>23</v>
      </c>
      <c r="Q8" s="126" t="s">
        <v>2631</v>
      </c>
    </row>
    <row r="9" spans="1:26" x14ac:dyDescent="0.3">
      <c r="A9" s="8" t="s">
        <v>1623</v>
      </c>
      <c r="B9" s="8" t="s">
        <v>1624</v>
      </c>
      <c r="C9" s="8">
        <v>84</v>
      </c>
      <c r="D9" s="120" t="s">
        <v>1611</v>
      </c>
      <c r="E9" s="121">
        <v>44929</v>
      </c>
      <c r="F9" s="8">
        <v>60</v>
      </c>
      <c r="G9" s="8">
        <v>4.7</v>
      </c>
      <c r="H9" s="82">
        <f>IF(MONTH(TABLE_PIVOT[[#This Row],[Date of Call]])&lt;=6,YEAR(TABLE_PIVOT[[#This Row],[Date of Call]]),YEAR(TABLE_PIVOT[[#This Row],[Date of Call]])+1)</f>
        <v>2023</v>
      </c>
      <c r="I9" s="82" t="str">
        <f>TEXT(TABLE_PIVOT[[#This Row],[Date of Call]],"DDDD")</f>
        <v>Tuesday</v>
      </c>
      <c r="J9" s="82" t="str" cm="1">
        <f t="array" ref="J9">_xlfn.IFS(TABLE_PIVOT[[#This Row],[Duration]]&lt;=10,"Under 10 Mins",TABLE_PIVOT[[#This Row],[Duration]]&lt;=30,"10 to 30 Mins",TABLE_PIVOT[[#This Row],[Duration]]&lt;=60,"30 to 60 Mins",TABLE_PIVOT[[#This Row],[Duration]]&lt;=120,"1 to 2 Hours",TRUE,"More Than 2 Hours")</f>
        <v>1 to 2 Hours</v>
      </c>
      <c r="K9" s="82">
        <f>ROUND(TABLE_PIVOT[[#This Row],[Satisfaction Rating]],0)</f>
        <v>5</v>
      </c>
      <c r="N9" s="125" t="s">
        <v>1624</v>
      </c>
      <c r="O9" s="117" t="s">
        <v>33</v>
      </c>
      <c r="P9" s="82">
        <v>22</v>
      </c>
      <c r="Q9" s="126" t="s">
        <v>2632</v>
      </c>
    </row>
    <row r="10" spans="1:26" x14ac:dyDescent="0.3">
      <c r="A10" s="8" t="s">
        <v>1625</v>
      </c>
      <c r="B10" s="8" t="s">
        <v>1610</v>
      </c>
      <c r="C10" s="8">
        <v>103</v>
      </c>
      <c r="D10" s="120" t="s">
        <v>1626</v>
      </c>
      <c r="E10" s="121">
        <v>44929</v>
      </c>
      <c r="F10" s="8">
        <v>148</v>
      </c>
      <c r="G10" s="8">
        <v>4.4000000000000004</v>
      </c>
      <c r="H10" s="82">
        <f>IF(MONTH(TABLE_PIVOT[[#This Row],[Date of Call]])&lt;=6,YEAR(TABLE_PIVOT[[#This Row],[Date of Call]]),YEAR(TABLE_PIVOT[[#This Row],[Date of Call]])+1)</f>
        <v>2023</v>
      </c>
      <c r="I10" s="82" t="str">
        <f>TEXT(TABLE_PIVOT[[#This Row],[Date of Call]],"DDDD")</f>
        <v>Tuesday</v>
      </c>
      <c r="J10" s="82" t="str" cm="1">
        <f t="array" ref="J10">_xlfn.IFS(TABLE_PIVOT[[#This Row],[Duration]]&lt;=10,"Under 10 Mins",TABLE_PIVOT[[#This Row],[Duration]]&lt;=30,"10 to 30 Mins",TABLE_PIVOT[[#This Row],[Duration]]&lt;=60,"30 to 60 Mins",TABLE_PIVOT[[#This Row],[Duration]]&lt;=120,"1 to 2 Hours",TRUE,"More Than 2 Hours")</f>
        <v>1 to 2 Hours</v>
      </c>
      <c r="K10" s="82">
        <f>ROUND(TABLE_PIVOT[[#This Row],[Satisfaction Rating]],0)</f>
        <v>4</v>
      </c>
      <c r="N10" s="125" t="s">
        <v>1682</v>
      </c>
      <c r="O10" s="117" t="s">
        <v>33</v>
      </c>
      <c r="P10" s="82">
        <v>42</v>
      </c>
      <c r="Q10" s="126" t="s">
        <v>2632</v>
      </c>
    </row>
    <row r="11" spans="1:26" x14ac:dyDescent="0.3">
      <c r="A11" s="8" t="s">
        <v>1627</v>
      </c>
      <c r="B11" s="8" t="s">
        <v>1615</v>
      </c>
      <c r="C11" s="8">
        <v>31</v>
      </c>
      <c r="D11" s="120" t="s">
        <v>1616</v>
      </c>
      <c r="E11" s="121">
        <v>44929</v>
      </c>
      <c r="F11" s="8">
        <v>135</v>
      </c>
      <c r="G11" s="8">
        <v>3.6</v>
      </c>
      <c r="H11" s="82">
        <f>IF(MONTH(TABLE_PIVOT[[#This Row],[Date of Call]])&lt;=6,YEAR(TABLE_PIVOT[[#This Row],[Date of Call]]),YEAR(TABLE_PIVOT[[#This Row],[Date of Call]])+1)</f>
        <v>2023</v>
      </c>
      <c r="I11" s="82" t="str">
        <f>TEXT(TABLE_PIVOT[[#This Row],[Date of Call]],"DDDD")</f>
        <v>Tuesday</v>
      </c>
      <c r="J11" s="82" t="str" cm="1">
        <f t="array" ref="J11">_xlfn.IFS(TABLE_PIVOT[[#This Row],[Duration]]&lt;=10,"Under 10 Mins",TABLE_PIVOT[[#This Row],[Duration]]&lt;=30,"10 to 30 Mins",TABLE_PIVOT[[#This Row],[Duration]]&lt;=60,"30 to 60 Mins",TABLE_PIVOT[[#This Row],[Duration]]&lt;=120,"1 to 2 Hours",TRUE,"More Than 2 Hours")</f>
        <v>30 to 60 Mins</v>
      </c>
      <c r="K11" s="82">
        <f>ROUND(TABLE_PIVOT[[#This Row],[Satisfaction Rating]],0)</f>
        <v>4</v>
      </c>
      <c r="N11" s="125" t="s">
        <v>1641</v>
      </c>
      <c r="O11" s="117" t="s">
        <v>33</v>
      </c>
      <c r="P11" s="82">
        <v>25</v>
      </c>
      <c r="Q11" s="126" t="s">
        <v>2631</v>
      </c>
    </row>
    <row r="12" spans="1:26" x14ac:dyDescent="0.3">
      <c r="A12" s="8" t="s">
        <v>1628</v>
      </c>
      <c r="B12" s="8" t="s">
        <v>1629</v>
      </c>
      <c r="C12" s="8">
        <v>44</v>
      </c>
      <c r="D12" s="120" t="s">
        <v>1630</v>
      </c>
      <c r="E12" s="121">
        <v>44929</v>
      </c>
      <c r="F12" s="8">
        <v>105</v>
      </c>
      <c r="G12" s="8">
        <v>2.9</v>
      </c>
      <c r="H12" s="82">
        <f>IF(MONTH(TABLE_PIVOT[[#This Row],[Date of Call]])&lt;=6,YEAR(TABLE_PIVOT[[#This Row],[Date of Call]]),YEAR(TABLE_PIVOT[[#This Row],[Date of Call]])+1)</f>
        <v>2023</v>
      </c>
      <c r="I12" s="82" t="str">
        <f>TEXT(TABLE_PIVOT[[#This Row],[Date of Call]],"DDDD")</f>
        <v>Tuesday</v>
      </c>
      <c r="J12" s="82" t="str" cm="1">
        <f t="array" ref="J12">_xlfn.IFS(TABLE_PIVOT[[#This Row],[Duration]]&lt;=10,"Under 10 Mins",TABLE_PIVOT[[#This Row],[Duration]]&lt;=30,"10 to 30 Mins",TABLE_PIVOT[[#This Row],[Duration]]&lt;=60,"30 to 60 Mins",TABLE_PIVOT[[#This Row],[Duration]]&lt;=120,"1 to 2 Hours",TRUE,"More Than 2 Hours")</f>
        <v>30 to 60 Mins</v>
      </c>
      <c r="K12" s="82">
        <f>ROUND(TABLE_PIVOT[[#This Row],[Satisfaction Rating]],0)</f>
        <v>3</v>
      </c>
      <c r="N12" s="125" t="s">
        <v>1629</v>
      </c>
      <c r="O12" s="117" t="s">
        <v>33</v>
      </c>
      <c r="P12" s="82">
        <v>30</v>
      </c>
      <c r="Q12" s="126" t="s">
        <v>2632</v>
      </c>
    </row>
    <row r="13" spans="1:26" x14ac:dyDescent="0.3">
      <c r="A13" s="8" t="s">
        <v>1631</v>
      </c>
      <c r="B13" s="8" t="s">
        <v>1620</v>
      </c>
      <c r="C13" s="8">
        <v>102</v>
      </c>
      <c r="D13" s="120" t="s">
        <v>1616</v>
      </c>
      <c r="E13" s="121">
        <v>44929</v>
      </c>
      <c r="F13" s="8">
        <v>69</v>
      </c>
      <c r="G13" s="8">
        <v>4.9000000000000004</v>
      </c>
      <c r="H13" s="82">
        <f>IF(MONTH(TABLE_PIVOT[[#This Row],[Date of Call]])&lt;=6,YEAR(TABLE_PIVOT[[#This Row],[Date of Call]]),YEAR(TABLE_PIVOT[[#This Row],[Date of Call]])+1)</f>
        <v>2023</v>
      </c>
      <c r="I13" s="82" t="str">
        <f>TEXT(TABLE_PIVOT[[#This Row],[Date of Call]],"DDDD")</f>
        <v>Tuesday</v>
      </c>
      <c r="J13" s="82" t="str" cm="1">
        <f t="array" ref="J13">_xlfn.IFS(TABLE_PIVOT[[#This Row],[Duration]]&lt;=10,"Under 10 Mins",TABLE_PIVOT[[#This Row],[Duration]]&lt;=30,"10 to 30 Mins",TABLE_PIVOT[[#This Row],[Duration]]&lt;=60,"30 to 60 Mins",TABLE_PIVOT[[#This Row],[Duration]]&lt;=120,"1 to 2 Hours",TRUE,"More Than 2 Hours")</f>
        <v>1 to 2 Hours</v>
      </c>
      <c r="K13" s="82">
        <f>ROUND(TABLE_PIVOT[[#This Row],[Satisfaction Rating]],0)</f>
        <v>5</v>
      </c>
      <c r="N13" s="125" t="s">
        <v>1620</v>
      </c>
      <c r="O13" s="117" t="s">
        <v>33</v>
      </c>
      <c r="P13" s="82">
        <v>30</v>
      </c>
      <c r="Q13" s="126" t="s">
        <v>2633</v>
      </c>
    </row>
    <row r="14" spans="1:26" x14ac:dyDescent="0.3">
      <c r="A14" s="8" t="s">
        <v>1632</v>
      </c>
      <c r="B14" s="8" t="s">
        <v>1633</v>
      </c>
      <c r="C14" s="8">
        <v>135</v>
      </c>
      <c r="D14" s="120" t="s">
        <v>1611</v>
      </c>
      <c r="E14" s="121">
        <v>44929</v>
      </c>
      <c r="F14" s="8">
        <v>46</v>
      </c>
      <c r="G14" s="8">
        <v>3.4</v>
      </c>
      <c r="H14" s="82">
        <f>IF(MONTH(TABLE_PIVOT[[#This Row],[Date of Call]])&lt;=6,YEAR(TABLE_PIVOT[[#This Row],[Date of Call]]),YEAR(TABLE_PIVOT[[#This Row],[Date of Call]])+1)</f>
        <v>2023</v>
      </c>
      <c r="I14" s="82" t="str">
        <f>TEXT(TABLE_PIVOT[[#This Row],[Date of Call]],"DDDD")</f>
        <v>Tuesday</v>
      </c>
      <c r="J14" s="82" t="str" cm="1">
        <f t="array" ref="J14">_xlfn.IFS(TABLE_PIVOT[[#This Row],[Duration]]&lt;=10,"Under 10 Mins",TABLE_PIVOT[[#This Row],[Duration]]&lt;=30,"10 to 30 Mins",TABLE_PIVOT[[#This Row],[Duration]]&lt;=60,"30 to 60 Mins",TABLE_PIVOT[[#This Row],[Duration]]&lt;=120,"1 to 2 Hours",TRUE,"More Than 2 Hours")</f>
        <v>More Than 2 Hours</v>
      </c>
      <c r="K14" s="82">
        <f>ROUND(TABLE_PIVOT[[#This Row],[Satisfaction Rating]],0)</f>
        <v>3</v>
      </c>
      <c r="N14" s="125" t="s">
        <v>1652</v>
      </c>
      <c r="O14" s="117" t="s">
        <v>33</v>
      </c>
      <c r="P14" s="82">
        <v>28</v>
      </c>
      <c r="Q14" s="126" t="s">
        <v>2633</v>
      </c>
    </row>
    <row r="15" spans="1:26" x14ac:dyDescent="0.3">
      <c r="A15" s="8" t="s">
        <v>1634</v>
      </c>
      <c r="B15" s="8" t="s">
        <v>1635</v>
      </c>
      <c r="C15" s="8">
        <v>98</v>
      </c>
      <c r="D15" s="120" t="s">
        <v>1616</v>
      </c>
      <c r="E15" s="121">
        <v>44930</v>
      </c>
      <c r="F15" s="8">
        <v>108</v>
      </c>
      <c r="G15" s="8">
        <v>3.5</v>
      </c>
      <c r="H15" s="82">
        <f>IF(MONTH(TABLE_PIVOT[[#This Row],[Date of Call]])&lt;=6,YEAR(TABLE_PIVOT[[#This Row],[Date of Call]]),YEAR(TABLE_PIVOT[[#This Row],[Date of Call]])+1)</f>
        <v>2023</v>
      </c>
      <c r="I15" s="82" t="str">
        <f>TEXT(TABLE_PIVOT[[#This Row],[Date of Call]],"DDDD")</f>
        <v>Wednesday</v>
      </c>
      <c r="J15" s="82" t="str" cm="1">
        <f t="array" ref="J15">_xlfn.IFS(TABLE_PIVOT[[#This Row],[Duration]]&lt;=10,"Under 10 Mins",TABLE_PIVOT[[#This Row],[Duration]]&lt;=30,"10 to 30 Mins",TABLE_PIVOT[[#This Row],[Duration]]&lt;=60,"30 to 60 Mins",TABLE_PIVOT[[#This Row],[Duration]]&lt;=120,"1 to 2 Hours",TRUE,"More Than 2 Hours")</f>
        <v>1 to 2 Hours</v>
      </c>
      <c r="K15" s="82">
        <f>ROUND(TABLE_PIVOT[[#This Row],[Satisfaction Rating]],0)</f>
        <v>4</v>
      </c>
      <c r="N15" s="125" t="s">
        <v>1633</v>
      </c>
      <c r="O15" s="117" t="s">
        <v>33</v>
      </c>
      <c r="P15" s="82">
        <v>37</v>
      </c>
      <c r="Q15" s="126" t="s">
        <v>2632</v>
      </c>
    </row>
    <row r="16" spans="1:26" x14ac:dyDescent="0.3">
      <c r="A16" s="8" t="s">
        <v>1636</v>
      </c>
      <c r="B16" s="8" t="s">
        <v>1629</v>
      </c>
      <c r="C16" s="8">
        <v>139</v>
      </c>
      <c r="D16" s="120" t="s">
        <v>1616</v>
      </c>
      <c r="E16" s="121">
        <v>44930</v>
      </c>
      <c r="F16" s="8">
        <v>96</v>
      </c>
      <c r="G16" s="8">
        <v>4</v>
      </c>
      <c r="H16" s="82">
        <f>IF(MONTH(TABLE_PIVOT[[#This Row],[Date of Call]])&lt;=6,YEAR(TABLE_PIVOT[[#This Row],[Date of Call]]),YEAR(TABLE_PIVOT[[#This Row],[Date of Call]])+1)</f>
        <v>2023</v>
      </c>
      <c r="I16" s="82" t="str">
        <f>TEXT(TABLE_PIVOT[[#This Row],[Date of Call]],"DDDD")</f>
        <v>Wednesday</v>
      </c>
      <c r="J16" s="82" t="str" cm="1">
        <f t="array" ref="J16">_xlfn.IFS(TABLE_PIVOT[[#This Row],[Duration]]&lt;=10,"Under 10 Mins",TABLE_PIVOT[[#This Row],[Duration]]&lt;=30,"10 to 30 Mins",TABLE_PIVOT[[#This Row],[Duration]]&lt;=60,"30 to 60 Mins",TABLE_PIVOT[[#This Row],[Duration]]&lt;=120,"1 to 2 Hours",TRUE,"More Than 2 Hours")</f>
        <v>More Than 2 Hours</v>
      </c>
      <c r="K16" s="82">
        <f>ROUND(TABLE_PIVOT[[#This Row],[Satisfaction Rating]],0)</f>
        <v>4</v>
      </c>
      <c r="N16" s="125" t="s">
        <v>1618</v>
      </c>
      <c r="O16" s="117" t="s">
        <v>33</v>
      </c>
      <c r="P16" s="82">
        <v>38</v>
      </c>
      <c r="Q16" s="126" t="s">
        <v>2631</v>
      </c>
    </row>
    <row r="17" spans="1:17" x14ac:dyDescent="0.3">
      <c r="A17" s="8" t="s">
        <v>1637</v>
      </c>
      <c r="B17" s="8" t="s">
        <v>1633</v>
      </c>
      <c r="C17" s="8">
        <v>48</v>
      </c>
      <c r="D17" s="120" t="s">
        <v>1621</v>
      </c>
      <c r="E17" s="121">
        <v>44930</v>
      </c>
      <c r="F17" s="8">
        <v>68</v>
      </c>
      <c r="G17" s="8">
        <v>4.9000000000000004</v>
      </c>
      <c r="H17" s="82">
        <f>IF(MONTH(TABLE_PIVOT[[#This Row],[Date of Call]])&lt;=6,YEAR(TABLE_PIVOT[[#This Row],[Date of Call]]),YEAR(TABLE_PIVOT[[#This Row],[Date of Call]])+1)</f>
        <v>2023</v>
      </c>
      <c r="I17" s="82" t="str">
        <f>TEXT(TABLE_PIVOT[[#This Row],[Date of Call]],"DDDD")</f>
        <v>Wednesday</v>
      </c>
      <c r="J17" s="82" t="str" cm="1">
        <f t="array" ref="J17">_xlfn.IFS(TABLE_PIVOT[[#This Row],[Duration]]&lt;=10,"Under 10 Mins",TABLE_PIVOT[[#This Row],[Duration]]&lt;=30,"10 to 30 Mins",TABLE_PIVOT[[#This Row],[Duration]]&lt;=60,"30 to 60 Mins",TABLE_PIVOT[[#This Row],[Duration]]&lt;=120,"1 to 2 Hours",TRUE,"More Than 2 Hours")</f>
        <v>30 to 60 Mins</v>
      </c>
      <c r="K17" s="82">
        <f>ROUND(TABLE_PIVOT[[#This Row],[Satisfaction Rating]],0)</f>
        <v>5</v>
      </c>
      <c r="N17" s="104" t="s">
        <v>1649</v>
      </c>
      <c r="O17" s="127" t="s">
        <v>33</v>
      </c>
      <c r="P17" s="128">
        <v>43</v>
      </c>
      <c r="Q17" s="103" t="s">
        <v>2632</v>
      </c>
    </row>
    <row r="18" spans="1:17" x14ac:dyDescent="0.3">
      <c r="A18" s="8" t="s">
        <v>1638</v>
      </c>
      <c r="B18" s="8" t="s">
        <v>1629</v>
      </c>
      <c r="C18" s="8">
        <v>176</v>
      </c>
      <c r="D18" s="120" t="s">
        <v>1611</v>
      </c>
      <c r="E18" s="121">
        <v>44931</v>
      </c>
      <c r="F18" s="8">
        <v>24</v>
      </c>
      <c r="G18" s="8">
        <v>4.8</v>
      </c>
      <c r="H18" s="82">
        <f>IF(MONTH(TABLE_PIVOT[[#This Row],[Date of Call]])&lt;=6,YEAR(TABLE_PIVOT[[#This Row],[Date of Call]]),YEAR(TABLE_PIVOT[[#This Row],[Date of Call]])+1)</f>
        <v>2023</v>
      </c>
      <c r="I18" s="82" t="str">
        <f>TEXT(TABLE_PIVOT[[#This Row],[Date of Call]],"DDDD")</f>
        <v>Thursday</v>
      </c>
      <c r="J18" s="82" t="str" cm="1">
        <f t="array" ref="J18">_xlfn.IFS(TABLE_PIVOT[[#This Row],[Duration]]&lt;=10,"Under 10 Mins",TABLE_PIVOT[[#This Row],[Duration]]&lt;=30,"10 to 30 Mins",TABLE_PIVOT[[#This Row],[Duration]]&lt;=60,"30 to 60 Mins",TABLE_PIVOT[[#This Row],[Duration]]&lt;=120,"1 to 2 Hours",TRUE,"More Than 2 Hours")</f>
        <v>More Than 2 Hours</v>
      </c>
      <c r="K18" s="82">
        <f>ROUND(TABLE_PIVOT[[#This Row],[Satisfaction Rating]],0)</f>
        <v>5</v>
      </c>
    </row>
    <row r="19" spans="1:17" x14ac:dyDescent="0.3">
      <c r="A19" s="8" t="s">
        <v>1639</v>
      </c>
      <c r="B19" s="8" t="s">
        <v>1629</v>
      </c>
      <c r="C19" s="8">
        <v>99</v>
      </c>
      <c r="D19" s="120" t="s">
        <v>1621</v>
      </c>
      <c r="E19" s="121">
        <v>44931</v>
      </c>
      <c r="F19" s="8">
        <v>195</v>
      </c>
      <c r="G19" s="8">
        <v>3.9</v>
      </c>
      <c r="H19" s="82">
        <f>IF(MONTH(TABLE_PIVOT[[#This Row],[Date of Call]])&lt;=6,YEAR(TABLE_PIVOT[[#This Row],[Date of Call]]),YEAR(TABLE_PIVOT[[#This Row],[Date of Call]])+1)</f>
        <v>2023</v>
      </c>
      <c r="I19" s="82" t="str">
        <f>TEXT(TABLE_PIVOT[[#This Row],[Date of Call]],"DDDD")</f>
        <v>Thursday</v>
      </c>
      <c r="J19" s="82" t="str" cm="1">
        <f t="array" ref="J19">_xlfn.IFS(TABLE_PIVOT[[#This Row],[Duration]]&lt;=10,"Under 10 Mins",TABLE_PIVOT[[#This Row],[Duration]]&lt;=30,"10 to 30 Mins",TABLE_PIVOT[[#This Row],[Duration]]&lt;=60,"30 to 60 Mins",TABLE_PIVOT[[#This Row],[Duration]]&lt;=120,"1 to 2 Hours",TRUE,"More Than 2 Hours")</f>
        <v>1 to 2 Hours</v>
      </c>
      <c r="K19" s="82">
        <f>ROUND(TABLE_PIVOT[[#This Row],[Satisfaction Rating]],0)</f>
        <v>4</v>
      </c>
    </row>
    <row r="20" spans="1:17" x14ac:dyDescent="0.3">
      <c r="A20" s="8" t="s">
        <v>1640</v>
      </c>
      <c r="B20" s="8" t="s">
        <v>1641</v>
      </c>
      <c r="C20" s="8">
        <v>28</v>
      </c>
      <c r="D20" s="120" t="s">
        <v>1630</v>
      </c>
      <c r="E20" s="121">
        <v>44931</v>
      </c>
      <c r="F20" s="8">
        <v>28</v>
      </c>
      <c r="G20" s="8">
        <v>3.8</v>
      </c>
      <c r="H20" s="82">
        <f>IF(MONTH(TABLE_PIVOT[[#This Row],[Date of Call]])&lt;=6,YEAR(TABLE_PIVOT[[#This Row],[Date of Call]]),YEAR(TABLE_PIVOT[[#This Row],[Date of Call]])+1)</f>
        <v>2023</v>
      </c>
      <c r="I20" s="82" t="str">
        <f>TEXT(TABLE_PIVOT[[#This Row],[Date of Call]],"DDDD")</f>
        <v>Thursday</v>
      </c>
      <c r="J20" s="82" t="str" cm="1">
        <f t="array" ref="J20">_xlfn.IFS(TABLE_PIVOT[[#This Row],[Duration]]&lt;=10,"Under 10 Mins",TABLE_PIVOT[[#This Row],[Duration]]&lt;=30,"10 to 30 Mins",TABLE_PIVOT[[#This Row],[Duration]]&lt;=60,"30 to 60 Mins",TABLE_PIVOT[[#This Row],[Duration]]&lt;=120,"1 to 2 Hours",TRUE,"More Than 2 Hours")</f>
        <v>10 to 30 Mins</v>
      </c>
      <c r="K20" s="82">
        <f>ROUND(TABLE_PIVOT[[#This Row],[Satisfaction Rating]],0)</f>
        <v>4</v>
      </c>
    </row>
    <row r="21" spans="1:17" x14ac:dyDescent="0.3">
      <c r="A21" s="8" t="s">
        <v>1642</v>
      </c>
      <c r="B21" s="8" t="s">
        <v>1624</v>
      </c>
      <c r="C21" s="8">
        <v>54</v>
      </c>
      <c r="D21" s="120" t="s">
        <v>1616</v>
      </c>
      <c r="E21" s="121">
        <v>44931</v>
      </c>
      <c r="F21" s="8">
        <v>170</v>
      </c>
      <c r="G21" s="8">
        <v>4.3</v>
      </c>
      <c r="H21" s="82">
        <f>IF(MONTH(TABLE_PIVOT[[#This Row],[Date of Call]])&lt;=6,YEAR(TABLE_PIVOT[[#This Row],[Date of Call]]),YEAR(TABLE_PIVOT[[#This Row],[Date of Call]])+1)</f>
        <v>2023</v>
      </c>
      <c r="I21" s="82" t="str">
        <f>TEXT(TABLE_PIVOT[[#This Row],[Date of Call]],"DDDD")</f>
        <v>Thursday</v>
      </c>
      <c r="J21" s="82" t="str" cm="1">
        <f t="array" ref="J21">_xlfn.IFS(TABLE_PIVOT[[#This Row],[Duration]]&lt;=10,"Under 10 Mins",TABLE_PIVOT[[#This Row],[Duration]]&lt;=30,"10 to 30 Mins",TABLE_PIVOT[[#This Row],[Duration]]&lt;=60,"30 to 60 Mins",TABLE_PIVOT[[#This Row],[Duration]]&lt;=120,"1 to 2 Hours",TRUE,"More Than 2 Hours")</f>
        <v>30 to 60 Mins</v>
      </c>
      <c r="K21" s="82">
        <f>ROUND(TABLE_PIVOT[[#This Row],[Satisfaction Rating]],0)</f>
        <v>4</v>
      </c>
      <c r="M21" t="s">
        <v>2671</v>
      </c>
    </row>
    <row r="22" spans="1:17" x14ac:dyDescent="0.3">
      <c r="A22" s="8" t="s">
        <v>1643</v>
      </c>
      <c r="B22" s="8" t="s">
        <v>1644</v>
      </c>
      <c r="C22" s="8">
        <v>48</v>
      </c>
      <c r="D22" s="120" t="s">
        <v>1611</v>
      </c>
      <c r="E22" s="121">
        <v>44932</v>
      </c>
      <c r="F22" s="8">
        <v>30</v>
      </c>
      <c r="G22" s="8">
        <v>4.4000000000000004</v>
      </c>
      <c r="H22" s="82">
        <f>IF(MONTH(TABLE_PIVOT[[#This Row],[Date of Call]])&lt;=6,YEAR(TABLE_PIVOT[[#This Row],[Date of Call]]),YEAR(TABLE_PIVOT[[#This Row],[Date of Call]])+1)</f>
        <v>2023</v>
      </c>
      <c r="I22" s="82" t="str">
        <f>TEXT(TABLE_PIVOT[[#This Row],[Date of Call]],"DDDD")</f>
        <v>Friday</v>
      </c>
      <c r="J22" s="82" t="str" cm="1">
        <f t="array" ref="J22">_xlfn.IFS(TABLE_PIVOT[[#This Row],[Duration]]&lt;=10,"Under 10 Mins",TABLE_PIVOT[[#This Row],[Duration]]&lt;=30,"10 to 30 Mins",TABLE_PIVOT[[#This Row],[Duration]]&lt;=60,"30 to 60 Mins",TABLE_PIVOT[[#This Row],[Duration]]&lt;=120,"1 to 2 Hours",TRUE,"More Than 2 Hours")</f>
        <v>30 to 60 Mins</v>
      </c>
      <c r="K22" s="82">
        <f>ROUND(TABLE_PIVOT[[#This Row],[Satisfaction Rating]],0)</f>
        <v>4</v>
      </c>
      <c r="M22" s="95" t="s">
        <v>2672</v>
      </c>
    </row>
    <row r="23" spans="1:17" x14ac:dyDescent="0.3">
      <c r="A23" s="8" t="s">
        <v>1645</v>
      </c>
      <c r="B23" s="8" t="s">
        <v>1613</v>
      </c>
      <c r="C23" s="8">
        <v>128</v>
      </c>
      <c r="D23" s="120" t="s">
        <v>1611</v>
      </c>
      <c r="E23" s="121">
        <v>44932</v>
      </c>
      <c r="F23" s="8">
        <v>72</v>
      </c>
      <c r="G23" s="8">
        <v>5</v>
      </c>
      <c r="H23" s="82">
        <f>IF(MONTH(TABLE_PIVOT[[#This Row],[Date of Call]])&lt;=6,YEAR(TABLE_PIVOT[[#This Row],[Date of Call]]),YEAR(TABLE_PIVOT[[#This Row],[Date of Call]])+1)</f>
        <v>2023</v>
      </c>
      <c r="I23" s="82" t="str">
        <f>TEXT(TABLE_PIVOT[[#This Row],[Date of Call]],"DDDD")</f>
        <v>Friday</v>
      </c>
      <c r="J23" s="82" t="str" cm="1">
        <f t="array" ref="J23">_xlfn.IFS(TABLE_PIVOT[[#This Row],[Duration]]&lt;=10,"Under 10 Mins",TABLE_PIVOT[[#This Row],[Duration]]&lt;=30,"10 to 30 Mins",TABLE_PIVOT[[#This Row],[Duration]]&lt;=60,"30 to 60 Mins",TABLE_PIVOT[[#This Row],[Duration]]&lt;=120,"1 to 2 Hours",TRUE,"More Than 2 Hours")</f>
        <v>More Than 2 Hours</v>
      </c>
      <c r="K23" s="82">
        <f>ROUND(TABLE_PIVOT[[#This Row],[Satisfaction Rating]],0)</f>
        <v>5</v>
      </c>
    </row>
    <row r="24" spans="1:17" x14ac:dyDescent="0.3">
      <c r="A24" s="8" t="s">
        <v>1646</v>
      </c>
      <c r="B24" s="8" t="s">
        <v>1613</v>
      </c>
      <c r="C24" s="8">
        <v>38</v>
      </c>
      <c r="D24" s="120" t="s">
        <v>1626</v>
      </c>
      <c r="E24" s="121">
        <v>44933</v>
      </c>
      <c r="F24" s="8">
        <v>92</v>
      </c>
      <c r="G24" s="8">
        <v>4.9000000000000004</v>
      </c>
      <c r="H24" s="82">
        <f>IF(MONTH(TABLE_PIVOT[[#This Row],[Date of Call]])&lt;=6,YEAR(TABLE_PIVOT[[#This Row],[Date of Call]]),YEAR(TABLE_PIVOT[[#This Row],[Date of Call]])+1)</f>
        <v>2023</v>
      </c>
      <c r="I24" s="82" t="str">
        <f>TEXT(TABLE_PIVOT[[#This Row],[Date of Call]],"DDDD")</f>
        <v>Saturday</v>
      </c>
      <c r="J24" s="82" t="str" cm="1">
        <f t="array" ref="J24">_xlfn.IFS(TABLE_PIVOT[[#This Row],[Duration]]&lt;=10,"Under 10 Mins",TABLE_PIVOT[[#This Row],[Duration]]&lt;=30,"10 to 30 Mins",TABLE_PIVOT[[#This Row],[Duration]]&lt;=60,"30 to 60 Mins",TABLE_PIVOT[[#This Row],[Duration]]&lt;=120,"1 to 2 Hours",TRUE,"More Than 2 Hours")</f>
        <v>30 to 60 Mins</v>
      </c>
      <c r="K24" s="82">
        <f>ROUND(TABLE_PIVOT[[#This Row],[Satisfaction Rating]],0)</f>
        <v>5</v>
      </c>
      <c r="M24" t="s">
        <v>2673</v>
      </c>
    </row>
    <row r="25" spans="1:17" x14ac:dyDescent="0.3">
      <c r="A25" s="8" t="s">
        <v>1647</v>
      </c>
      <c r="B25" s="8" t="s">
        <v>1610</v>
      </c>
      <c r="C25" s="8">
        <v>67</v>
      </c>
      <c r="D25" s="120" t="s">
        <v>1626</v>
      </c>
      <c r="E25" s="121">
        <v>44934</v>
      </c>
      <c r="F25" s="8">
        <v>165</v>
      </c>
      <c r="G25" s="8">
        <v>4.5</v>
      </c>
      <c r="H25" s="82">
        <f>IF(MONTH(TABLE_PIVOT[[#This Row],[Date of Call]])&lt;=6,YEAR(TABLE_PIVOT[[#This Row],[Date of Call]]),YEAR(TABLE_PIVOT[[#This Row],[Date of Call]])+1)</f>
        <v>2023</v>
      </c>
      <c r="I25" s="82" t="str">
        <f>TEXT(TABLE_PIVOT[[#This Row],[Date of Call]],"DDDD")</f>
        <v>Sunday</v>
      </c>
      <c r="J25" s="82" t="str" cm="1">
        <f t="array" ref="J25">_xlfn.IFS(TABLE_PIVOT[[#This Row],[Duration]]&lt;=10,"Under 10 Mins",TABLE_PIVOT[[#This Row],[Duration]]&lt;=30,"10 to 30 Mins",TABLE_PIVOT[[#This Row],[Duration]]&lt;=60,"30 to 60 Mins",TABLE_PIVOT[[#This Row],[Duration]]&lt;=120,"1 to 2 Hours",TRUE,"More Than 2 Hours")</f>
        <v>1 to 2 Hours</v>
      </c>
      <c r="K25" s="82">
        <f>ROUND(TABLE_PIVOT[[#This Row],[Satisfaction Rating]],0)</f>
        <v>5</v>
      </c>
    </row>
    <row r="26" spans="1:17" x14ac:dyDescent="0.3">
      <c r="A26" s="8" t="s">
        <v>1648</v>
      </c>
      <c r="B26" s="8" t="s">
        <v>1649</v>
      </c>
      <c r="C26" s="8">
        <v>58</v>
      </c>
      <c r="D26" s="120" t="s">
        <v>1616</v>
      </c>
      <c r="E26" s="121">
        <v>44934</v>
      </c>
      <c r="F26" s="8">
        <v>140</v>
      </c>
      <c r="G26" s="8">
        <v>2.1</v>
      </c>
      <c r="H26" s="82">
        <f>IF(MONTH(TABLE_PIVOT[[#This Row],[Date of Call]])&lt;=6,YEAR(TABLE_PIVOT[[#This Row],[Date of Call]]),YEAR(TABLE_PIVOT[[#This Row],[Date of Call]])+1)</f>
        <v>2023</v>
      </c>
      <c r="I26" s="82" t="str">
        <f>TEXT(TABLE_PIVOT[[#This Row],[Date of Call]],"DDDD")</f>
        <v>Sunday</v>
      </c>
      <c r="J26" s="82" t="str" cm="1">
        <f t="array" ref="J26">_xlfn.IFS(TABLE_PIVOT[[#This Row],[Duration]]&lt;=10,"Under 10 Mins",TABLE_PIVOT[[#This Row],[Duration]]&lt;=30,"10 to 30 Mins",TABLE_PIVOT[[#This Row],[Duration]]&lt;=60,"30 to 60 Mins",TABLE_PIVOT[[#This Row],[Duration]]&lt;=120,"1 to 2 Hours",TRUE,"More Than 2 Hours")</f>
        <v>30 to 60 Mins</v>
      </c>
      <c r="K26" s="82">
        <f>ROUND(TABLE_PIVOT[[#This Row],[Satisfaction Rating]],0)</f>
        <v>2</v>
      </c>
      <c r="M26" t="s">
        <v>2677</v>
      </c>
    </row>
    <row r="27" spans="1:17" x14ac:dyDescent="0.3">
      <c r="A27" s="8" t="s">
        <v>1650</v>
      </c>
      <c r="B27" s="8" t="s">
        <v>1629</v>
      </c>
      <c r="C27" s="8">
        <v>54</v>
      </c>
      <c r="D27" s="120" t="s">
        <v>1621</v>
      </c>
      <c r="E27" s="121">
        <v>44934</v>
      </c>
      <c r="F27" s="8">
        <v>111</v>
      </c>
      <c r="G27" s="8">
        <v>3.3</v>
      </c>
      <c r="H27" s="82">
        <f>IF(MONTH(TABLE_PIVOT[[#This Row],[Date of Call]])&lt;=6,YEAR(TABLE_PIVOT[[#This Row],[Date of Call]]),YEAR(TABLE_PIVOT[[#This Row],[Date of Call]])+1)</f>
        <v>2023</v>
      </c>
      <c r="I27" s="82" t="str">
        <f>TEXT(TABLE_PIVOT[[#This Row],[Date of Call]],"DDDD")</f>
        <v>Sunday</v>
      </c>
      <c r="J27" s="82" t="str" cm="1">
        <f t="array" ref="J27">_xlfn.IFS(TABLE_PIVOT[[#This Row],[Duration]]&lt;=10,"Under 10 Mins",TABLE_PIVOT[[#This Row],[Duration]]&lt;=30,"10 to 30 Mins",TABLE_PIVOT[[#This Row],[Duration]]&lt;=60,"30 to 60 Mins",TABLE_PIVOT[[#This Row],[Duration]]&lt;=120,"1 to 2 Hours",TRUE,"More Than 2 Hours")</f>
        <v>30 to 60 Mins</v>
      </c>
      <c r="K27" s="82">
        <f>ROUND(TABLE_PIVOT[[#This Row],[Satisfaction Rating]],0)</f>
        <v>3</v>
      </c>
      <c r="M27" s="95" t="s">
        <v>2688</v>
      </c>
    </row>
    <row r="28" spans="1:17" x14ac:dyDescent="0.3">
      <c r="A28" s="8" t="s">
        <v>1651</v>
      </c>
      <c r="B28" s="8" t="s">
        <v>1652</v>
      </c>
      <c r="C28" s="8">
        <v>28</v>
      </c>
      <c r="D28" s="120" t="s">
        <v>1611</v>
      </c>
      <c r="E28" s="121">
        <v>44935</v>
      </c>
      <c r="F28" s="8">
        <v>63</v>
      </c>
      <c r="G28" s="8">
        <v>4.0999999999999996</v>
      </c>
      <c r="H28" s="82">
        <f>IF(MONTH(TABLE_PIVOT[[#This Row],[Date of Call]])&lt;=6,YEAR(TABLE_PIVOT[[#This Row],[Date of Call]]),YEAR(TABLE_PIVOT[[#This Row],[Date of Call]])+1)</f>
        <v>2023</v>
      </c>
      <c r="I28" s="82" t="str">
        <f>TEXT(TABLE_PIVOT[[#This Row],[Date of Call]],"DDDD")</f>
        <v>Monday</v>
      </c>
      <c r="J28" s="82" t="str" cm="1">
        <f t="array" ref="J28">_xlfn.IFS(TABLE_PIVOT[[#This Row],[Duration]]&lt;=10,"Under 10 Mins",TABLE_PIVOT[[#This Row],[Duration]]&lt;=30,"10 to 30 Mins",TABLE_PIVOT[[#This Row],[Duration]]&lt;=60,"30 to 60 Mins",TABLE_PIVOT[[#This Row],[Duration]]&lt;=120,"1 to 2 Hours",TRUE,"More Than 2 Hours")</f>
        <v>10 to 30 Mins</v>
      </c>
      <c r="K28" s="82">
        <f>ROUND(TABLE_PIVOT[[#This Row],[Satisfaction Rating]],0)</f>
        <v>4</v>
      </c>
    </row>
    <row r="29" spans="1:17" x14ac:dyDescent="0.3">
      <c r="A29" s="8" t="s">
        <v>1653</v>
      </c>
      <c r="B29" s="8" t="s">
        <v>1635</v>
      </c>
      <c r="C29" s="8">
        <v>73</v>
      </c>
      <c r="D29" s="120" t="s">
        <v>1611</v>
      </c>
      <c r="E29" s="121">
        <v>44935</v>
      </c>
      <c r="F29" s="8">
        <v>80</v>
      </c>
      <c r="G29" s="8">
        <v>4.2</v>
      </c>
      <c r="H29" s="82">
        <f>IF(MONTH(TABLE_PIVOT[[#This Row],[Date of Call]])&lt;=6,YEAR(TABLE_PIVOT[[#This Row],[Date of Call]]),YEAR(TABLE_PIVOT[[#This Row],[Date of Call]])+1)</f>
        <v>2023</v>
      </c>
      <c r="I29" s="82" t="str">
        <f>TEXT(TABLE_PIVOT[[#This Row],[Date of Call]],"DDDD")</f>
        <v>Monday</v>
      </c>
      <c r="J29" s="82" t="str" cm="1">
        <f t="array" ref="J29">_xlfn.IFS(TABLE_PIVOT[[#This Row],[Duration]]&lt;=10,"Under 10 Mins",TABLE_PIVOT[[#This Row],[Duration]]&lt;=30,"10 to 30 Mins",TABLE_PIVOT[[#This Row],[Duration]]&lt;=60,"30 to 60 Mins",TABLE_PIVOT[[#This Row],[Duration]]&lt;=120,"1 to 2 Hours",TRUE,"More Than 2 Hours")</f>
        <v>1 to 2 Hours</v>
      </c>
      <c r="K29" s="82">
        <f>ROUND(TABLE_PIVOT[[#This Row],[Satisfaction Rating]],0)</f>
        <v>4</v>
      </c>
      <c r="M29" t="s">
        <v>2696</v>
      </c>
    </row>
    <row r="30" spans="1:17" x14ac:dyDescent="0.3">
      <c r="A30" s="8" t="s">
        <v>1654</v>
      </c>
      <c r="B30" s="8" t="s">
        <v>1620</v>
      </c>
      <c r="C30" s="8">
        <v>81</v>
      </c>
      <c r="D30" s="120" t="s">
        <v>1611</v>
      </c>
      <c r="E30" s="121">
        <v>44936</v>
      </c>
      <c r="F30" s="8">
        <v>50</v>
      </c>
      <c r="G30" s="8">
        <v>4.5999999999999996</v>
      </c>
      <c r="H30" s="82">
        <f>IF(MONTH(TABLE_PIVOT[[#This Row],[Date of Call]])&lt;=6,YEAR(TABLE_PIVOT[[#This Row],[Date of Call]]),YEAR(TABLE_PIVOT[[#This Row],[Date of Call]])+1)</f>
        <v>2023</v>
      </c>
      <c r="I30" s="82" t="str">
        <f>TEXT(TABLE_PIVOT[[#This Row],[Date of Call]],"DDDD")</f>
        <v>Tuesday</v>
      </c>
      <c r="J30" s="82" t="str" cm="1">
        <f t="array" ref="J30">_xlfn.IFS(TABLE_PIVOT[[#This Row],[Duration]]&lt;=10,"Under 10 Mins",TABLE_PIVOT[[#This Row],[Duration]]&lt;=30,"10 to 30 Mins",TABLE_PIVOT[[#This Row],[Duration]]&lt;=60,"30 to 60 Mins",TABLE_PIVOT[[#This Row],[Duration]]&lt;=120,"1 to 2 Hours",TRUE,"More Than 2 Hours")</f>
        <v>1 to 2 Hours</v>
      </c>
      <c r="K30" s="82">
        <f>ROUND(TABLE_PIVOT[[#This Row],[Satisfaction Rating]],0)</f>
        <v>5</v>
      </c>
      <c r="M30" s="95" t="s">
        <v>2697</v>
      </c>
    </row>
    <row r="31" spans="1:17" x14ac:dyDescent="0.3">
      <c r="A31" s="8" t="s">
        <v>1655</v>
      </c>
      <c r="B31" s="8" t="s">
        <v>1641</v>
      </c>
      <c r="C31" s="8">
        <v>31</v>
      </c>
      <c r="D31" s="120" t="s">
        <v>1626</v>
      </c>
      <c r="E31" s="121">
        <v>44936</v>
      </c>
      <c r="F31" s="8">
        <v>123</v>
      </c>
      <c r="G31" s="8">
        <v>2.9</v>
      </c>
      <c r="H31" s="82">
        <f>IF(MONTH(TABLE_PIVOT[[#This Row],[Date of Call]])&lt;=6,YEAR(TABLE_PIVOT[[#This Row],[Date of Call]]),YEAR(TABLE_PIVOT[[#This Row],[Date of Call]])+1)</f>
        <v>2023</v>
      </c>
      <c r="I31" s="82" t="str">
        <f>TEXT(TABLE_PIVOT[[#This Row],[Date of Call]],"DDDD")</f>
        <v>Tuesday</v>
      </c>
      <c r="J31" s="82" t="str" cm="1">
        <f t="array" ref="J31">_xlfn.IFS(TABLE_PIVOT[[#This Row],[Duration]]&lt;=10,"Under 10 Mins",TABLE_PIVOT[[#This Row],[Duration]]&lt;=30,"10 to 30 Mins",TABLE_PIVOT[[#This Row],[Duration]]&lt;=60,"30 to 60 Mins",TABLE_PIVOT[[#This Row],[Duration]]&lt;=120,"1 to 2 Hours",TRUE,"More Than 2 Hours")</f>
        <v>30 to 60 Mins</v>
      </c>
      <c r="K31" s="82">
        <f>ROUND(TABLE_PIVOT[[#This Row],[Satisfaction Rating]],0)</f>
        <v>3</v>
      </c>
    </row>
    <row r="32" spans="1:17" x14ac:dyDescent="0.3">
      <c r="A32" s="8" t="s">
        <v>1656</v>
      </c>
      <c r="B32" s="8" t="s">
        <v>1649</v>
      </c>
      <c r="C32" s="8">
        <v>155</v>
      </c>
      <c r="D32" s="120" t="s">
        <v>1621</v>
      </c>
      <c r="E32" s="121">
        <v>44936</v>
      </c>
      <c r="F32" s="8">
        <v>110</v>
      </c>
      <c r="G32" s="8">
        <v>4.8</v>
      </c>
      <c r="H32" s="82">
        <f>IF(MONTH(TABLE_PIVOT[[#This Row],[Date of Call]])&lt;=6,YEAR(TABLE_PIVOT[[#This Row],[Date of Call]]),YEAR(TABLE_PIVOT[[#This Row],[Date of Call]])+1)</f>
        <v>2023</v>
      </c>
      <c r="I32" s="82" t="str">
        <f>TEXT(TABLE_PIVOT[[#This Row],[Date of Call]],"DDDD")</f>
        <v>Tuesday</v>
      </c>
      <c r="J32" s="82" t="str" cm="1">
        <f t="array" ref="J32">_xlfn.IFS(TABLE_PIVOT[[#This Row],[Duration]]&lt;=10,"Under 10 Mins",TABLE_PIVOT[[#This Row],[Duration]]&lt;=30,"10 to 30 Mins",TABLE_PIVOT[[#This Row],[Duration]]&lt;=60,"30 to 60 Mins",TABLE_PIVOT[[#This Row],[Duration]]&lt;=120,"1 to 2 Hours",TRUE,"More Than 2 Hours")</f>
        <v>More Than 2 Hours</v>
      </c>
      <c r="K32" s="82">
        <f>ROUND(TABLE_PIVOT[[#This Row],[Satisfaction Rating]],0)</f>
        <v>5</v>
      </c>
    </row>
    <row r="33" spans="1:13" x14ac:dyDescent="0.3">
      <c r="A33" s="8" t="s">
        <v>1657</v>
      </c>
      <c r="B33" s="8" t="s">
        <v>1641</v>
      </c>
      <c r="C33" s="8">
        <v>80</v>
      </c>
      <c r="D33" s="120" t="s">
        <v>1611</v>
      </c>
      <c r="E33" s="121">
        <v>44936</v>
      </c>
      <c r="F33" s="8">
        <v>140</v>
      </c>
      <c r="G33" s="8">
        <v>4.2</v>
      </c>
      <c r="H33" s="82">
        <f>IF(MONTH(TABLE_PIVOT[[#This Row],[Date of Call]])&lt;=6,YEAR(TABLE_PIVOT[[#This Row],[Date of Call]]),YEAR(TABLE_PIVOT[[#This Row],[Date of Call]])+1)</f>
        <v>2023</v>
      </c>
      <c r="I33" s="82" t="str">
        <f>TEXT(TABLE_PIVOT[[#This Row],[Date of Call]],"DDDD")</f>
        <v>Tuesday</v>
      </c>
      <c r="J33" s="82" t="str" cm="1">
        <f t="array" ref="J33">_xlfn.IFS(TABLE_PIVOT[[#This Row],[Duration]]&lt;=10,"Under 10 Mins",TABLE_PIVOT[[#This Row],[Duration]]&lt;=30,"10 to 30 Mins",TABLE_PIVOT[[#This Row],[Duration]]&lt;=60,"30 to 60 Mins",TABLE_PIVOT[[#This Row],[Duration]]&lt;=120,"1 to 2 Hours",TRUE,"More Than 2 Hours")</f>
        <v>1 to 2 Hours</v>
      </c>
      <c r="K33" s="82">
        <f>ROUND(TABLE_PIVOT[[#This Row],[Satisfaction Rating]],0)</f>
        <v>4</v>
      </c>
      <c r="M33" t="s">
        <v>2699</v>
      </c>
    </row>
    <row r="34" spans="1:13" x14ac:dyDescent="0.3">
      <c r="A34" s="8" t="s">
        <v>1658</v>
      </c>
      <c r="B34" s="8" t="s">
        <v>1620</v>
      </c>
      <c r="C34" s="8">
        <v>82</v>
      </c>
      <c r="D34" s="120" t="s">
        <v>1611</v>
      </c>
      <c r="E34" s="121">
        <v>44938</v>
      </c>
      <c r="F34" s="8">
        <v>42</v>
      </c>
      <c r="G34" s="8">
        <v>3.7</v>
      </c>
      <c r="H34" s="82">
        <f>IF(MONTH(TABLE_PIVOT[[#This Row],[Date of Call]])&lt;=6,YEAR(TABLE_PIVOT[[#This Row],[Date of Call]]),YEAR(TABLE_PIVOT[[#This Row],[Date of Call]])+1)</f>
        <v>2023</v>
      </c>
      <c r="I34" s="82" t="str">
        <f>TEXT(TABLE_PIVOT[[#This Row],[Date of Call]],"DDDD")</f>
        <v>Thursday</v>
      </c>
      <c r="J34" s="82" t="str" cm="1">
        <f t="array" ref="J34">_xlfn.IFS(TABLE_PIVOT[[#This Row],[Duration]]&lt;=10,"Under 10 Mins",TABLE_PIVOT[[#This Row],[Duration]]&lt;=30,"10 to 30 Mins",TABLE_PIVOT[[#This Row],[Duration]]&lt;=60,"30 to 60 Mins",TABLE_PIVOT[[#This Row],[Duration]]&lt;=120,"1 to 2 Hours",TRUE,"More Than 2 Hours")</f>
        <v>1 to 2 Hours</v>
      </c>
      <c r="K34" s="82">
        <f>ROUND(TABLE_PIVOT[[#This Row],[Satisfaction Rating]],0)</f>
        <v>4</v>
      </c>
      <c r="M34" s="95" t="s">
        <v>2700</v>
      </c>
    </row>
    <row r="35" spans="1:13" x14ac:dyDescent="0.3">
      <c r="A35" s="8" t="s">
        <v>1659</v>
      </c>
      <c r="B35" s="8" t="s">
        <v>1620</v>
      </c>
      <c r="C35" s="8">
        <v>29</v>
      </c>
      <c r="D35" s="120" t="s">
        <v>1621</v>
      </c>
      <c r="E35" s="121">
        <v>44938</v>
      </c>
      <c r="F35" s="8">
        <v>170</v>
      </c>
      <c r="G35" s="8">
        <v>5</v>
      </c>
      <c r="H35" s="82">
        <f>IF(MONTH(TABLE_PIVOT[[#This Row],[Date of Call]])&lt;=6,YEAR(TABLE_PIVOT[[#This Row],[Date of Call]]),YEAR(TABLE_PIVOT[[#This Row],[Date of Call]])+1)</f>
        <v>2023</v>
      </c>
      <c r="I35" s="82" t="str">
        <f>TEXT(TABLE_PIVOT[[#This Row],[Date of Call]],"DDDD")</f>
        <v>Thursday</v>
      </c>
      <c r="J35" s="82" t="str" cm="1">
        <f t="array" ref="J35">_xlfn.IFS(TABLE_PIVOT[[#This Row],[Duration]]&lt;=10,"Under 10 Mins",TABLE_PIVOT[[#This Row],[Duration]]&lt;=30,"10 to 30 Mins",TABLE_PIVOT[[#This Row],[Duration]]&lt;=60,"30 to 60 Mins",TABLE_PIVOT[[#This Row],[Duration]]&lt;=120,"1 to 2 Hours",TRUE,"More Than 2 Hours")</f>
        <v>10 to 30 Mins</v>
      </c>
      <c r="K35" s="82">
        <f>ROUND(TABLE_PIVOT[[#This Row],[Satisfaction Rating]],0)</f>
        <v>5</v>
      </c>
      <c r="M35" t="s">
        <v>2701</v>
      </c>
    </row>
    <row r="36" spans="1:13" x14ac:dyDescent="0.3">
      <c r="A36" s="8" t="s">
        <v>1660</v>
      </c>
      <c r="B36" s="8" t="s">
        <v>1644</v>
      </c>
      <c r="C36" s="8">
        <v>160</v>
      </c>
      <c r="D36" s="120" t="s">
        <v>1616</v>
      </c>
      <c r="E36" s="121">
        <v>44940</v>
      </c>
      <c r="F36" s="8">
        <v>105</v>
      </c>
      <c r="G36" s="8">
        <v>5</v>
      </c>
      <c r="H36" s="82">
        <f>IF(MONTH(TABLE_PIVOT[[#This Row],[Date of Call]])&lt;=6,YEAR(TABLE_PIVOT[[#This Row],[Date of Call]]),YEAR(TABLE_PIVOT[[#This Row],[Date of Call]])+1)</f>
        <v>2023</v>
      </c>
      <c r="I36" s="82" t="str">
        <f>TEXT(TABLE_PIVOT[[#This Row],[Date of Call]],"DDDD")</f>
        <v>Saturday</v>
      </c>
      <c r="J36" s="82" t="str" cm="1">
        <f t="array" ref="J36">_xlfn.IFS(TABLE_PIVOT[[#This Row],[Duration]]&lt;=10,"Under 10 Mins",TABLE_PIVOT[[#This Row],[Duration]]&lt;=30,"10 to 30 Mins",TABLE_PIVOT[[#This Row],[Duration]]&lt;=60,"30 to 60 Mins",TABLE_PIVOT[[#This Row],[Duration]]&lt;=120,"1 to 2 Hours",TRUE,"More Than 2 Hours")</f>
        <v>More Than 2 Hours</v>
      </c>
      <c r="K36" s="82">
        <f>ROUND(TABLE_PIVOT[[#This Row],[Satisfaction Rating]],0)</f>
        <v>5</v>
      </c>
    </row>
    <row r="37" spans="1:13" x14ac:dyDescent="0.3">
      <c r="A37" s="8" t="s">
        <v>1661</v>
      </c>
      <c r="B37" s="8" t="s">
        <v>1662</v>
      </c>
      <c r="C37" s="8">
        <v>105</v>
      </c>
      <c r="D37" s="120" t="s">
        <v>1611</v>
      </c>
      <c r="E37" s="121">
        <v>44941</v>
      </c>
      <c r="F37" s="8">
        <v>125</v>
      </c>
      <c r="G37" s="8">
        <v>4.8</v>
      </c>
      <c r="H37" s="82">
        <f>IF(MONTH(TABLE_PIVOT[[#This Row],[Date of Call]])&lt;=6,YEAR(TABLE_PIVOT[[#This Row],[Date of Call]]),YEAR(TABLE_PIVOT[[#This Row],[Date of Call]])+1)</f>
        <v>2023</v>
      </c>
      <c r="I37" s="82" t="str">
        <f>TEXT(TABLE_PIVOT[[#This Row],[Date of Call]],"DDDD")</f>
        <v>Sunday</v>
      </c>
      <c r="J37" s="82" t="str" cm="1">
        <f t="array" ref="J37">_xlfn.IFS(TABLE_PIVOT[[#This Row],[Duration]]&lt;=10,"Under 10 Mins",TABLE_PIVOT[[#This Row],[Duration]]&lt;=30,"10 to 30 Mins",TABLE_PIVOT[[#This Row],[Duration]]&lt;=60,"30 to 60 Mins",TABLE_PIVOT[[#This Row],[Duration]]&lt;=120,"1 to 2 Hours",TRUE,"More Than 2 Hours")</f>
        <v>1 to 2 Hours</v>
      </c>
      <c r="K37" s="82">
        <f>ROUND(TABLE_PIVOT[[#This Row],[Satisfaction Rating]],0)</f>
        <v>5</v>
      </c>
    </row>
    <row r="38" spans="1:13" x14ac:dyDescent="0.3">
      <c r="A38" s="8" t="s">
        <v>1663</v>
      </c>
      <c r="B38" s="8" t="s">
        <v>1641</v>
      </c>
      <c r="C38" s="8">
        <v>75</v>
      </c>
      <c r="D38" s="120" t="s">
        <v>1630</v>
      </c>
      <c r="E38" s="121">
        <v>44941</v>
      </c>
      <c r="F38" s="8">
        <v>26</v>
      </c>
      <c r="G38" s="8">
        <v>2.4</v>
      </c>
      <c r="H38" s="82">
        <f>IF(MONTH(TABLE_PIVOT[[#This Row],[Date of Call]])&lt;=6,YEAR(TABLE_PIVOT[[#This Row],[Date of Call]]),YEAR(TABLE_PIVOT[[#This Row],[Date of Call]])+1)</f>
        <v>2023</v>
      </c>
      <c r="I38" s="82" t="str">
        <f>TEXT(TABLE_PIVOT[[#This Row],[Date of Call]],"DDDD")</f>
        <v>Sunday</v>
      </c>
      <c r="J38" s="82" t="str" cm="1">
        <f t="array" ref="J38">_xlfn.IFS(TABLE_PIVOT[[#This Row],[Duration]]&lt;=10,"Under 10 Mins",TABLE_PIVOT[[#This Row],[Duration]]&lt;=30,"10 to 30 Mins",TABLE_PIVOT[[#This Row],[Duration]]&lt;=60,"30 to 60 Mins",TABLE_PIVOT[[#This Row],[Duration]]&lt;=120,"1 to 2 Hours",TRUE,"More Than 2 Hours")</f>
        <v>1 to 2 Hours</v>
      </c>
      <c r="K38" s="82">
        <f>ROUND(TABLE_PIVOT[[#This Row],[Satisfaction Rating]],0)</f>
        <v>2</v>
      </c>
    </row>
    <row r="39" spans="1:13" x14ac:dyDescent="0.3">
      <c r="A39" s="8" t="s">
        <v>1664</v>
      </c>
      <c r="B39" s="8" t="s">
        <v>1649</v>
      </c>
      <c r="C39" s="8">
        <v>94</v>
      </c>
      <c r="D39" s="120" t="s">
        <v>1630</v>
      </c>
      <c r="E39" s="121">
        <v>44942</v>
      </c>
      <c r="F39" s="8">
        <v>120</v>
      </c>
      <c r="G39" s="8">
        <v>3.1</v>
      </c>
      <c r="H39" s="82">
        <f>IF(MONTH(TABLE_PIVOT[[#This Row],[Date of Call]])&lt;=6,YEAR(TABLE_PIVOT[[#This Row],[Date of Call]]),YEAR(TABLE_PIVOT[[#This Row],[Date of Call]])+1)</f>
        <v>2023</v>
      </c>
      <c r="I39" s="82" t="str">
        <f>TEXT(TABLE_PIVOT[[#This Row],[Date of Call]],"DDDD")</f>
        <v>Monday</v>
      </c>
      <c r="J39" s="82" t="str" cm="1">
        <f t="array" ref="J39">_xlfn.IFS(TABLE_PIVOT[[#This Row],[Duration]]&lt;=10,"Under 10 Mins",TABLE_PIVOT[[#This Row],[Duration]]&lt;=30,"10 to 30 Mins",TABLE_PIVOT[[#This Row],[Duration]]&lt;=60,"30 to 60 Mins",TABLE_PIVOT[[#This Row],[Duration]]&lt;=120,"1 to 2 Hours",TRUE,"More Than 2 Hours")</f>
        <v>1 to 2 Hours</v>
      </c>
      <c r="K39" s="82">
        <f>ROUND(TABLE_PIVOT[[#This Row],[Satisfaction Rating]],0)</f>
        <v>3</v>
      </c>
    </row>
    <row r="40" spans="1:13" x14ac:dyDescent="0.3">
      <c r="A40" s="8" t="s">
        <v>1665</v>
      </c>
      <c r="B40" s="8" t="s">
        <v>1613</v>
      </c>
      <c r="C40" s="8">
        <v>90</v>
      </c>
      <c r="D40" s="120" t="s">
        <v>1616</v>
      </c>
      <c r="E40" s="121">
        <v>44942</v>
      </c>
      <c r="F40" s="8">
        <v>132</v>
      </c>
      <c r="G40" s="8">
        <v>3.2</v>
      </c>
      <c r="H40" s="82">
        <f>IF(MONTH(TABLE_PIVOT[[#This Row],[Date of Call]])&lt;=6,YEAR(TABLE_PIVOT[[#This Row],[Date of Call]]),YEAR(TABLE_PIVOT[[#This Row],[Date of Call]])+1)</f>
        <v>2023</v>
      </c>
      <c r="I40" s="82" t="str">
        <f>TEXT(TABLE_PIVOT[[#This Row],[Date of Call]],"DDDD")</f>
        <v>Monday</v>
      </c>
      <c r="J40" s="82" t="str" cm="1">
        <f t="array" ref="J40">_xlfn.IFS(TABLE_PIVOT[[#This Row],[Duration]]&lt;=10,"Under 10 Mins",TABLE_PIVOT[[#This Row],[Duration]]&lt;=30,"10 to 30 Mins",TABLE_PIVOT[[#This Row],[Duration]]&lt;=60,"30 to 60 Mins",TABLE_PIVOT[[#This Row],[Duration]]&lt;=120,"1 to 2 Hours",TRUE,"More Than 2 Hours")</f>
        <v>1 to 2 Hours</v>
      </c>
      <c r="K40" s="82">
        <f>ROUND(TABLE_PIVOT[[#This Row],[Satisfaction Rating]],0)</f>
        <v>3</v>
      </c>
    </row>
    <row r="41" spans="1:13" x14ac:dyDescent="0.3">
      <c r="A41" s="8" t="s">
        <v>1666</v>
      </c>
      <c r="B41" s="8" t="s">
        <v>1649</v>
      </c>
      <c r="C41" s="8">
        <v>81</v>
      </c>
      <c r="D41" s="120" t="s">
        <v>1626</v>
      </c>
      <c r="E41" s="121">
        <v>44943</v>
      </c>
      <c r="F41" s="8">
        <v>86</v>
      </c>
      <c r="G41" s="8">
        <v>2.4</v>
      </c>
      <c r="H41" s="82">
        <f>IF(MONTH(TABLE_PIVOT[[#This Row],[Date of Call]])&lt;=6,YEAR(TABLE_PIVOT[[#This Row],[Date of Call]]),YEAR(TABLE_PIVOT[[#This Row],[Date of Call]])+1)</f>
        <v>2023</v>
      </c>
      <c r="I41" s="82" t="str">
        <f>TEXT(TABLE_PIVOT[[#This Row],[Date of Call]],"DDDD")</f>
        <v>Tuesday</v>
      </c>
      <c r="J41" s="82" t="str" cm="1">
        <f t="array" ref="J41">_xlfn.IFS(TABLE_PIVOT[[#This Row],[Duration]]&lt;=10,"Under 10 Mins",TABLE_PIVOT[[#This Row],[Duration]]&lt;=30,"10 to 30 Mins",TABLE_PIVOT[[#This Row],[Duration]]&lt;=60,"30 to 60 Mins",TABLE_PIVOT[[#This Row],[Duration]]&lt;=120,"1 to 2 Hours",TRUE,"More Than 2 Hours")</f>
        <v>1 to 2 Hours</v>
      </c>
      <c r="K41" s="82">
        <f>ROUND(TABLE_PIVOT[[#This Row],[Satisfaction Rating]],0)</f>
        <v>2</v>
      </c>
    </row>
    <row r="42" spans="1:13" x14ac:dyDescent="0.3">
      <c r="A42" s="8" t="s">
        <v>1667</v>
      </c>
      <c r="B42" s="8" t="s">
        <v>1641</v>
      </c>
      <c r="C42" s="8">
        <v>106</v>
      </c>
      <c r="D42" s="120" t="s">
        <v>1611</v>
      </c>
      <c r="E42" s="121">
        <v>44943</v>
      </c>
      <c r="F42" s="8">
        <v>108</v>
      </c>
      <c r="G42" s="8">
        <v>5</v>
      </c>
      <c r="H42" s="82">
        <f>IF(MONTH(TABLE_PIVOT[[#This Row],[Date of Call]])&lt;=6,YEAR(TABLE_PIVOT[[#This Row],[Date of Call]]),YEAR(TABLE_PIVOT[[#This Row],[Date of Call]])+1)</f>
        <v>2023</v>
      </c>
      <c r="I42" s="82" t="str">
        <f>TEXT(TABLE_PIVOT[[#This Row],[Date of Call]],"DDDD")</f>
        <v>Tuesday</v>
      </c>
      <c r="J42" s="82" t="str" cm="1">
        <f t="array" ref="J42">_xlfn.IFS(TABLE_PIVOT[[#This Row],[Duration]]&lt;=10,"Under 10 Mins",TABLE_PIVOT[[#This Row],[Duration]]&lt;=30,"10 to 30 Mins",TABLE_PIVOT[[#This Row],[Duration]]&lt;=60,"30 to 60 Mins",TABLE_PIVOT[[#This Row],[Duration]]&lt;=120,"1 to 2 Hours",TRUE,"More Than 2 Hours")</f>
        <v>1 to 2 Hours</v>
      </c>
      <c r="K42" s="82">
        <f>ROUND(TABLE_PIVOT[[#This Row],[Satisfaction Rating]],0)</f>
        <v>5</v>
      </c>
    </row>
    <row r="43" spans="1:13" x14ac:dyDescent="0.3">
      <c r="A43" s="8" t="s">
        <v>1668</v>
      </c>
      <c r="B43" s="8" t="s">
        <v>1613</v>
      </c>
      <c r="C43" s="8">
        <v>74</v>
      </c>
      <c r="D43" s="120" t="s">
        <v>1626</v>
      </c>
      <c r="E43" s="121">
        <v>44943</v>
      </c>
      <c r="F43" s="8">
        <v>96</v>
      </c>
      <c r="G43" s="8">
        <v>4.7</v>
      </c>
      <c r="H43" s="82">
        <f>IF(MONTH(TABLE_PIVOT[[#This Row],[Date of Call]])&lt;=6,YEAR(TABLE_PIVOT[[#This Row],[Date of Call]]),YEAR(TABLE_PIVOT[[#This Row],[Date of Call]])+1)</f>
        <v>2023</v>
      </c>
      <c r="I43" s="82" t="str">
        <f>TEXT(TABLE_PIVOT[[#This Row],[Date of Call]],"DDDD")</f>
        <v>Tuesday</v>
      </c>
      <c r="J43" s="82" t="str" cm="1">
        <f t="array" ref="J43">_xlfn.IFS(TABLE_PIVOT[[#This Row],[Duration]]&lt;=10,"Under 10 Mins",TABLE_PIVOT[[#This Row],[Duration]]&lt;=30,"10 to 30 Mins",TABLE_PIVOT[[#This Row],[Duration]]&lt;=60,"30 to 60 Mins",TABLE_PIVOT[[#This Row],[Duration]]&lt;=120,"1 to 2 Hours",TRUE,"More Than 2 Hours")</f>
        <v>1 to 2 Hours</v>
      </c>
      <c r="K43" s="82">
        <f>ROUND(TABLE_PIVOT[[#This Row],[Satisfaction Rating]],0)</f>
        <v>5</v>
      </c>
    </row>
    <row r="44" spans="1:13" x14ac:dyDescent="0.3">
      <c r="A44" s="8" t="s">
        <v>1669</v>
      </c>
      <c r="B44" s="8" t="s">
        <v>1629</v>
      </c>
      <c r="C44" s="8">
        <v>105</v>
      </c>
      <c r="D44" s="120" t="s">
        <v>1616</v>
      </c>
      <c r="E44" s="121">
        <v>44944</v>
      </c>
      <c r="F44" s="8">
        <v>80</v>
      </c>
      <c r="G44" s="8">
        <v>4.7</v>
      </c>
      <c r="H44" s="82">
        <f>IF(MONTH(TABLE_PIVOT[[#This Row],[Date of Call]])&lt;=6,YEAR(TABLE_PIVOT[[#This Row],[Date of Call]]),YEAR(TABLE_PIVOT[[#This Row],[Date of Call]])+1)</f>
        <v>2023</v>
      </c>
      <c r="I44" s="82" t="str">
        <f>TEXT(TABLE_PIVOT[[#This Row],[Date of Call]],"DDDD")</f>
        <v>Wednesday</v>
      </c>
      <c r="J44" s="82" t="str" cm="1">
        <f t="array" ref="J44">_xlfn.IFS(TABLE_PIVOT[[#This Row],[Duration]]&lt;=10,"Under 10 Mins",TABLE_PIVOT[[#This Row],[Duration]]&lt;=30,"10 to 30 Mins",TABLE_PIVOT[[#This Row],[Duration]]&lt;=60,"30 to 60 Mins",TABLE_PIVOT[[#This Row],[Duration]]&lt;=120,"1 to 2 Hours",TRUE,"More Than 2 Hours")</f>
        <v>1 to 2 Hours</v>
      </c>
      <c r="K44" s="82">
        <f>ROUND(TABLE_PIVOT[[#This Row],[Satisfaction Rating]],0)</f>
        <v>5</v>
      </c>
    </row>
    <row r="45" spans="1:13" x14ac:dyDescent="0.3">
      <c r="A45" s="8" t="s">
        <v>1670</v>
      </c>
      <c r="B45" s="8" t="s">
        <v>1641</v>
      </c>
      <c r="C45" s="8">
        <v>89</v>
      </c>
      <c r="D45" s="120" t="s">
        <v>1611</v>
      </c>
      <c r="E45" s="121">
        <v>44944</v>
      </c>
      <c r="F45" s="8">
        <v>155</v>
      </c>
      <c r="G45" s="8">
        <v>4.0999999999999996</v>
      </c>
      <c r="H45" s="82">
        <f>IF(MONTH(TABLE_PIVOT[[#This Row],[Date of Call]])&lt;=6,YEAR(TABLE_PIVOT[[#This Row],[Date of Call]]),YEAR(TABLE_PIVOT[[#This Row],[Date of Call]])+1)</f>
        <v>2023</v>
      </c>
      <c r="I45" s="82" t="str">
        <f>TEXT(TABLE_PIVOT[[#This Row],[Date of Call]],"DDDD")</f>
        <v>Wednesday</v>
      </c>
      <c r="J45" s="82" t="str" cm="1">
        <f t="array" ref="J45">_xlfn.IFS(TABLE_PIVOT[[#This Row],[Duration]]&lt;=10,"Under 10 Mins",TABLE_PIVOT[[#This Row],[Duration]]&lt;=30,"10 to 30 Mins",TABLE_PIVOT[[#This Row],[Duration]]&lt;=60,"30 to 60 Mins",TABLE_PIVOT[[#This Row],[Duration]]&lt;=120,"1 to 2 Hours",TRUE,"More Than 2 Hours")</f>
        <v>1 to 2 Hours</v>
      </c>
      <c r="K45" s="82">
        <f>ROUND(TABLE_PIVOT[[#This Row],[Satisfaction Rating]],0)</f>
        <v>4</v>
      </c>
    </row>
    <row r="46" spans="1:13" x14ac:dyDescent="0.3">
      <c r="A46" s="8" t="s">
        <v>1671</v>
      </c>
      <c r="B46" s="8" t="s">
        <v>1633</v>
      </c>
      <c r="C46" s="8">
        <v>132</v>
      </c>
      <c r="D46" s="120" t="s">
        <v>1630</v>
      </c>
      <c r="E46" s="121">
        <v>44944</v>
      </c>
      <c r="F46" s="8">
        <v>168</v>
      </c>
      <c r="G46" s="8">
        <v>4.0999999999999996</v>
      </c>
      <c r="H46" s="82">
        <f>IF(MONTH(TABLE_PIVOT[[#This Row],[Date of Call]])&lt;=6,YEAR(TABLE_PIVOT[[#This Row],[Date of Call]]),YEAR(TABLE_PIVOT[[#This Row],[Date of Call]])+1)</f>
        <v>2023</v>
      </c>
      <c r="I46" s="82" t="str">
        <f>TEXT(TABLE_PIVOT[[#This Row],[Date of Call]],"DDDD")</f>
        <v>Wednesday</v>
      </c>
      <c r="J46" s="82" t="str" cm="1">
        <f t="array" ref="J46">_xlfn.IFS(TABLE_PIVOT[[#This Row],[Duration]]&lt;=10,"Under 10 Mins",TABLE_PIVOT[[#This Row],[Duration]]&lt;=30,"10 to 30 Mins",TABLE_PIVOT[[#This Row],[Duration]]&lt;=60,"30 to 60 Mins",TABLE_PIVOT[[#This Row],[Duration]]&lt;=120,"1 to 2 Hours",TRUE,"More Than 2 Hours")</f>
        <v>More Than 2 Hours</v>
      </c>
      <c r="K46" s="82">
        <f>ROUND(TABLE_PIVOT[[#This Row],[Satisfaction Rating]],0)</f>
        <v>4</v>
      </c>
    </row>
    <row r="47" spans="1:13" x14ac:dyDescent="0.3">
      <c r="A47" s="8" t="s">
        <v>1672</v>
      </c>
      <c r="B47" s="8" t="s">
        <v>1662</v>
      </c>
      <c r="C47" s="8">
        <v>105</v>
      </c>
      <c r="D47" s="120" t="s">
        <v>1621</v>
      </c>
      <c r="E47" s="121">
        <v>44944</v>
      </c>
      <c r="F47" s="8">
        <v>56</v>
      </c>
      <c r="G47" s="8">
        <v>3.6</v>
      </c>
      <c r="H47" s="82">
        <f>IF(MONTH(TABLE_PIVOT[[#This Row],[Date of Call]])&lt;=6,YEAR(TABLE_PIVOT[[#This Row],[Date of Call]]),YEAR(TABLE_PIVOT[[#This Row],[Date of Call]])+1)</f>
        <v>2023</v>
      </c>
      <c r="I47" s="82" t="str">
        <f>TEXT(TABLE_PIVOT[[#This Row],[Date of Call]],"DDDD")</f>
        <v>Wednesday</v>
      </c>
      <c r="J47" s="82" t="str" cm="1">
        <f t="array" ref="J47">_xlfn.IFS(TABLE_PIVOT[[#This Row],[Duration]]&lt;=10,"Under 10 Mins",TABLE_PIVOT[[#This Row],[Duration]]&lt;=30,"10 to 30 Mins",TABLE_PIVOT[[#This Row],[Duration]]&lt;=60,"30 to 60 Mins",TABLE_PIVOT[[#This Row],[Duration]]&lt;=120,"1 to 2 Hours",TRUE,"More Than 2 Hours")</f>
        <v>1 to 2 Hours</v>
      </c>
      <c r="K47" s="82">
        <f>ROUND(TABLE_PIVOT[[#This Row],[Satisfaction Rating]],0)</f>
        <v>4</v>
      </c>
    </row>
    <row r="48" spans="1:13" x14ac:dyDescent="0.3">
      <c r="A48" s="8" t="s">
        <v>1673</v>
      </c>
      <c r="B48" s="8" t="s">
        <v>1620</v>
      </c>
      <c r="C48" s="8">
        <v>13</v>
      </c>
      <c r="D48" s="120" t="s">
        <v>1630</v>
      </c>
      <c r="E48" s="121">
        <v>44945</v>
      </c>
      <c r="F48" s="8">
        <v>32</v>
      </c>
      <c r="G48" s="8">
        <v>4.4000000000000004</v>
      </c>
      <c r="H48" s="82">
        <f>IF(MONTH(TABLE_PIVOT[[#This Row],[Date of Call]])&lt;=6,YEAR(TABLE_PIVOT[[#This Row],[Date of Call]]),YEAR(TABLE_PIVOT[[#This Row],[Date of Call]])+1)</f>
        <v>2023</v>
      </c>
      <c r="I48" s="82" t="str">
        <f>TEXT(TABLE_PIVOT[[#This Row],[Date of Call]],"DDDD")</f>
        <v>Thursday</v>
      </c>
      <c r="J48" s="82" t="str" cm="1">
        <f t="array" ref="J48">_xlfn.IFS(TABLE_PIVOT[[#This Row],[Duration]]&lt;=10,"Under 10 Mins",TABLE_PIVOT[[#This Row],[Duration]]&lt;=30,"10 to 30 Mins",TABLE_PIVOT[[#This Row],[Duration]]&lt;=60,"30 to 60 Mins",TABLE_PIVOT[[#This Row],[Duration]]&lt;=120,"1 to 2 Hours",TRUE,"More Than 2 Hours")</f>
        <v>10 to 30 Mins</v>
      </c>
      <c r="K48" s="82">
        <f>ROUND(TABLE_PIVOT[[#This Row],[Satisfaction Rating]],0)</f>
        <v>4</v>
      </c>
    </row>
    <row r="49" spans="1:11" x14ac:dyDescent="0.3">
      <c r="A49" s="8" t="s">
        <v>1674</v>
      </c>
      <c r="B49" s="8" t="s">
        <v>1618</v>
      </c>
      <c r="C49" s="8">
        <v>131</v>
      </c>
      <c r="D49" s="120" t="s">
        <v>1621</v>
      </c>
      <c r="E49" s="121">
        <v>44945</v>
      </c>
      <c r="F49" s="8">
        <v>78</v>
      </c>
      <c r="G49" s="8">
        <v>4.4000000000000004</v>
      </c>
      <c r="H49" s="82">
        <f>IF(MONTH(TABLE_PIVOT[[#This Row],[Date of Call]])&lt;=6,YEAR(TABLE_PIVOT[[#This Row],[Date of Call]]),YEAR(TABLE_PIVOT[[#This Row],[Date of Call]])+1)</f>
        <v>2023</v>
      </c>
      <c r="I49" s="82" t="str">
        <f>TEXT(TABLE_PIVOT[[#This Row],[Date of Call]],"DDDD")</f>
        <v>Thursday</v>
      </c>
      <c r="J49" s="82" t="str" cm="1">
        <f t="array" ref="J49">_xlfn.IFS(TABLE_PIVOT[[#This Row],[Duration]]&lt;=10,"Under 10 Mins",TABLE_PIVOT[[#This Row],[Duration]]&lt;=30,"10 to 30 Mins",TABLE_PIVOT[[#This Row],[Duration]]&lt;=60,"30 to 60 Mins",TABLE_PIVOT[[#This Row],[Duration]]&lt;=120,"1 to 2 Hours",TRUE,"More Than 2 Hours")</f>
        <v>More Than 2 Hours</v>
      </c>
      <c r="K49" s="82">
        <f>ROUND(TABLE_PIVOT[[#This Row],[Satisfaction Rating]],0)</f>
        <v>4</v>
      </c>
    </row>
    <row r="50" spans="1:11" x14ac:dyDescent="0.3">
      <c r="A50" s="8" t="s">
        <v>1675</v>
      </c>
      <c r="B50" s="8" t="s">
        <v>1613</v>
      </c>
      <c r="C50" s="8">
        <v>104</v>
      </c>
      <c r="D50" s="120" t="s">
        <v>1611</v>
      </c>
      <c r="E50" s="121">
        <v>44945</v>
      </c>
      <c r="F50" s="8">
        <v>86</v>
      </c>
      <c r="G50" s="8">
        <v>4</v>
      </c>
      <c r="H50" s="82">
        <f>IF(MONTH(TABLE_PIVOT[[#This Row],[Date of Call]])&lt;=6,YEAR(TABLE_PIVOT[[#This Row],[Date of Call]]),YEAR(TABLE_PIVOT[[#This Row],[Date of Call]])+1)</f>
        <v>2023</v>
      </c>
      <c r="I50" s="82" t="str">
        <f>TEXT(TABLE_PIVOT[[#This Row],[Date of Call]],"DDDD")</f>
        <v>Thursday</v>
      </c>
      <c r="J50" s="82" t="str" cm="1">
        <f t="array" ref="J50">_xlfn.IFS(TABLE_PIVOT[[#This Row],[Duration]]&lt;=10,"Under 10 Mins",TABLE_PIVOT[[#This Row],[Duration]]&lt;=30,"10 to 30 Mins",TABLE_PIVOT[[#This Row],[Duration]]&lt;=60,"30 to 60 Mins",TABLE_PIVOT[[#This Row],[Duration]]&lt;=120,"1 to 2 Hours",TRUE,"More Than 2 Hours")</f>
        <v>1 to 2 Hours</v>
      </c>
      <c r="K50" s="82">
        <f>ROUND(TABLE_PIVOT[[#This Row],[Satisfaction Rating]],0)</f>
        <v>4</v>
      </c>
    </row>
    <row r="51" spans="1:11" x14ac:dyDescent="0.3">
      <c r="A51" s="8" t="s">
        <v>1676</v>
      </c>
      <c r="B51" s="8" t="s">
        <v>1610</v>
      </c>
      <c r="C51" s="8">
        <v>90</v>
      </c>
      <c r="D51" s="120" t="s">
        <v>1616</v>
      </c>
      <c r="E51" s="121">
        <v>44946</v>
      </c>
      <c r="F51" s="8">
        <v>64</v>
      </c>
      <c r="G51" s="8">
        <v>3.8</v>
      </c>
      <c r="H51" s="82">
        <f>IF(MONTH(TABLE_PIVOT[[#This Row],[Date of Call]])&lt;=6,YEAR(TABLE_PIVOT[[#This Row],[Date of Call]]),YEAR(TABLE_PIVOT[[#This Row],[Date of Call]])+1)</f>
        <v>2023</v>
      </c>
      <c r="I51" s="82" t="str">
        <f>TEXT(TABLE_PIVOT[[#This Row],[Date of Call]],"DDDD")</f>
        <v>Friday</v>
      </c>
      <c r="J51" s="82" t="str" cm="1">
        <f t="array" ref="J51">_xlfn.IFS(TABLE_PIVOT[[#This Row],[Duration]]&lt;=10,"Under 10 Mins",TABLE_PIVOT[[#This Row],[Duration]]&lt;=30,"10 to 30 Mins",TABLE_PIVOT[[#This Row],[Duration]]&lt;=60,"30 to 60 Mins",TABLE_PIVOT[[#This Row],[Duration]]&lt;=120,"1 to 2 Hours",TRUE,"More Than 2 Hours")</f>
        <v>1 to 2 Hours</v>
      </c>
      <c r="K51" s="82">
        <f>ROUND(TABLE_PIVOT[[#This Row],[Satisfaction Rating]],0)</f>
        <v>4</v>
      </c>
    </row>
    <row r="52" spans="1:11" x14ac:dyDescent="0.3">
      <c r="A52" s="8" t="s">
        <v>1677</v>
      </c>
      <c r="B52" s="8" t="s">
        <v>1652</v>
      </c>
      <c r="C52" s="8">
        <v>37</v>
      </c>
      <c r="D52" s="120" t="s">
        <v>1616</v>
      </c>
      <c r="E52" s="121">
        <v>44946</v>
      </c>
      <c r="F52" s="8">
        <v>96</v>
      </c>
      <c r="G52" s="8">
        <v>3.6</v>
      </c>
      <c r="H52" s="82">
        <f>IF(MONTH(TABLE_PIVOT[[#This Row],[Date of Call]])&lt;=6,YEAR(TABLE_PIVOT[[#This Row],[Date of Call]]),YEAR(TABLE_PIVOT[[#This Row],[Date of Call]])+1)</f>
        <v>2023</v>
      </c>
      <c r="I52" s="82" t="str">
        <f>TEXT(TABLE_PIVOT[[#This Row],[Date of Call]],"DDDD")</f>
        <v>Friday</v>
      </c>
      <c r="J52" s="82" t="str" cm="1">
        <f t="array" ref="J52">_xlfn.IFS(TABLE_PIVOT[[#This Row],[Duration]]&lt;=10,"Under 10 Mins",TABLE_PIVOT[[#This Row],[Duration]]&lt;=30,"10 to 30 Mins",TABLE_PIVOT[[#This Row],[Duration]]&lt;=60,"30 to 60 Mins",TABLE_PIVOT[[#This Row],[Duration]]&lt;=120,"1 to 2 Hours",TRUE,"More Than 2 Hours")</f>
        <v>30 to 60 Mins</v>
      </c>
      <c r="K52" s="82">
        <f>ROUND(TABLE_PIVOT[[#This Row],[Satisfaction Rating]],0)</f>
        <v>4</v>
      </c>
    </row>
    <row r="53" spans="1:11" x14ac:dyDescent="0.3">
      <c r="A53" s="8" t="s">
        <v>1678</v>
      </c>
      <c r="B53" s="8" t="s">
        <v>1635</v>
      </c>
      <c r="C53" s="8">
        <v>149</v>
      </c>
      <c r="D53" s="120" t="s">
        <v>1621</v>
      </c>
      <c r="E53" s="121">
        <v>44946</v>
      </c>
      <c r="F53" s="8">
        <v>72</v>
      </c>
      <c r="G53" s="8">
        <v>4.3</v>
      </c>
      <c r="H53" s="82">
        <f>IF(MONTH(TABLE_PIVOT[[#This Row],[Date of Call]])&lt;=6,YEAR(TABLE_PIVOT[[#This Row],[Date of Call]]),YEAR(TABLE_PIVOT[[#This Row],[Date of Call]])+1)</f>
        <v>2023</v>
      </c>
      <c r="I53" s="82" t="str">
        <f>TEXT(TABLE_PIVOT[[#This Row],[Date of Call]],"DDDD")</f>
        <v>Friday</v>
      </c>
      <c r="J53" s="82" t="str" cm="1">
        <f t="array" ref="J53">_xlfn.IFS(TABLE_PIVOT[[#This Row],[Duration]]&lt;=10,"Under 10 Mins",TABLE_PIVOT[[#This Row],[Duration]]&lt;=30,"10 to 30 Mins",TABLE_PIVOT[[#This Row],[Duration]]&lt;=60,"30 to 60 Mins",TABLE_PIVOT[[#This Row],[Duration]]&lt;=120,"1 to 2 Hours",TRUE,"More Than 2 Hours")</f>
        <v>More Than 2 Hours</v>
      </c>
      <c r="K53" s="82">
        <f>ROUND(TABLE_PIVOT[[#This Row],[Satisfaction Rating]],0)</f>
        <v>4</v>
      </c>
    </row>
    <row r="54" spans="1:11" x14ac:dyDescent="0.3">
      <c r="A54" s="8" t="s">
        <v>1679</v>
      </c>
      <c r="B54" s="8" t="s">
        <v>1633</v>
      </c>
      <c r="C54" s="8">
        <v>100</v>
      </c>
      <c r="D54" s="120" t="s">
        <v>1626</v>
      </c>
      <c r="E54" s="121">
        <v>44947</v>
      </c>
      <c r="F54" s="8">
        <v>135</v>
      </c>
      <c r="G54" s="8">
        <v>3.8</v>
      </c>
      <c r="H54" s="82">
        <f>IF(MONTH(TABLE_PIVOT[[#This Row],[Date of Call]])&lt;=6,YEAR(TABLE_PIVOT[[#This Row],[Date of Call]]),YEAR(TABLE_PIVOT[[#This Row],[Date of Call]])+1)</f>
        <v>2023</v>
      </c>
      <c r="I54" s="82" t="str">
        <f>TEXT(TABLE_PIVOT[[#This Row],[Date of Call]],"DDDD")</f>
        <v>Saturday</v>
      </c>
      <c r="J54" s="82" t="str" cm="1">
        <f t="array" ref="J54">_xlfn.IFS(TABLE_PIVOT[[#This Row],[Duration]]&lt;=10,"Under 10 Mins",TABLE_PIVOT[[#This Row],[Duration]]&lt;=30,"10 to 30 Mins",TABLE_PIVOT[[#This Row],[Duration]]&lt;=60,"30 to 60 Mins",TABLE_PIVOT[[#This Row],[Duration]]&lt;=120,"1 to 2 Hours",TRUE,"More Than 2 Hours")</f>
        <v>1 to 2 Hours</v>
      </c>
      <c r="K54" s="82">
        <f>ROUND(TABLE_PIVOT[[#This Row],[Satisfaction Rating]],0)</f>
        <v>4</v>
      </c>
    </row>
    <row r="55" spans="1:11" x14ac:dyDescent="0.3">
      <c r="A55" s="8" t="s">
        <v>1680</v>
      </c>
      <c r="B55" s="8" t="s">
        <v>1633</v>
      </c>
      <c r="C55" s="8">
        <v>79</v>
      </c>
      <c r="D55" s="120" t="s">
        <v>1630</v>
      </c>
      <c r="E55" s="121">
        <v>44947</v>
      </c>
      <c r="F55" s="8">
        <v>140</v>
      </c>
      <c r="G55" s="8">
        <v>4.5</v>
      </c>
      <c r="H55" s="82">
        <f>IF(MONTH(TABLE_PIVOT[[#This Row],[Date of Call]])&lt;=6,YEAR(TABLE_PIVOT[[#This Row],[Date of Call]]),YEAR(TABLE_PIVOT[[#This Row],[Date of Call]])+1)</f>
        <v>2023</v>
      </c>
      <c r="I55" s="82" t="str">
        <f>TEXT(TABLE_PIVOT[[#This Row],[Date of Call]],"DDDD")</f>
        <v>Saturday</v>
      </c>
      <c r="J55" s="82" t="str" cm="1">
        <f t="array" ref="J55">_xlfn.IFS(TABLE_PIVOT[[#This Row],[Duration]]&lt;=10,"Under 10 Mins",TABLE_PIVOT[[#This Row],[Duration]]&lt;=30,"10 to 30 Mins",TABLE_PIVOT[[#This Row],[Duration]]&lt;=60,"30 to 60 Mins",TABLE_PIVOT[[#This Row],[Duration]]&lt;=120,"1 to 2 Hours",TRUE,"More Than 2 Hours")</f>
        <v>1 to 2 Hours</v>
      </c>
      <c r="K55" s="82">
        <f>ROUND(TABLE_PIVOT[[#This Row],[Satisfaction Rating]],0)</f>
        <v>5</v>
      </c>
    </row>
    <row r="56" spans="1:11" x14ac:dyDescent="0.3">
      <c r="A56" s="8" t="s">
        <v>1681</v>
      </c>
      <c r="B56" s="8" t="s">
        <v>1682</v>
      </c>
      <c r="C56" s="8">
        <v>157</v>
      </c>
      <c r="D56" s="120" t="s">
        <v>1621</v>
      </c>
      <c r="E56" s="121">
        <v>44947</v>
      </c>
      <c r="F56" s="8">
        <v>69</v>
      </c>
      <c r="G56" s="8">
        <v>4.5</v>
      </c>
      <c r="H56" s="82">
        <f>IF(MONTH(TABLE_PIVOT[[#This Row],[Date of Call]])&lt;=6,YEAR(TABLE_PIVOT[[#This Row],[Date of Call]]),YEAR(TABLE_PIVOT[[#This Row],[Date of Call]])+1)</f>
        <v>2023</v>
      </c>
      <c r="I56" s="82" t="str">
        <f>TEXT(TABLE_PIVOT[[#This Row],[Date of Call]],"DDDD")</f>
        <v>Saturday</v>
      </c>
      <c r="J56" s="82" t="str" cm="1">
        <f t="array" ref="J56">_xlfn.IFS(TABLE_PIVOT[[#This Row],[Duration]]&lt;=10,"Under 10 Mins",TABLE_PIVOT[[#This Row],[Duration]]&lt;=30,"10 to 30 Mins",TABLE_PIVOT[[#This Row],[Duration]]&lt;=60,"30 to 60 Mins",TABLE_PIVOT[[#This Row],[Duration]]&lt;=120,"1 to 2 Hours",TRUE,"More Than 2 Hours")</f>
        <v>More Than 2 Hours</v>
      </c>
      <c r="K56" s="82">
        <f>ROUND(TABLE_PIVOT[[#This Row],[Satisfaction Rating]],0)</f>
        <v>5</v>
      </c>
    </row>
    <row r="57" spans="1:11" x14ac:dyDescent="0.3">
      <c r="A57" s="8" t="s">
        <v>1683</v>
      </c>
      <c r="B57" s="8" t="s">
        <v>1633</v>
      </c>
      <c r="C57" s="8">
        <v>59</v>
      </c>
      <c r="D57" s="120" t="s">
        <v>1611</v>
      </c>
      <c r="E57" s="121">
        <v>44948</v>
      </c>
      <c r="F57" s="8">
        <v>136</v>
      </c>
      <c r="G57" s="8">
        <v>4.5999999999999996</v>
      </c>
      <c r="H57" s="82">
        <f>IF(MONTH(TABLE_PIVOT[[#This Row],[Date of Call]])&lt;=6,YEAR(TABLE_PIVOT[[#This Row],[Date of Call]]),YEAR(TABLE_PIVOT[[#This Row],[Date of Call]])+1)</f>
        <v>2023</v>
      </c>
      <c r="I57" s="82" t="str">
        <f>TEXT(TABLE_PIVOT[[#This Row],[Date of Call]],"DDDD")</f>
        <v>Sunday</v>
      </c>
      <c r="J57" s="82" t="str" cm="1">
        <f t="array" ref="J57">_xlfn.IFS(TABLE_PIVOT[[#This Row],[Duration]]&lt;=10,"Under 10 Mins",TABLE_PIVOT[[#This Row],[Duration]]&lt;=30,"10 to 30 Mins",TABLE_PIVOT[[#This Row],[Duration]]&lt;=60,"30 to 60 Mins",TABLE_PIVOT[[#This Row],[Duration]]&lt;=120,"1 to 2 Hours",TRUE,"More Than 2 Hours")</f>
        <v>30 to 60 Mins</v>
      </c>
      <c r="K57" s="82">
        <f>ROUND(TABLE_PIVOT[[#This Row],[Satisfaction Rating]],0)</f>
        <v>5</v>
      </c>
    </row>
    <row r="58" spans="1:11" x14ac:dyDescent="0.3">
      <c r="A58" s="8" t="s">
        <v>1684</v>
      </c>
      <c r="B58" s="8" t="s">
        <v>1652</v>
      </c>
      <c r="C58" s="8">
        <v>83</v>
      </c>
      <c r="D58" s="120" t="s">
        <v>1621</v>
      </c>
      <c r="E58" s="121">
        <v>44948</v>
      </c>
      <c r="F58" s="8">
        <v>28</v>
      </c>
      <c r="G58" s="8">
        <v>4.5</v>
      </c>
      <c r="H58" s="82">
        <f>IF(MONTH(TABLE_PIVOT[[#This Row],[Date of Call]])&lt;=6,YEAR(TABLE_PIVOT[[#This Row],[Date of Call]]),YEAR(TABLE_PIVOT[[#This Row],[Date of Call]])+1)</f>
        <v>2023</v>
      </c>
      <c r="I58" s="82" t="str">
        <f>TEXT(TABLE_PIVOT[[#This Row],[Date of Call]],"DDDD")</f>
        <v>Sunday</v>
      </c>
      <c r="J58" s="82" t="str" cm="1">
        <f t="array" ref="J58">_xlfn.IFS(TABLE_PIVOT[[#This Row],[Duration]]&lt;=10,"Under 10 Mins",TABLE_PIVOT[[#This Row],[Duration]]&lt;=30,"10 to 30 Mins",TABLE_PIVOT[[#This Row],[Duration]]&lt;=60,"30 to 60 Mins",TABLE_PIVOT[[#This Row],[Duration]]&lt;=120,"1 to 2 Hours",TRUE,"More Than 2 Hours")</f>
        <v>1 to 2 Hours</v>
      </c>
      <c r="K58" s="82">
        <f>ROUND(TABLE_PIVOT[[#This Row],[Satisfaction Rating]],0)</f>
        <v>5</v>
      </c>
    </row>
    <row r="59" spans="1:11" x14ac:dyDescent="0.3">
      <c r="A59" s="8" t="s">
        <v>1685</v>
      </c>
      <c r="B59" s="8" t="s">
        <v>1682</v>
      </c>
      <c r="C59" s="8">
        <v>58</v>
      </c>
      <c r="D59" s="120" t="s">
        <v>1616</v>
      </c>
      <c r="E59" s="121">
        <v>44949</v>
      </c>
      <c r="F59" s="8">
        <v>135</v>
      </c>
      <c r="G59" s="8">
        <v>3.3</v>
      </c>
      <c r="H59" s="82">
        <f>IF(MONTH(TABLE_PIVOT[[#This Row],[Date of Call]])&lt;=6,YEAR(TABLE_PIVOT[[#This Row],[Date of Call]]),YEAR(TABLE_PIVOT[[#This Row],[Date of Call]])+1)</f>
        <v>2023</v>
      </c>
      <c r="I59" s="82" t="str">
        <f>TEXT(TABLE_PIVOT[[#This Row],[Date of Call]],"DDDD")</f>
        <v>Monday</v>
      </c>
      <c r="J59" s="82" t="str" cm="1">
        <f t="array" ref="J59">_xlfn.IFS(TABLE_PIVOT[[#This Row],[Duration]]&lt;=10,"Under 10 Mins",TABLE_PIVOT[[#This Row],[Duration]]&lt;=30,"10 to 30 Mins",TABLE_PIVOT[[#This Row],[Duration]]&lt;=60,"30 to 60 Mins",TABLE_PIVOT[[#This Row],[Duration]]&lt;=120,"1 to 2 Hours",TRUE,"More Than 2 Hours")</f>
        <v>30 to 60 Mins</v>
      </c>
      <c r="K59" s="82">
        <f>ROUND(TABLE_PIVOT[[#This Row],[Satisfaction Rating]],0)</f>
        <v>3</v>
      </c>
    </row>
    <row r="60" spans="1:11" x14ac:dyDescent="0.3">
      <c r="A60" s="8" t="s">
        <v>1686</v>
      </c>
      <c r="B60" s="8" t="s">
        <v>1649</v>
      </c>
      <c r="C60" s="8">
        <v>118</v>
      </c>
      <c r="D60" s="120" t="s">
        <v>1616</v>
      </c>
      <c r="E60" s="121">
        <v>44949</v>
      </c>
      <c r="F60" s="8">
        <v>126</v>
      </c>
      <c r="G60" s="8">
        <v>2.2999999999999998</v>
      </c>
      <c r="H60" s="82">
        <f>IF(MONTH(TABLE_PIVOT[[#This Row],[Date of Call]])&lt;=6,YEAR(TABLE_PIVOT[[#This Row],[Date of Call]]),YEAR(TABLE_PIVOT[[#This Row],[Date of Call]])+1)</f>
        <v>2023</v>
      </c>
      <c r="I60" s="82" t="str">
        <f>TEXT(TABLE_PIVOT[[#This Row],[Date of Call]],"DDDD")</f>
        <v>Monday</v>
      </c>
      <c r="J60" s="82" t="str" cm="1">
        <f t="array" ref="J60">_xlfn.IFS(TABLE_PIVOT[[#This Row],[Duration]]&lt;=10,"Under 10 Mins",TABLE_PIVOT[[#This Row],[Duration]]&lt;=30,"10 to 30 Mins",TABLE_PIVOT[[#This Row],[Duration]]&lt;=60,"30 to 60 Mins",TABLE_PIVOT[[#This Row],[Duration]]&lt;=120,"1 to 2 Hours",TRUE,"More Than 2 Hours")</f>
        <v>1 to 2 Hours</v>
      </c>
      <c r="K60" s="82">
        <f>ROUND(TABLE_PIVOT[[#This Row],[Satisfaction Rating]],0)</f>
        <v>2</v>
      </c>
    </row>
    <row r="61" spans="1:11" x14ac:dyDescent="0.3">
      <c r="A61" s="8" t="s">
        <v>1687</v>
      </c>
      <c r="B61" s="8" t="s">
        <v>1620</v>
      </c>
      <c r="C61" s="8">
        <v>63</v>
      </c>
      <c r="D61" s="120" t="s">
        <v>1611</v>
      </c>
      <c r="E61" s="121">
        <v>44949</v>
      </c>
      <c r="F61" s="8">
        <v>160</v>
      </c>
      <c r="G61" s="8">
        <v>4.3</v>
      </c>
      <c r="H61" s="82">
        <f>IF(MONTH(TABLE_PIVOT[[#This Row],[Date of Call]])&lt;=6,YEAR(TABLE_PIVOT[[#This Row],[Date of Call]]),YEAR(TABLE_PIVOT[[#This Row],[Date of Call]])+1)</f>
        <v>2023</v>
      </c>
      <c r="I61" s="82" t="str">
        <f>TEXT(TABLE_PIVOT[[#This Row],[Date of Call]],"DDDD")</f>
        <v>Monday</v>
      </c>
      <c r="J61" s="82" t="str" cm="1">
        <f t="array" ref="J61">_xlfn.IFS(TABLE_PIVOT[[#This Row],[Duration]]&lt;=10,"Under 10 Mins",TABLE_PIVOT[[#This Row],[Duration]]&lt;=30,"10 to 30 Mins",TABLE_PIVOT[[#This Row],[Duration]]&lt;=60,"30 to 60 Mins",TABLE_PIVOT[[#This Row],[Duration]]&lt;=120,"1 to 2 Hours",TRUE,"More Than 2 Hours")</f>
        <v>1 to 2 Hours</v>
      </c>
      <c r="K61" s="82">
        <f>ROUND(TABLE_PIVOT[[#This Row],[Satisfaction Rating]],0)</f>
        <v>4</v>
      </c>
    </row>
    <row r="62" spans="1:11" x14ac:dyDescent="0.3">
      <c r="A62" s="8" t="s">
        <v>1688</v>
      </c>
      <c r="B62" s="8" t="s">
        <v>1682</v>
      </c>
      <c r="C62" s="8">
        <v>95</v>
      </c>
      <c r="D62" s="120" t="s">
        <v>1616</v>
      </c>
      <c r="E62" s="121">
        <v>44950</v>
      </c>
      <c r="F62" s="8">
        <v>48</v>
      </c>
      <c r="G62" s="8">
        <v>4.5999999999999996</v>
      </c>
      <c r="H62" s="82">
        <f>IF(MONTH(TABLE_PIVOT[[#This Row],[Date of Call]])&lt;=6,YEAR(TABLE_PIVOT[[#This Row],[Date of Call]]),YEAR(TABLE_PIVOT[[#This Row],[Date of Call]])+1)</f>
        <v>2023</v>
      </c>
      <c r="I62" s="82" t="str">
        <f>TEXT(TABLE_PIVOT[[#This Row],[Date of Call]],"DDDD")</f>
        <v>Tuesday</v>
      </c>
      <c r="J62" s="82" t="str" cm="1">
        <f t="array" ref="J62">_xlfn.IFS(TABLE_PIVOT[[#This Row],[Duration]]&lt;=10,"Under 10 Mins",TABLE_PIVOT[[#This Row],[Duration]]&lt;=30,"10 to 30 Mins",TABLE_PIVOT[[#This Row],[Duration]]&lt;=60,"30 to 60 Mins",TABLE_PIVOT[[#This Row],[Duration]]&lt;=120,"1 to 2 Hours",TRUE,"More Than 2 Hours")</f>
        <v>1 to 2 Hours</v>
      </c>
      <c r="K62" s="82">
        <f>ROUND(TABLE_PIVOT[[#This Row],[Satisfaction Rating]],0)</f>
        <v>5</v>
      </c>
    </row>
    <row r="63" spans="1:11" x14ac:dyDescent="0.3">
      <c r="A63" s="8" t="s">
        <v>1689</v>
      </c>
      <c r="B63" s="8" t="s">
        <v>1633</v>
      </c>
      <c r="C63" s="8">
        <v>74</v>
      </c>
      <c r="D63" s="120" t="s">
        <v>1621</v>
      </c>
      <c r="E63" s="121">
        <v>44950</v>
      </c>
      <c r="F63" s="8">
        <v>66</v>
      </c>
      <c r="G63" s="8">
        <v>4</v>
      </c>
      <c r="H63" s="82">
        <f>IF(MONTH(TABLE_PIVOT[[#This Row],[Date of Call]])&lt;=6,YEAR(TABLE_PIVOT[[#This Row],[Date of Call]]),YEAR(TABLE_PIVOT[[#This Row],[Date of Call]])+1)</f>
        <v>2023</v>
      </c>
      <c r="I63" s="82" t="str">
        <f>TEXT(TABLE_PIVOT[[#This Row],[Date of Call]],"DDDD")</f>
        <v>Tuesday</v>
      </c>
      <c r="J63" s="82" t="str" cm="1">
        <f t="array" ref="J63">_xlfn.IFS(TABLE_PIVOT[[#This Row],[Duration]]&lt;=10,"Under 10 Mins",TABLE_PIVOT[[#This Row],[Duration]]&lt;=30,"10 to 30 Mins",TABLE_PIVOT[[#This Row],[Duration]]&lt;=60,"30 to 60 Mins",TABLE_PIVOT[[#This Row],[Duration]]&lt;=120,"1 to 2 Hours",TRUE,"More Than 2 Hours")</f>
        <v>1 to 2 Hours</v>
      </c>
      <c r="K63" s="82">
        <f>ROUND(TABLE_PIVOT[[#This Row],[Satisfaction Rating]],0)</f>
        <v>4</v>
      </c>
    </row>
    <row r="64" spans="1:11" x14ac:dyDescent="0.3">
      <c r="A64" s="8" t="s">
        <v>1690</v>
      </c>
      <c r="B64" s="8" t="s">
        <v>1629</v>
      </c>
      <c r="C64" s="8">
        <v>130</v>
      </c>
      <c r="D64" s="120" t="s">
        <v>1626</v>
      </c>
      <c r="E64" s="121">
        <v>44950</v>
      </c>
      <c r="F64" s="8">
        <v>126</v>
      </c>
      <c r="G64" s="8">
        <v>2.5</v>
      </c>
      <c r="H64" s="82">
        <f>IF(MONTH(TABLE_PIVOT[[#This Row],[Date of Call]])&lt;=6,YEAR(TABLE_PIVOT[[#This Row],[Date of Call]]),YEAR(TABLE_PIVOT[[#This Row],[Date of Call]])+1)</f>
        <v>2023</v>
      </c>
      <c r="I64" s="82" t="str">
        <f>TEXT(TABLE_PIVOT[[#This Row],[Date of Call]],"DDDD")</f>
        <v>Tuesday</v>
      </c>
      <c r="J64" s="82" t="str" cm="1">
        <f t="array" ref="J64">_xlfn.IFS(TABLE_PIVOT[[#This Row],[Duration]]&lt;=10,"Under 10 Mins",TABLE_PIVOT[[#This Row],[Duration]]&lt;=30,"10 to 30 Mins",TABLE_PIVOT[[#This Row],[Duration]]&lt;=60,"30 to 60 Mins",TABLE_PIVOT[[#This Row],[Duration]]&lt;=120,"1 to 2 Hours",TRUE,"More Than 2 Hours")</f>
        <v>More Than 2 Hours</v>
      </c>
      <c r="K64" s="82">
        <f>ROUND(TABLE_PIVOT[[#This Row],[Satisfaction Rating]],0)</f>
        <v>3</v>
      </c>
    </row>
    <row r="65" spans="1:11" x14ac:dyDescent="0.3">
      <c r="A65" s="8" t="s">
        <v>1691</v>
      </c>
      <c r="B65" s="8" t="s">
        <v>1649</v>
      </c>
      <c r="C65" s="8">
        <v>110</v>
      </c>
      <c r="D65" s="120" t="s">
        <v>1630</v>
      </c>
      <c r="E65" s="121">
        <v>44950</v>
      </c>
      <c r="F65" s="8">
        <v>96</v>
      </c>
      <c r="G65" s="8">
        <v>5</v>
      </c>
      <c r="H65" s="82">
        <f>IF(MONTH(TABLE_PIVOT[[#This Row],[Date of Call]])&lt;=6,YEAR(TABLE_PIVOT[[#This Row],[Date of Call]]),YEAR(TABLE_PIVOT[[#This Row],[Date of Call]])+1)</f>
        <v>2023</v>
      </c>
      <c r="I65" s="82" t="str">
        <f>TEXT(TABLE_PIVOT[[#This Row],[Date of Call]],"DDDD")</f>
        <v>Tuesday</v>
      </c>
      <c r="J65" s="82" t="str" cm="1">
        <f t="array" ref="J65">_xlfn.IFS(TABLE_PIVOT[[#This Row],[Duration]]&lt;=10,"Under 10 Mins",TABLE_PIVOT[[#This Row],[Duration]]&lt;=30,"10 to 30 Mins",TABLE_PIVOT[[#This Row],[Duration]]&lt;=60,"30 to 60 Mins",TABLE_PIVOT[[#This Row],[Duration]]&lt;=120,"1 to 2 Hours",TRUE,"More Than 2 Hours")</f>
        <v>1 to 2 Hours</v>
      </c>
      <c r="K65" s="82">
        <f>ROUND(TABLE_PIVOT[[#This Row],[Satisfaction Rating]],0)</f>
        <v>5</v>
      </c>
    </row>
    <row r="66" spans="1:11" x14ac:dyDescent="0.3">
      <c r="A66" s="8" t="s">
        <v>1692</v>
      </c>
      <c r="B66" s="8" t="s">
        <v>1633</v>
      </c>
      <c r="C66" s="8">
        <v>71</v>
      </c>
      <c r="D66" s="120" t="s">
        <v>1611</v>
      </c>
      <c r="E66" s="121">
        <v>44951</v>
      </c>
      <c r="F66" s="8">
        <v>90</v>
      </c>
      <c r="G66" s="8">
        <v>3.8</v>
      </c>
      <c r="H66" s="82">
        <f>IF(MONTH(TABLE_PIVOT[[#This Row],[Date of Call]])&lt;=6,YEAR(TABLE_PIVOT[[#This Row],[Date of Call]]),YEAR(TABLE_PIVOT[[#This Row],[Date of Call]])+1)</f>
        <v>2023</v>
      </c>
      <c r="I66" s="82" t="str">
        <f>TEXT(TABLE_PIVOT[[#This Row],[Date of Call]],"DDDD")</f>
        <v>Wednesday</v>
      </c>
      <c r="J66" s="82" t="str" cm="1">
        <f t="array" ref="J66">_xlfn.IFS(TABLE_PIVOT[[#This Row],[Duration]]&lt;=10,"Under 10 Mins",TABLE_PIVOT[[#This Row],[Duration]]&lt;=30,"10 to 30 Mins",TABLE_PIVOT[[#This Row],[Duration]]&lt;=60,"30 to 60 Mins",TABLE_PIVOT[[#This Row],[Duration]]&lt;=120,"1 to 2 Hours",TRUE,"More Than 2 Hours")</f>
        <v>1 to 2 Hours</v>
      </c>
      <c r="K66" s="82">
        <f>ROUND(TABLE_PIVOT[[#This Row],[Satisfaction Rating]],0)</f>
        <v>4</v>
      </c>
    </row>
    <row r="67" spans="1:11" x14ac:dyDescent="0.3">
      <c r="A67" s="8" t="s">
        <v>1693</v>
      </c>
      <c r="B67" s="8" t="s">
        <v>1662</v>
      </c>
      <c r="C67" s="8">
        <v>147</v>
      </c>
      <c r="D67" s="120" t="s">
        <v>1626</v>
      </c>
      <c r="E67" s="121">
        <v>44951</v>
      </c>
      <c r="F67" s="8">
        <v>105</v>
      </c>
      <c r="G67" s="8">
        <v>4.4000000000000004</v>
      </c>
      <c r="H67" s="82">
        <f>IF(MONTH(TABLE_PIVOT[[#This Row],[Date of Call]])&lt;=6,YEAR(TABLE_PIVOT[[#This Row],[Date of Call]]),YEAR(TABLE_PIVOT[[#This Row],[Date of Call]])+1)</f>
        <v>2023</v>
      </c>
      <c r="I67" s="82" t="str">
        <f>TEXT(TABLE_PIVOT[[#This Row],[Date of Call]],"DDDD")</f>
        <v>Wednesday</v>
      </c>
      <c r="J67" s="82" t="str" cm="1">
        <f t="array" ref="J67">_xlfn.IFS(TABLE_PIVOT[[#This Row],[Duration]]&lt;=10,"Under 10 Mins",TABLE_PIVOT[[#This Row],[Duration]]&lt;=30,"10 to 30 Mins",TABLE_PIVOT[[#This Row],[Duration]]&lt;=60,"30 to 60 Mins",TABLE_PIVOT[[#This Row],[Duration]]&lt;=120,"1 to 2 Hours",TRUE,"More Than 2 Hours")</f>
        <v>More Than 2 Hours</v>
      </c>
      <c r="K67" s="82">
        <f>ROUND(TABLE_PIVOT[[#This Row],[Satisfaction Rating]],0)</f>
        <v>4</v>
      </c>
    </row>
    <row r="68" spans="1:11" x14ac:dyDescent="0.3">
      <c r="A68" s="8" t="s">
        <v>1694</v>
      </c>
      <c r="B68" s="8" t="s">
        <v>1613</v>
      </c>
      <c r="C68" s="8">
        <v>69</v>
      </c>
      <c r="D68" s="120" t="s">
        <v>1616</v>
      </c>
      <c r="E68" s="121">
        <v>44952</v>
      </c>
      <c r="F68" s="8">
        <v>40</v>
      </c>
      <c r="G68" s="8">
        <v>3.8</v>
      </c>
      <c r="H68" s="82">
        <f>IF(MONTH(TABLE_PIVOT[[#This Row],[Date of Call]])&lt;=6,YEAR(TABLE_PIVOT[[#This Row],[Date of Call]]),YEAR(TABLE_PIVOT[[#This Row],[Date of Call]])+1)</f>
        <v>2023</v>
      </c>
      <c r="I68" s="82" t="str">
        <f>TEXT(TABLE_PIVOT[[#This Row],[Date of Call]],"DDDD")</f>
        <v>Thursday</v>
      </c>
      <c r="J68" s="82" t="str" cm="1">
        <f t="array" ref="J68">_xlfn.IFS(TABLE_PIVOT[[#This Row],[Duration]]&lt;=10,"Under 10 Mins",TABLE_PIVOT[[#This Row],[Duration]]&lt;=30,"10 to 30 Mins",TABLE_PIVOT[[#This Row],[Duration]]&lt;=60,"30 to 60 Mins",TABLE_PIVOT[[#This Row],[Duration]]&lt;=120,"1 to 2 Hours",TRUE,"More Than 2 Hours")</f>
        <v>1 to 2 Hours</v>
      </c>
      <c r="K68" s="82">
        <f>ROUND(TABLE_PIVOT[[#This Row],[Satisfaction Rating]],0)</f>
        <v>4</v>
      </c>
    </row>
    <row r="69" spans="1:11" x14ac:dyDescent="0.3">
      <c r="A69" s="8" t="s">
        <v>1695</v>
      </c>
      <c r="B69" s="8" t="s">
        <v>1649</v>
      </c>
      <c r="C69" s="8">
        <v>50</v>
      </c>
      <c r="D69" s="120" t="s">
        <v>1611</v>
      </c>
      <c r="E69" s="121">
        <v>44952</v>
      </c>
      <c r="F69" s="8">
        <v>60</v>
      </c>
      <c r="G69" s="8">
        <v>2</v>
      </c>
      <c r="H69" s="82">
        <f>IF(MONTH(TABLE_PIVOT[[#This Row],[Date of Call]])&lt;=6,YEAR(TABLE_PIVOT[[#This Row],[Date of Call]]),YEAR(TABLE_PIVOT[[#This Row],[Date of Call]])+1)</f>
        <v>2023</v>
      </c>
      <c r="I69" s="82" t="str">
        <f>TEXT(TABLE_PIVOT[[#This Row],[Date of Call]],"DDDD")</f>
        <v>Thursday</v>
      </c>
      <c r="J69" s="82" t="str" cm="1">
        <f t="array" ref="J69">_xlfn.IFS(TABLE_PIVOT[[#This Row],[Duration]]&lt;=10,"Under 10 Mins",TABLE_PIVOT[[#This Row],[Duration]]&lt;=30,"10 to 30 Mins",TABLE_PIVOT[[#This Row],[Duration]]&lt;=60,"30 to 60 Mins",TABLE_PIVOT[[#This Row],[Duration]]&lt;=120,"1 to 2 Hours",TRUE,"More Than 2 Hours")</f>
        <v>30 to 60 Mins</v>
      </c>
      <c r="K69" s="82">
        <f>ROUND(TABLE_PIVOT[[#This Row],[Satisfaction Rating]],0)</f>
        <v>2</v>
      </c>
    </row>
    <row r="70" spans="1:11" x14ac:dyDescent="0.3">
      <c r="A70" s="8" t="s">
        <v>1696</v>
      </c>
      <c r="B70" s="8" t="s">
        <v>1629</v>
      </c>
      <c r="C70" s="8">
        <v>124</v>
      </c>
      <c r="D70" s="120" t="s">
        <v>1626</v>
      </c>
      <c r="E70" s="121">
        <v>44953</v>
      </c>
      <c r="F70" s="8">
        <v>215</v>
      </c>
      <c r="G70" s="8">
        <v>4.0999999999999996</v>
      </c>
      <c r="H70" s="82">
        <f>IF(MONTH(TABLE_PIVOT[[#This Row],[Date of Call]])&lt;=6,YEAR(TABLE_PIVOT[[#This Row],[Date of Call]]),YEAR(TABLE_PIVOT[[#This Row],[Date of Call]])+1)</f>
        <v>2023</v>
      </c>
      <c r="I70" s="82" t="str">
        <f>TEXT(TABLE_PIVOT[[#This Row],[Date of Call]],"DDDD")</f>
        <v>Friday</v>
      </c>
      <c r="J70" s="82" t="str" cm="1">
        <f t="array" ref="J70">_xlfn.IFS(TABLE_PIVOT[[#This Row],[Duration]]&lt;=10,"Under 10 Mins",TABLE_PIVOT[[#This Row],[Duration]]&lt;=30,"10 to 30 Mins",TABLE_PIVOT[[#This Row],[Duration]]&lt;=60,"30 to 60 Mins",TABLE_PIVOT[[#This Row],[Duration]]&lt;=120,"1 to 2 Hours",TRUE,"More Than 2 Hours")</f>
        <v>More Than 2 Hours</v>
      </c>
      <c r="K70" s="82">
        <f>ROUND(TABLE_PIVOT[[#This Row],[Satisfaction Rating]],0)</f>
        <v>4</v>
      </c>
    </row>
    <row r="71" spans="1:11" x14ac:dyDescent="0.3">
      <c r="A71" s="8" t="s">
        <v>1697</v>
      </c>
      <c r="B71" s="8" t="s">
        <v>1615</v>
      </c>
      <c r="C71" s="8">
        <v>81</v>
      </c>
      <c r="D71" s="120" t="s">
        <v>1621</v>
      </c>
      <c r="E71" s="121">
        <v>44953</v>
      </c>
      <c r="F71" s="8">
        <v>156</v>
      </c>
      <c r="G71" s="8">
        <v>2.6</v>
      </c>
      <c r="H71" s="82">
        <f>IF(MONTH(TABLE_PIVOT[[#This Row],[Date of Call]])&lt;=6,YEAR(TABLE_PIVOT[[#This Row],[Date of Call]]),YEAR(TABLE_PIVOT[[#This Row],[Date of Call]])+1)</f>
        <v>2023</v>
      </c>
      <c r="I71" s="82" t="str">
        <f>TEXT(TABLE_PIVOT[[#This Row],[Date of Call]],"DDDD")</f>
        <v>Friday</v>
      </c>
      <c r="J71" s="82" t="str" cm="1">
        <f t="array" ref="J71">_xlfn.IFS(TABLE_PIVOT[[#This Row],[Duration]]&lt;=10,"Under 10 Mins",TABLE_PIVOT[[#This Row],[Duration]]&lt;=30,"10 to 30 Mins",TABLE_PIVOT[[#This Row],[Duration]]&lt;=60,"30 to 60 Mins",TABLE_PIVOT[[#This Row],[Duration]]&lt;=120,"1 to 2 Hours",TRUE,"More Than 2 Hours")</f>
        <v>1 to 2 Hours</v>
      </c>
      <c r="K71" s="82">
        <f>ROUND(TABLE_PIVOT[[#This Row],[Satisfaction Rating]],0)</f>
        <v>3</v>
      </c>
    </row>
    <row r="72" spans="1:11" x14ac:dyDescent="0.3">
      <c r="A72" s="8" t="s">
        <v>1698</v>
      </c>
      <c r="B72" s="8" t="s">
        <v>1644</v>
      </c>
      <c r="C72" s="8">
        <v>141</v>
      </c>
      <c r="D72" s="120" t="s">
        <v>1630</v>
      </c>
      <c r="E72" s="121">
        <v>44953</v>
      </c>
      <c r="F72" s="8">
        <v>54</v>
      </c>
      <c r="G72" s="8">
        <v>0</v>
      </c>
      <c r="H72" s="82">
        <f>IF(MONTH(TABLE_PIVOT[[#This Row],[Date of Call]])&lt;=6,YEAR(TABLE_PIVOT[[#This Row],[Date of Call]]),YEAR(TABLE_PIVOT[[#This Row],[Date of Call]])+1)</f>
        <v>2023</v>
      </c>
      <c r="I72" s="82" t="str">
        <f>TEXT(TABLE_PIVOT[[#This Row],[Date of Call]],"DDDD")</f>
        <v>Friday</v>
      </c>
      <c r="J72" s="82" t="str" cm="1">
        <f t="array" ref="J72">_xlfn.IFS(TABLE_PIVOT[[#This Row],[Duration]]&lt;=10,"Under 10 Mins",TABLE_PIVOT[[#This Row],[Duration]]&lt;=30,"10 to 30 Mins",TABLE_PIVOT[[#This Row],[Duration]]&lt;=60,"30 to 60 Mins",TABLE_PIVOT[[#This Row],[Duration]]&lt;=120,"1 to 2 Hours",TRUE,"More Than 2 Hours")</f>
        <v>More Than 2 Hours</v>
      </c>
      <c r="K72" s="82">
        <f>ROUND(TABLE_PIVOT[[#This Row],[Satisfaction Rating]],0)</f>
        <v>0</v>
      </c>
    </row>
    <row r="73" spans="1:11" x14ac:dyDescent="0.3">
      <c r="A73" s="8" t="s">
        <v>1699</v>
      </c>
      <c r="B73" s="8" t="s">
        <v>1644</v>
      </c>
      <c r="C73" s="8">
        <v>168</v>
      </c>
      <c r="D73" s="120" t="s">
        <v>1630</v>
      </c>
      <c r="E73" s="121">
        <v>44954</v>
      </c>
      <c r="F73" s="8">
        <v>160</v>
      </c>
      <c r="G73" s="8">
        <v>3.9</v>
      </c>
      <c r="H73" s="82">
        <f>IF(MONTH(TABLE_PIVOT[[#This Row],[Date of Call]])&lt;=6,YEAR(TABLE_PIVOT[[#This Row],[Date of Call]]),YEAR(TABLE_PIVOT[[#This Row],[Date of Call]])+1)</f>
        <v>2023</v>
      </c>
      <c r="I73" s="82" t="str">
        <f>TEXT(TABLE_PIVOT[[#This Row],[Date of Call]],"DDDD")</f>
        <v>Saturday</v>
      </c>
      <c r="J73" s="82" t="str" cm="1">
        <f t="array" ref="J73">_xlfn.IFS(TABLE_PIVOT[[#This Row],[Duration]]&lt;=10,"Under 10 Mins",TABLE_PIVOT[[#This Row],[Duration]]&lt;=30,"10 to 30 Mins",TABLE_PIVOT[[#This Row],[Duration]]&lt;=60,"30 to 60 Mins",TABLE_PIVOT[[#This Row],[Duration]]&lt;=120,"1 to 2 Hours",TRUE,"More Than 2 Hours")</f>
        <v>More Than 2 Hours</v>
      </c>
      <c r="K73" s="82">
        <f>ROUND(TABLE_PIVOT[[#This Row],[Satisfaction Rating]],0)</f>
        <v>4</v>
      </c>
    </row>
    <row r="74" spans="1:11" x14ac:dyDescent="0.3">
      <c r="A74" s="8" t="s">
        <v>1700</v>
      </c>
      <c r="B74" s="8" t="s">
        <v>1662</v>
      </c>
      <c r="C74" s="8">
        <v>101</v>
      </c>
      <c r="D74" s="120" t="s">
        <v>1621</v>
      </c>
      <c r="E74" s="121">
        <v>44954</v>
      </c>
      <c r="F74" s="8">
        <v>80</v>
      </c>
      <c r="G74" s="8">
        <v>4.8</v>
      </c>
      <c r="H74" s="82">
        <f>IF(MONTH(TABLE_PIVOT[[#This Row],[Date of Call]])&lt;=6,YEAR(TABLE_PIVOT[[#This Row],[Date of Call]]),YEAR(TABLE_PIVOT[[#This Row],[Date of Call]])+1)</f>
        <v>2023</v>
      </c>
      <c r="I74" s="82" t="str">
        <f>TEXT(TABLE_PIVOT[[#This Row],[Date of Call]],"DDDD")</f>
        <v>Saturday</v>
      </c>
      <c r="J74" s="82" t="str" cm="1">
        <f t="array" ref="J74">_xlfn.IFS(TABLE_PIVOT[[#This Row],[Duration]]&lt;=10,"Under 10 Mins",TABLE_PIVOT[[#This Row],[Duration]]&lt;=30,"10 to 30 Mins",TABLE_PIVOT[[#This Row],[Duration]]&lt;=60,"30 to 60 Mins",TABLE_PIVOT[[#This Row],[Duration]]&lt;=120,"1 to 2 Hours",TRUE,"More Than 2 Hours")</f>
        <v>1 to 2 Hours</v>
      </c>
      <c r="K74" s="82">
        <f>ROUND(TABLE_PIVOT[[#This Row],[Satisfaction Rating]],0)</f>
        <v>5</v>
      </c>
    </row>
    <row r="75" spans="1:11" x14ac:dyDescent="0.3">
      <c r="A75" s="8" t="s">
        <v>1701</v>
      </c>
      <c r="B75" s="8" t="s">
        <v>1633</v>
      </c>
      <c r="C75" s="8">
        <v>67</v>
      </c>
      <c r="D75" s="120" t="s">
        <v>1621</v>
      </c>
      <c r="E75" s="121">
        <v>44954</v>
      </c>
      <c r="F75" s="8">
        <v>168</v>
      </c>
      <c r="G75" s="8">
        <v>2.6</v>
      </c>
      <c r="H75" s="82">
        <f>IF(MONTH(TABLE_PIVOT[[#This Row],[Date of Call]])&lt;=6,YEAR(TABLE_PIVOT[[#This Row],[Date of Call]]),YEAR(TABLE_PIVOT[[#This Row],[Date of Call]])+1)</f>
        <v>2023</v>
      </c>
      <c r="I75" s="82" t="str">
        <f>TEXT(TABLE_PIVOT[[#This Row],[Date of Call]],"DDDD")</f>
        <v>Saturday</v>
      </c>
      <c r="J75" s="82" t="str" cm="1">
        <f t="array" ref="J75">_xlfn.IFS(TABLE_PIVOT[[#This Row],[Duration]]&lt;=10,"Under 10 Mins",TABLE_PIVOT[[#This Row],[Duration]]&lt;=30,"10 to 30 Mins",TABLE_PIVOT[[#This Row],[Duration]]&lt;=60,"30 to 60 Mins",TABLE_PIVOT[[#This Row],[Duration]]&lt;=120,"1 to 2 Hours",TRUE,"More Than 2 Hours")</f>
        <v>1 to 2 Hours</v>
      </c>
      <c r="K75" s="82">
        <f>ROUND(TABLE_PIVOT[[#This Row],[Satisfaction Rating]],0)</f>
        <v>3</v>
      </c>
    </row>
    <row r="76" spans="1:11" x14ac:dyDescent="0.3">
      <c r="A76" s="8" t="s">
        <v>1702</v>
      </c>
      <c r="B76" s="8" t="s">
        <v>1682</v>
      </c>
      <c r="C76" s="8">
        <v>114</v>
      </c>
      <c r="D76" s="120" t="s">
        <v>1630</v>
      </c>
      <c r="E76" s="121">
        <v>44956</v>
      </c>
      <c r="F76" s="8">
        <v>42</v>
      </c>
      <c r="G76" s="8">
        <v>2.6</v>
      </c>
      <c r="H76" s="82">
        <f>IF(MONTH(TABLE_PIVOT[[#This Row],[Date of Call]])&lt;=6,YEAR(TABLE_PIVOT[[#This Row],[Date of Call]]),YEAR(TABLE_PIVOT[[#This Row],[Date of Call]])+1)</f>
        <v>2023</v>
      </c>
      <c r="I76" s="82" t="str">
        <f>TEXT(TABLE_PIVOT[[#This Row],[Date of Call]],"DDDD")</f>
        <v>Monday</v>
      </c>
      <c r="J76" s="82" t="str" cm="1">
        <f t="array" ref="J76">_xlfn.IFS(TABLE_PIVOT[[#This Row],[Duration]]&lt;=10,"Under 10 Mins",TABLE_PIVOT[[#This Row],[Duration]]&lt;=30,"10 to 30 Mins",TABLE_PIVOT[[#This Row],[Duration]]&lt;=60,"30 to 60 Mins",TABLE_PIVOT[[#This Row],[Duration]]&lt;=120,"1 to 2 Hours",TRUE,"More Than 2 Hours")</f>
        <v>1 to 2 Hours</v>
      </c>
      <c r="K76" s="82">
        <f>ROUND(TABLE_PIVOT[[#This Row],[Satisfaction Rating]],0)</f>
        <v>3</v>
      </c>
    </row>
    <row r="77" spans="1:11" x14ac:dyDescent="0.3">
      <c r="A77" s="8" t="s">
        <v>1703</v>
      </c>
      <c r="B77" s="8" t="s">
        <v>1615</v>
      </c>
      <c r="C77" s="8">
        <v>42</v>
      </c>
      <c r="D77" s="120" t="s">
        <v>1621</v>
      </c>
      <c r="E77" s="121">
        <v>44956</v>
      </c>
      <c r="F77" s="8">
        <v>205</v>
      </c>
      <c r="G77" s="8">
        <v>3.6</v>
      </c>
      <c r="H77" s="82">
        <f>IF(MONTH(TABLE_PIVOT[[#This Row],[Date of Call]])&lt;=6,YEAR(TABLE_PIVOT[[#This Row],[Date of Call]]),YEAR(TABLE_PIVOT[[#This Row],[Date of Call]])+1)</f>
        <v>2023</v>
      </c>
      <c r="I77" s="82" t="str">
        <f>TEXT(TABLE_PIVOT[[#This Row],[Date of Call]],"DDDD")</f>
        <v>Monday</v>
      </c>
      <c r="J77" s="82" t="str" cm="1">
        <f t="array" ref="J77">_xlfn.IFS(TABLE_PIVOT[[#This Row],[Duration]]&lt;=10,"Under 10 Mins",TABLE_PIVOT[[#This Row],[Duration]]&lt;=30,"10 to 30 Mins",TABLE_PIVOT[[#This Row],[Duration]]&lt;=60,"30 to 60 Mins",TABLE_PIVOT[[#This Row],[Duration]]&lt;=120,"1 to 2 Hours",TRUE,"More Than 2 Hours")</f>
        <v>30 to 60 Mins</v>
      </c>
      <c r="K77" s="82">
        <f>ROUND(TABLE_PIVOT[[#This Row],[Satisfaction Rating]],0)</f>
        <v>4</v>
      </c>
    </row>
    <row r="78" spans="1:11" x14ac:dyDescent="0.3">
      <c r="A78" s="8" t="s">
        <v>1704</v>
      </c>
      <c r="B78" s="8" t="s">
        <v>1620</v>
      </c>
      <c r="C78" s="8">
        <v>69</v>
      </c>
      <c r="D78" s="120" t="s">
        <v>1630</v>
      </c>
      <c r="E78" s="121">
        <v>44956</v>
      </c>
      <c r="F78" s="8">
        <v>108</v>
      </c>
      <c r="G78" s="8">
        <v>3.3</v>
      </c>
      <c r="H78" s="82">
        <f>IF(MONTH(TABLE_PIVOT[[#This Row],[Date of Call]])&lt;=6,YEAR(TABLE_PIVOT[[#This Row],[Date of Call]]),YEAR(TABLE_PIVOT[[#This Row],[Date of Call]])+1)</f>
        <v>2023</v>
      </c>
      <c r="I78" s="82" t="str">
        <f>TEXT(TABLE_PIVOT[[#This Row],[Date of Call]],"DDDD")</f>
        <v>Monday</v>
      </c>
      <c r="J78" s="82" t="str" cm="1">
        <f t="array" ref="J78">_xlfn.IFS(TABLE_PIVOT[[#This Row],[Duration]]&lt;=10,"Under 10 Mins",TABLE_PIVOT[[#This Row],[Duration]]&lt;=30,"10 to 30 Mins",TABLE_PIVOT[[#This Row],[Duration]]&lt;=60,"30 to 60 Mins",TABLE_PIVOT[[#This Row],[Duration]]&lt;=120,"1 to 2 Hours",TRUE,"More Than 2 Hours")</f>
        <v>1 to 2 Hours</v>
      </c>
      <c r="K78" s="82">
        <f>ROUND(TABLE_PIVOT[[#This Row],[Satisfaction Rating]],0)</f>
        <v>3</v>
      </c>
    </row>
    <row r="79" spans="1:11" x14ac:dyDescent="0.3">
      <c r="A79" s="8" t="s">
        <v>1705</v>
      </c>
      <c r="B79" s="8" t="s">
        <v>1629</v>
      </c>
      <c r="C79" s="8">
        <v>145</v>
      </c>
      <c r="D79" s="120" t="s">
        <v>1616</v>
      </c>
      <c r="E79" s="121">
        <v>44956</v>
      </c>
      <c r="F79" s="8">
        <v>78</v>
      </c>
      <c r="G79" s="8">
        <v>1.9</v>
      </c>
      <c r="H79" s="82">
        <f>IF(MONTH(TABLE_PIVOT[[#This Row],[Date of Call]])&lt;=6,YEAR(TABLE_PIVOT[[#This Row],[Date of Call]]),YEAR(TABLE_PIVOT[[#This Row],[Date of Call]])+1)</f>
        <v>2023</v>
      </c>
      <c r="I79" s="82" t="str">
        <f>TEXT(TABLE_PIVOT[[#This Row],[Date of Call]],"DDDD")</f>
        <v>Monday</v>
      </c>
      <c r="J79" s="82" t="str" cm="1">
        <f t="array" ref="J79">_xlfn.IFS(TABLE_PIVOT[[#This Row],[Duration]]&lt;=10,"Under 10 Mins",TABLE_PIVOT[[#This Row],[Duration]]&lt;=30,"10 to 30 Mins",TABLE_PIVOT[[#This Row],[Duration]]&lt;=60,"30 to 60 Mins",TABLE_PIVOT[[#This Row],[Duration]]&lt;=120,"1 to 2 Hours",TRUE,"More Than 2 Hours")</f>
        <v>More Than 2 Hours</v>
      </c>
      <c r="K79" s="82">
        <f>ROUND(TABLE_PIVOT[[#This Row],[Satisfaction Rating]],0)</f>
        <v>2</v>
      </c>
    </row>
    <row r="80" spans="1:11" x14ac:dyDescent="0.3">
      <c r="A80" s="8" t="s">
        <v>1706</v>
      </c>
      <c r="B80" s="8" t="s">
        <v>1613</v>
      </c>
      <c r="C80" s="8">
        <v>43</v>
      </c>
      <c r="D80" s="120" t="s">
        <v>1630</v>
      </c>
      <c r="E80" s="121">
        <v>44956</v>
      </c>
      <c r="F80" s="8">
        <v>23</v>
      </c>
      <c r="G80" s="8">
        <v>4.9000000000000004</v>
      </c>
      <c r="H80" s="82">
        <f>IF(MONTH(TABLE_PIVOT[[#This Row],[Date of Call]])&lt;=6,YEAR(TABLE_PIVOT[[#This Row],[Date of Call]]),YEAR(TABLE_PIVOT[[#This Row],[Date of Call]])+1)</f>
        <v>2023</v>
      </c>
      <c r="I80" s="82" t="str">
        <f>TEXT(TABLE_PIVOT[[#This Row],[Date of Call]],"DDDD")</f>
        <v>Monday</v>
      </c>
      <c r="J80" s="82" t="str" cm="1">
        <f t="array" ref="J80">_xlfn.IFS(TABLE_PIVOT[[#This Row],[Duration]]&lt;=10,"Under 10 Mins",TABLE_PIVOT[[#This Row],[Duration]]&lt;=30,"10 to 30 Mins",TABLE_PIVOT[[#This Row],[Duration]]&lt;=60,"30 to 60 Mins",TABLE_PIVOT[[#This Row],[Duration]]&lt;=120,"1 to 2 Hours",TRUE,"More Than 2 Hours")</f>
        <v>30 to 60 Mins</v>
      </c>
      <c r="K80" s="82">
        <f>ROUND(TABLE_PIVOT[[#This Row],[Satisfaction Rating]],0)</f>
        <v>5</v>
      </c>
    </row>
    <row r="81" spans="1:11" x14ac:dyDescent="0.3">
      <c r="A81" s="8" t="s">
        <v>1707</v>
      </c>
      <c r="B81" s="8" t="s">
        <v>1620</v>
      </c>
      <c r="C81" s="8">
        <v>62</v>
      </c>
      <c r="D81" s="120" t="s">
        <v>1611</v>
      </c>
      <c r="E81" s="121">
        <v>44957</v>
      </c>
      <c r="F81" s="8">
        <v>99</v>
      </c>
      <c r="G81" s="8">
        <v>3.6</v>
      </c>
      <c r="H81" s="82">
        <f>IF(MONTH(TABLE_PIVOT[[#This Row],[Date of Call]])&lt;=6,YEAR(TABLE_PIVOT[[#This Row],[Date of Call]]),YEAR(TABLE_PIVOT[[#This Row],[Date of Call]])+1)</f>
        <v>2023</v>
      </c>
      <c r="I81" s="82" t="str">
        <f>TEXT(TABLE_PIVOT[[#This Row],[Date of Call]],"DDDD")</f>
        <v>Tuesday</v>
      </c>
      <c r="J81" s="82" t="str" cm="1">
        <f t="array" ref="J81">_xlfn.IFS(TABLE_PIVOT[[#This Row],[Duration]]&lt;=10,"Under 10 Mins",TABLE_PIVOT[[#This Row],[Duration]]&lt;=30,"10 to 30 Mins",TABLE_PIVOT[[#This Row],[Duration]]&lt;=60,"30 to 60 Mins",TABLE_PIVOT[[#This Row],[Duration]]&lt;=120,"1 to 2 Hours",TRUE,"More Than 2 Hours")</f>
        <v>1 to 2 Hours</v>
      </c>
      <c r="K81" s="82">
        <f>ROUND(TABLE_PIVOT[[#This Row],[Satisfaction Rating]],0)</f>
        <v>4</v>
      </c>
    </row>
    <row r="82" spans="1:11" x14ac:dyDescent="0.3">
      <c r="A82" s="8" t="s">
        <v>1708</v>
      </c>
      <c r="B82" s="8" t="s">
        <v>1641</v>
      </c>
      <c r="C82" s="8">
        <v>79</v>
      </c>
      <c r="D82" s="120" t="s">
        <v>1630</v>
      </c>
      <c r="E82" s="121">
        <v>44958</v>
      </c>
      <c r="F82" s="8">
        <v>148</v>
      </c>
      <c r="G82" s="8">
        <v>4.5</v>
      </c>
      <c r="H82" s="82">
        <f>IF(MONTH(TABLE_PIVOT[[#This Row],[Date of Call]])&lt;=6,YEAR(TABLE_PIVOT[[#This Row],[Date of Call]]),YEAR(TABLE_PIVOT[[#This Row],[Date of Call]])+1)</f>
        <v>2023</v>
      </c>
      <c r="I82" s="82" t="str">
        <f>TEXT(TABLE_PIVOT[[#This Row],[Date of Call]],"DDDD")</f>
        <v>Wednesday</v>
      </c>
      <c r="J82" s="82" t="str" cm="1">
        <f t="array" ref="J82">_xlfn.IFS(TABLE_PIVOT[[#This Row],[Duration]]&lt;=10,"Under 10 Mins",TABLE_PIVOT[[#This Row],[Duration]]&lt;=30,"10 to 30 Mins",TABLE_PIVOT[[#This Row],[Duration]]&lt;=60,"30 to 60 Mins",TABLE_PIVOT[[#This Row],[Duration]]&lt;=120,"1 to 2 Hours",TRUE,"More Than 2 Hours")</f>
        <v>1 to 2 Hours</v>
      </c>
      <c r="K82" s="82">
        <f>ROUND(TABLE_PIVOT[[#This Row],[Satisfaction Rating]],0)</f>
        <v>5</v>
      </c>
    </row>
    <row r="83" spans="1:11" x14ac:dyDescent="0.3">
      <c r="A83" s="8" t="s">
        <v>1709</v>
      </c>
      <c r="B83" s="8" t="s">
        <v>1629</v>
      </c>
      <c r="C83" s="8">
        <v>45</v>
      </c>
      <c r="D83" s="120" t="s">
        <v>1626</v>
      </c>
      <c r="E83" s="121">
        <v>44958</v>
      </c>
      <c r="F83" s="8">
        <v>34</v>
      </c>
      <c r="G83" s="8">
        <v>3.7</v>
      </c>
      <c r="H83" s="82">
        <f>IF(MONTH(TABLE_PIVOT[[#This Row],[Date of Call]])&lt;=6,YEAR(TABLE_PIVOT[[#This Row],[Date of Call]]),YEAR(TABLE_PIVOT[[#This Row],[Date of Call]])+1)</f>
        <v>2023</v>
      </c>
      <c r="I83" s="82" t="str">
        <f>TEXT(TABLE_PIVOT[[#This Row],[Date of Call]],"DDDD")</f>
        <v>Wednesday</v>
      </c>
      <c r="J83" s="82" t="str" cm="1">
        <f t="array" ref="J83">_xlfn.IFS(TABLE_PIVOT[[#This Row],[Duration]]&lt;=10,"Under 10 Mins",TABLE_PIVOT[[#This Row],[Duration]]&lt;=30,"10 to 30 Mins",TABLE_PIVOT[[#This Row],[Duration]]&lt;=60,"30 to 60 Mins",TABLE_PIVOT[[#This Row],[Duration]]&lt;=120,"1 to 2 Hours",TRUE,"More Than 2 Hours")</f>
        <v>30 to 60 Mins</v>
      </c>
      <c r="K83" s="82">
        <f>ROUND(TABLE_PIVOT[[#This Row],[Satisfaction Rating]],0)</f>
        <v>4</v>
      </c>
    </row>
    <row r="84" spans="1:11" x14ac:dyDescent="0.3">
      <c r="A84" s="8" t="s">
        <v>1710</v>
      </c>
      <c r="B84" s="8" t="s">
        <v>1620</v>
      </c>
      <c r="C84" s="8">
        <v>137</v>
      </c>
      <c r="D84" s="120" t="s">
        <v>1630</v>
      </c>
      <c r="E84" s="121">
        <v>44958</v>
      </c>
      <c r="F84" s="8">
        <v>86</v>
      </c>
      <c r="G84" s="8">
        <v>4.8</v>
      </c>
      <c r="H84" s="82">
        <f>IF(MONTH(TABLE_PIVOT[[#This Row],[Date of Call]])&lt;=6,YEAR(TABLE_PIVOT[[#This Row],[Date of Call]]),YEAR(TABLE_PIVOT[[#This Row],[Date of Call]])+1)</f>
        <v>2023</v>
      </c>
      <c r="I84" s="82" t="str">
        <f>TEXT(TABLE_PIVOT[[#This Row],[Date of Call]],"DDDD")</f>
        <v>Wednesday</v>
      </c>
      <c r="J84" s="82" t="str" cm="1">
        <f t="array" ref="J84">_xlfn.IFS(TABLE_PIVOT[[#This Row],[Duration]]&lt;=10,"Under 10 Mins",TABLE_PIVOT[[#This Row],[Duration]]&lt;=30,"10 to 30 Mins",TABLE_PIVOT[[#This Row],[Duration]]&lt;=60,"30 to 60 Mins",TABLE_PIVOT[[#This Row],[Duration]]&lt;=120,"1 to 2 Hours",TRUE,"More Than 2 Hours")</f>
        <v>More Than 2 Hours</v>
      </c>
      <c r="K84" s="82">
        <f>ROUND(TABLE_PIVOT[[#This Row],[Satisfaction Rating]],0)</f>
        <v>5</v>
      </c>
    </row>
    <row r="85" spans="1:11" x14ac:dyDescent="0.3">
      <c r="A85" s="8" t="s">
        <v>1711</v>
      </c>
      <c r="B85" s="8" t="s">
        <v>1682</v>
      </c>
      <c r="C85" s="8">
        <v>109</v>
      </c>
      <c r="D85" s="120" t="s">
        <v>1611</v>
      </c>
      <c r="E85" s="121">
        <v>44958</v>
      </c>
      <c r="F85" s="8">
        <v>105</v>
      </c>
      <c r="G85" s="8">
        <v>3.3</v>
      </c>
      <c r="H85" s="82">
        <f>IF(MONTH(TABLE_PIVOT[[#This Row],[Date of Call]])&lt;=6,YEAR(TABLE_PIVOT[[#This Row],[Date of Call]]),YEAR(TABLE_PIVOT[[#This Row],[Date of Call]])+1)</f>
        <v>2023</v>
      </c>
      <c r="I85" s="82" t="str">
        <f>TEXT(TABLE_PIVOT[[#This Row],[Date of Call]],"DDDD")</f>
        <v>Wednesday</v>
      </c>
      <c r="J85" s="82" t="str" cm="1">
        <f t="array" ref="J85">_xlfn.IFS(TABLE_PIVOT[[#This Row],[Duration]]&lt;=10,"Under 10 Mins",TABLE_PIVOT[[#This Row],[Duration]]&lt;=30,"10 to 30 Mins",TABLE_PIVOT[[#This Row],[Duration]]&lt;=60,"30 to 60 Mins",TABLE_PIVOT[[#This Row],[Duration]]&lt;=120,"1 to 2 Hours",TRUE,"More Than 2 Hours")</f>
        <v>1 to 2 Hours</v>
      </c>
      <c r="K85" s="82">
        <f>ROUND(TABLE_PIVOT[[#This Row],[Satisfaction Rating]],0)</f>
        <v>3</v>
      </c>
    </row>
    <row r="86" spans="1:11" x14ac:dyDescent="0.3">
      <c r="A86" s="8" t="s">
        <v>1712</v>
      </c>
      <c r="B86" s="8" t="s">
        <v>1613</v>
      </c>
      <c r="C86" s="8">
        <v>78</v>
      </c>
      <c r="D86" s="120" t="s">
        <v>1611</v>
      </c>
      <c r="E86" s="121">
        <v>44958</v>
      </c>
      <c r="F86" s="8">
        <v>62</v>
      </c>
      <c r="G86" s="8">
        <v>3.1</v>
      </c>
      <c r="H86" s="82">
        <f>IF(MONTH(TABLE_PIVOT[[#This Row],[Date of Call]])&lt;=6,YEAR(TABLE_PIVOT[[#This Row],[Date of Call]]),YEAR(TABLE_PIVOT[[#This Row],[Date of Call]])+1)</f>
        <v>2023</v>
      </c>
      <c r="I86" s="82" t="str">
        <f>TEXT(TABLE_PIVOT[[#This Row],[Date of Call]],"DDDD")</f>
        <v>Wednesday</v>
      </c>
      <c r="J86" s="82" t="str" cm="1">
        <f t="array" ref="J86">_xlfn.IFS(TABLE_PIVOT[[#This Row],[Duration]]&lt;=10,"Under 10 Mins",TABLE_PIVOT[[#This Row],[Duration]]&lt;=30,"10 to 30 Mins",TABLE_PIVOT[[#This Row],[Duration]]&lt;=60,"30 to 60 Mins",TABLE_PIVOT[[#This Row],[Duration]]&lt;=120,"1 to 2 Hours",TRUE,"More Than 2 Hours")</f>
        <v>1 to 2 Hours</v>
      </c>
      <c r="K86" s="82">
        <f>ROUND(TABLE_PIVOT[[#This Row],[Satisfaction Rating]],0)</f>
        <v>3</v>
      </c>
    </row>
    <row r="87" spans="1:11" x14ac:dyDescent="0.3">
      <c r="A87" s="8" t="s">
        <v>1713</v>
      </c>
      <c r="B87" s="8" t="s">
        <v>1620</v>
      </c>
      <c r="C87" s="8">
        <v>137</v>
      </c>
      <c r="D87" s="120" t="s">
        <v>1626</v>
      </c>
      <c r="E87" s="121">
        <v>44958</v>
      </c>
      <c r="F87" s="8">
        <v>90</v>
      </c>
      <c r="G87" s="8">
        <v>4.0999999999999996</v>
      </c>
      <c r="H87" s="82">
        <f>IF(MONTH(TABLE_PIVOT[[#This Row],[Date of Call]])&lt;=6,YEAR(TABLE_PIVOT[[#This Row],[Date of Call]]),YEAR(TABLE_PIVOT[[#This Row],[Date of Call]])+1)</f>
        <v>2023</v>
      </c>
      <c r="I87" s="82" t="str">
        <f>TEXT(TABLE_PIVOT[[#This Row],[Date of Call]],"DDDD")</f>
        <v>Wednesday</v>
      </c>
      <c r="J87" s="82" t="str" cm="1">
        <f t="array" ref="J87">_xlfn.IFS(TABLE_PIVOT[[#This Row],[Duration]]&lt;=10,"Under 10 Mins",TABLE_PIVOT[[#This Row],[Duration]]&lt;=30,"10 to 30 Mins",TABLE_PIVOT[[#This Row],[Duration]]&lt;=60,"30 to 60 Mins",TABLE_PIVOT[[#This Row],[Duration]]&lt;=120,"1 to 2 Hours",TRUE,"More Than 2 Hours")</f>
        <v>More Than 2 Hours</v>
      </c>
      <c r="K87" s="82">
        <f>ROUND(TABLE_PIVOT[[#This Row],[Satisfaction Rating]],0)</f>
        <v>4</v>
      </c>
    </row>
    <row r="88" spans="1:11" x14ac:dyDescent="0.3">
      <c r="A88" s="8" t="s">
        <v>1714</v>
      </c>
      <c r="B88" s="8" t="s">
        <v>1618</v>
      </c>
      <c r="C88" s="8">
        <v>99</v>
      </c>
      <c r="D88" s="120" t="s">
        <v>1611</v>
      </c>
      <c r="E88" s="121">
        <v>44959</v>
      </c>
      <c r="F88" s="8">
        <v>112</v>
      </c>
      <c r="G88" s="8">
        <v>4.9000000000000004</v>
      </c>
      <c r="H88" s="82">
        <f>IF(MONTH(TABLE_PIVOT[[#This Row],[Date of Call]])&lt;=6,YEAR(TABLE_PIVOT[[#This Row],[Date of Call]]),YEAR(TABLE_PIVOT[[#This Row],[Date of Call]])+1)</f>
        <v>2023</v>
      </c>
      <c r="I88" s="82" t="str">
        <f>TEXT(TABLE_PIVOT[[#This Row],[Date of Call]],"DDDD")</f>
        <v>Thursday</v>
      </c>
      <c r="J88" s="82" t="str" cm="1">
        <f t="array" ref="J88">_xlfn.IFS(TABLE_PIVOT[[#This Row],[Duration]]&lt;=10,"Under 10 Mins",TABLE_PIVOT[[#This Row],[Duration]]&lt;=30,"10 to 30 Mins",TABLE_PIVOT[[#This Row],[Duration]]&lt;=60,"30 to 60 Mins",TABLE_PIVOT[[#This Row],[Duration]]&lt;=120,"1 to 2 Hours",TRUE,"More Than 2 Hours")</f>
        <v>1 to 2 Hours</v>
      </c>
      <c r="K88" s="82">
        <f>ROUND(TABLE_PIVOT[[#This Row],[Satisfaction Rating]],0)</f>
        <v>5</v>
      </c>
    </row>
    <row r="89" spans="1:11" x14ac:dyDescent="0.3">
      <c r="A89" s="8" t="s">
        <v>1715</v>
      </c>
      <c r="B89" s="8" t="s">
        <v>1649</v>
      </c>
      <c r="C89" s="8">
        <v>100</v>
      </c>
      <c r="D89" s="120" t="s">
        <v>1611</v>
      </c>
      <c r="E89" s="121">
        <v>44959</v>
      </c>
      <c r="F89" s="8">
        <v>135</v>
      </c>
      <c r="G89" s="8">
        <v>4</v>
      </c>
      <c r="H89" s="82">
        <f>IF(MONTH(TABLE_PIVOT[[#This Row],[Date of Call]])&lt;=6,YEAR(TABLE_PIVOT[[#This Row],[Date of Call]]),YEAR(TABLE_PIVOT[[#This Row],[Date of Call]])+1)</f>
        <v>2023</v>
      </c>
      <c r="I89" s="82" t="str">
        <f>TEXT(TABLE_PIVOT[[#This Row],[Date of Call]],"DDDD")</f>
        <v>Thursday</v>
      </c>
      <c r="J89" s="82" t="str" cm="1">
        <f t="array" ref="J89">_xlfn.IFS(TABLE_PIVOT[[#This Row],[Duration]]&lt;=10,"Under 10 Mins",TABLE_PIVOT[[#This Row],[Duration]]&lt;=30,"10 to 30 Mins",TABLE_PIVOT[[#This Row],[Duration]]&lt;=60,"30 to 60 Mins",TABLE_PIVOT[[#This Row],[Duration]]&lt;=120,"1 to 2 Hours",TRUE,"More Than 2 Hours")</f>
        <v>1 to 2 Hours</v>
      </c>
      <c r="K89" s="82">
        <f>ROUND(TABLE_PIVOT[[#This Row],[Satisfaction Rating]],0)</f>
        <v>4</v>
      </c>
    </row>
    <row r="90" spans="1:11" x14ac:dyDescent="0.3">
      <c r="A90" s="8" t="s">
        <v>1716</v>
      </c>
      <c r="B90" s="8" t="s">
        <v>1613</v>
      </c>
      <c r="C90" s="8">
        <v>47</v>
      </c>
      <c r="D90" s="120" t="s">
        <v>1616</v>
      </c>
      <c r="E90" s="121">
        <v>44959</v>
      </c>
      <c r="F90" s="8">
        <v>34</v>
      </c>
      <c r="G90" s="8">
        <v>2.1</v>
      </c>
      <c r="H90" s="82">
        <f>IF(MONTH(TABLE_PIVOT[[#This Row],[Date of Call]])&lt;=6,YEAR(TABLE_PIVOT[[#This Row],[Date of Call]]),YEAR(TABLE_PIVOT[[#This Row],[Date of Call]])+1)</f>
        <v>2023</v>
      </c>
      <c r="I90" s="82" t="str">
        <f>TEXT(TABLE_PIVOT[[#This Row],[Date of Call]],"DDDD")</f>
        <v>Thursday</v>
      </c>
      <c r="J90" s="82" t="str" cm="1">
        <f t="array" ref="J90">_xlfn.IFS(TABLE_PIVOT[[#This Row],[Duration]]&lt;=10,"Under 10 Mins",TABLE_PIVOT[[#This Row],[Duration]]&lt;=30,"10 to 30 Mins",TABLE_PIVOT[[#This Row],[Duration]]&lt;=60,"30 to 60 Mins",TABLE_PIVOT[[#This Row],[Duration]]&lt;=120,"1 to 2 Hours",TRUE,"More Than 2 Hours")</f>
        <v>30 to 60 Mins</v>
      </c>
      <c r="K90" s="82">
        <f>ROUND(TABLE_PIVOT[[#This Row],[Satisfaction Rating]],0)</f>
        <v>2</v>
      </c>
    </row>
    <row r="91" spans="1:11" x14ac:dyDescent="0.3">
      <c r="A91" s="8" t="s">
        <v>1717</v>
      </c>
      <c r="B91" s="8" t="s">
        <v>1682</v>
      </c>
      <c r="C91" s="8">
        <v>87</v>
      </c>
      <c r="D91" s="120" t="s">
        <v>1621</v>
      </c>
      <c r="E91" s="121">
        <v>44959</v>
      </c>
      <c r="F91" s="8">
        <v>155</v>
      </c>
      <c r="G91" s="8">
        <v>4.5</v>
      </c>
      <c r="H91" s="82">
        <f>IF(MONTH(TABLE_PIVOT[[#This Row],[Date of Call]])&lt;=6,YEAR(TABLE_PIVOT[[#This Row],[Date of Call]]),YEAR(TABLE_PIVOT[[#This Row],[Date of Call]])+1)</f>
        <v>2023</v>
      </c>
      <c r="I91" s="82" t="str">
        <f>TEXT(TABLE_PIVOT[[#This Row],[Date of Call]],"DDDD")</f>
        <v>Thursday</v>
      </c>
      <c r="J91" s="82" t="str" cm="1">
        <f t="array" ref="J91">_xlfn.IFS(TABLE_PIVOT[[#This Row],[Duration]]&lt;=10,"Under 10 Mins",TABLE_PIVOT[[#This Row],[Duration]]&lt;=30,"10 to 30 Mins",TABLE_PIVOT[[#This Row],[Duration]]&lt;=60,"30 to 60 Mins",TABLE_PIVOT[[#This Row],[Duration]]&lt;=120,"1 to 2 Hours",TRUE,"More Than 2 Hours")</f>
        <v>1 to 2 Hours</v>
      </c>
      <c r="K91" s="82">
        <f>ROUND(TABLE_PIVOT[[#This Row],[Satisfaction Rating]],0)</f>
        <v>5</v>
      </c>
    </row>
    <row r="92" spans="1:11" x14ac:dyDescent="0.3">
      <c r="A92" s="8" t="s">
        <v>1718</v>
      </c>
      <c r="B92" s="8" t="s">
        <v>1618</v>
      </c>
      <c r="C92" s="8">
        <v>143</v>
      </c>
      <c r="D92" s="120" t="s">
        <v>1621</v>
      </c>
      <c r="E92" s="121">
        <v>44961</v>
      </c>
      <c r="F92" s="8">
        <v>124</v>
      </c>
      <c r="G92" s="8">
        <v>4.9000000000000004</v>
      </c>
      <c r="H92" s="82">
        <f>IF(MONTH(TABLE_PIVOT[[#This Row],[Date of Call]])&lt;=6,YEAR(TABLE_PIVOT[[#This Row],[Date of Call]]),YEAR(TABLE_PIVOT[[#This Row],[Date of Call]])+1)</f>
        <v>2023</v>
      </c>
      <c r="I92" s="82" t="str">
        <f>TEXT(TABLE_PIVOT[[#This Row],[Date of Call]],"DDDD")</f>
        <v>Saturday</v>
      </c>
      <c r="J92" s="82" t="str" cm="1">
        <f t="array" ref="J92">_xlfn.IFS(TABLE_PIVOT[[#This Row],[Duration]]&lt;=10,"Under 10 Mins",TABLE_PIVOT[[#This Row],[Duration]]&lt;=30,"10 to 30 Mins",TABLE_PIVOT[[#This Row],[Duration]]&lt;=60,"30 to 60 Mins",TABLE_PIVOT[[#This Row],[Duration]]&lt;=120,"1 to 2 Hours",TRUE,"More Than 2 Hours")</f>
        <v>More Than 2 Hours</v>
      </c>
      <c r="K92" s="82">
        <f>ROUND(TABLE_PIVOT[[#This Row],[Satisfaction Rating]],0)</f>
        <v>5</v>
      </c>
    </row>
    <row r="93" spans="1:11" x14ac:dyDescent="0.3">
      <c r="A93" s="8" t="s">
        <v>1719</v>
      </c>
      <c r="B93" s="8" t="s">
        <v>1649</v>
      </c>
      <c r="C93" s="8">
        <v>84</v>
      </c>
      <c r="D93" s="120" t="s">
        <v>1611</v>
      </c>
      <c r="E93" s="121">
        <v>44961</v>
      </c>
      <c r="F93" s="8">
        <v>195</v>
      </c>
      <c r="G93" s="8">
        <v>4.0999999999999996</v>
      </c>
      <c r="H93" s="82">
        <f>IF(MONTH(TABLE_PIVOT[[#This Row],[Date of Call]])&lt;=6,YEAR(TABLE_PIVOT[[#This Row],[Date of Call]]),YEAR(TABLE_PIVOT[[#This Row],[Date of Call]])+1)</f>
        <v>2023</v>
      </c>
      <c r="I93" s="82" t="str">
        <f>TEXT(TABLE_PIVOT[[#This Row],[Date of Call]],"DDDD")</f>
        <v>Saturday</v>
      </c>
      <c r="J93" s="82" t="str" cm="1">
        <f t="array" ref="J93">_xlfn.IFS(TABLE_PIVOT[[#This Row],[Duration]]&lt;=10,"Under 10 Mins",TABLE_PIVOT[[#This Row],[Duration]]&lt;=30,"10 to 30 Mins",TABLE_PIVOT[[#This Row],[Duration]]&lt;=60,"30 to 60 Mins",TABLE_PIVOT[[#This Row],[Duration]]&lt;=120,"1 to 2 Hours",TRUE,"More Than 2 Hours")</f>
        <v>1 to 2 Hours</v>
      </c>
      <c r="K93" s="82">
        <f>ROUND(TABLE_PIVOT[[#This Row],[Satisfaction Rating]],0)</f>
        <v>4</v>
      </c>
    </row>
    <row r="94" spans="1:11" x14ac:dyDescent="0.3">
      <c r="A94" s="8" t="s">
        <v>1720</v>
      </c>
      <c r="B94" s="8" t="s">
        <v>1662</v>
      </c>
      <c r="C94" s="8">
        <v>55</v>
      </c>
      <c r="D94" s="120" t="s">
        <v>1621</v>
      </c>
      <c r="E94" s="121">
        <v>44962</v>
      </c>
      <c r="F94" s="8">
        <v>78</v>
      </c>
      <c r="G94" s="8">
        <v>4.5</v>
      </c>
      <c r="H94" s="82">
        <f>IF(MONTH(TABLE_PIVOT[[#This Row],[Date of Call]])&lt;=6,YEAR(TABLE_PIVOT[[#This Row],[Date of Call]]),YEAR(TABLE_PIVOT[[#This Row],[Date of Call]])+1)</f>
        <v>2023</v>
      </c>
      <c r="I94" s="82" t="str">
        <f>TEXT(TABLE_PIVOT[[#This Row],[Date of Call]],"DDDD")</f>
        <v>Sunday</v>
      </c>
      <c r="J94" s="82" t="str" cm="1">
        <f t="array" ref="J94">_xlfn.IFS(TABLE_PIVOT[[#This Row],[Duration]]&lt;=10,"Under 10 Mins",TABLE_PIVOT[[#This Row],[Duration]]&lt;=30,"10 to 30 Mins",TABLE_PIVOT[[#This Row],[Duration]]&lt;=60,"30 to 60 Mins",TABLE_PIVOT[[#This Row],[Duration]]&lt;=120,"1 to 2 Hours",TRUE,"More Than 2 Hours")</f>
        <v>30 to 60 Mins</v>
      </c>
      <c r="K94" s="82">
        <f>ROUND(TABLE_PIVOT[[#This Row],[Satisfaction Rating]],0)</f>
        <v>5</v>
      </c>
    </row>
    <row r="95" spans="1:11" x14ac:dyDescent="0.3">
      <c r="A95" s="8" t="s">
        <v>1721</v>
      </c>
      <c r="B95" s="8" t="s">
        <v>1624</v>
      </c>
      <c r="C95" s="8">
        <v>135</v>
      </c>
      <c r="D95" s="120" t="s">
        <v>1626</v>
      </c>
      <c r="E95" s="121">
        <v>44964</v>
      </c>
      <c r="F95" s="8">
        <v>35</v>
      </c>
      <c r="G95" s="8">
        <v>4.8</v>
      </c>
      <c r="H95" s="82">
        <f>IF(MONTH(TABLE_PIVOT[[#This Row],[Date of Call]])&lt;=6,YEAR(TABLE_PIVOT[[#This Row],[Date of Call]]),YEAR(TABLE_PIVOT[[#This Row],[Date of Call]])+1)</f>
        <v>2023</v>
      </c>
      <c r="I95" s="82" t="str">
        <f>TEXT(TABLE_PIVOT[[#This Row],[Date of Call]],"DDDD")</f>
        <v>Tuesday</v>
      </c>
      <c r="J95" s="82" t="str" cm="1">
        <f t="array" ref="J95">_xlfn.IFS(TABLE_PIVOT[[#This Row],[Duration]]&lt;=10,"Under 10 Mins",TABLE_PIVOT[[#This Row],[Duration]]&lt;=30,"10 to 30 Mins",TABLE_PIVOT[[#This Row],[Duration]]&lt;=60,"30 to 60 Mins",TABLE_PIVOT[[#This Row],[Duration]]&lt;=120,"1 to 2 Hours",TRUE,"More Than 2 Hours")</f>
        <v>More Than 2 Hours</v>
      </c>
      <c r="K95" s="82">
        <f>ROUND(TABLE_PIVOT[[#This Row],[Satisfaction Rating]],0)</f>
        <v>5</v>
      </c>
    </row>
    <row r="96" spans="1:11" x14ac:dyDescent="0.3">
      <c r="A96" s="8" t="s">
        <v>1722</v>
      </c>
      <c r="B96" s="8" t="s">
        <v>1652</v>
      </c>
      <c r="C96" s="8">
        <v>152</v>
      </c>
      <c r="D96" s="120" t="s">
        <v>1616</v>
      </c>
      <c r="E96" s="121">
        <v>44964</v>
      </c>
      <c r="F96" s="8">
        <v>123</v>
      </c>
      <c r="G96" s="8">
        <v>4.5999999999999996</v>
      </c>
      <c r="H96" s="82">
        <f>IF(MONTH(TABLE_PIVOT[[#This Row],[Date of Call]])&lt;=6,YEAR(TABLE_PIVOT[[#This Row],[Date of Call]]),YEAR(TABLE_PIVOT[[#This Row],[Date of Call]])+1)</f>
        <v>2023</v>
      </c>
      <c r="I96" s="82" t="str">
        <f>TEXT(TABLE_PIVOT[[#This Row],[Date of Call]],"DDDD")</f>
        <v>Tuesday</v>
      </c>
      <c r="J96" s="82" t="str" cm="1">
        <f t="array" ref="J96">_xlfn.IFS(TABLE_PIVOT[[#This Row],[Duration]]&lt;=10,"Under 10 Mins",TABLE_PIVOT[[#This Row],[Duration]]&lt;=30,"10 to 30 Mins",TABLE_PIVOT[[#This Row],[Duration]]&lt;=60,"30 to 60 Mins",TABLE_PIVOT[[#This Row],[Duration]]&lt;=120,"1 to 2 Hours",TRUE,"More Than 2 Hours")</f>
        <v>More Than 2 Hours</v>
      </c>
      <c r="K96" s="82">
        <f>ROUND(TABLE_PIVOT[[#This Row],[Satisfaction Rating]],0)</f>
        <v>5</v>
      </c>
    </row>
    <row r="97" spans="1:11" x14ac:dyDescent="0.3">
      <c r="A97" s="8" t="s">
        <v>1723</v>
      </c>
      <c r="B97" s="8" t="s">
        <v>1615</v>
      </c>
      <c r="C97" s="8">
        <v>132</v>
      </c>
      <c r="D97" s="120" t="s">
        <v>1616</v>
      </c>
      <c r="E97" s="121">
        <v>44964</v>
      </c>
      <c r="F97" s="8">
        <v>43</v>
      </c>
      <c r="G97" s="8">
        <v>4.5999999999999996</v>
      </c>
      <c r="H97" s="82">
        <f>IF(MONTH(TABLE_PIVOT[[#This Row],[Date of Call]])&lt;=6,YEAR(TABLE_PIVOT[[#This Row],[Date of Call]]),YEAR(TABLE_PIVOT[[#This Row],[Date of Call]])+1)</f>
        <v>2023</v>
      </c>
      <c r="I97" s="82" t="str">
        <f>TEXT(TABLE_PIVOT[[#This Row],[Date of Call]],"DDDD")</f>
        <v>Tuesday</v>
      </c>
      <c r="J97" s="82" t="str" cm="1">
        <f t="array" ref="J97">_xlfn.IFS(TABLE_PIVOT[[#This Row],[Duration]]&lt;=10,"Under 10 Mins",TABLE_PIVOT[[#This Row],[Duration]]&lt;=30,"10 to 30 Mins",TABLE_PIVOT[[#This Row],[Duration]]&lt;=60,"30 to 60 Mins",TABLE_PIVOT[[#This Row],[Duration]]&lt;=120,"1 to 2 Hours",TRUE,"More Than 2 Hours")</f>
        <v>More Than 2 Hours</v>
      </c>
      <c r="K97" s="82">
        <f>ROUND(TABLE_PIVOT[[#This Row],[Satisfaction Rating]],0)</f>
        <v>5</v>
      </c>
    </row>
    <row r="98" spans="1:11" x14ac:dyDescent="0.3">
      <c r="A98" s="8" t="s">
        <v>1724</v>
      </c>
      <c r="B98" s="8" t="s">
        <v>1644</v>
      </c>
      <c r="C98" s="8">
        <v>60</v>
      </c>
      <c r="D98" s="120" t="s">
        <v>1611</v>
      </c>
      <c r="E98" s="121">
        <v>44965</v>
      </c>
      <c r="F98" s="8">
        <v>69</v>
      </c>
      <c r="G98" s="8">
        <v>4.3</v>
      </c>
      <c r="H98" s="82">
        <f>IF(MONTH(TABLE_PIVOT[[#This Row],[Date of Call]])&lt;=6,YEAR(TABLE_PIVOT[[#This Row],[Date of Call]]),YEAR(TABLE_PIVOT[[#This Row],[Date of Call]])+1)</f>
        <v>2023</v>
      </c>
      <c r="I98" s="82" t="str">
        <f>TEXT(TABLE_PIVOT[[#This Row],[Date of Call]],"DDDD")</f>
        <v>Wednesday</v>
      </c>
      <c r="J98" s="82" t="str" cm="1">
        <f t="array" ref="J98">_xlfn.IFS(TABLE_PIVOT[[#This Row],[Duration]]&lt;=10,"Under 10 Mins",TABLE_PIVOT[[#This Row],[Duration]]&lt;=30,"10 to 30 Mins",TABLE_PIVOT[[#This Row],[Duration]]&lt;=60,"30 to 60 Mins",TABLE_PIVOT[[#This Row],[Duration]]&lt;=120,"1 to 2 Hours",TRUE,"More Than 2 Hours")</f>
        <v>30 to 60 Mins</v>
      </c>
      <c r="K98" s="82">
        <f>ROUND(TABLE_PIVOT[[#This Row],[Satisfaction Rating]],0)</f>
        <v>4</v>
      </c>
    </row>
    <row r="99" spans="1:11" x14ac:dyDescent="0.3">
      <c r="A99" s="8" t="s">
        <v>1725</v>
      </c>
      <c r="B99" s="8" t="s">
        <v>1652</v>
      </c>
      <c r="C99" s="8">
        <v>95</v>
      </c>
      <c r="D99" s="120" t="s">
        <v>1616</v>
      </c>
      <c r="E99" s="121">
        <v>44965</v>
      </c>
      <c r="F99" s="8">
        <v>130</v>
      </c>
      <c r="G99" s="8">
        <v>5</v>
      </c>
      <c r="H99" s="82">
        <f>IF(MONTH(TABLE_PIVOT[[#This Row],[Date of Call]])&lt;=6,YEAR(TABLE_PIVOT[[#This Row],[Date of Call]]),YEAR(TABLE_PIVOT[[#This Row],[Date of Call]])+1)</f>
        <v>2023</v>
      </c>
      <c r="I99" s="82" t="str">
        <f>TEXT(TABLE_PIVOT[[#This Row],[Date of Call]],"DDDD")</f>
        <v>Wednesday</v>
      </c>
      <c r="J99" s="82" t="str" cm="1">
        <f t="array" ref="J99">_xlfn.IFS(TABLE_PIVOT[[#This Row],[Duration]]&lt;=10,"Under 10 Mins",TABLE_PIVOT[[#This Row],[Duration]]&lt;=30,"10 to 30 Mins",TABLE_PIVOT[[#This Row],[Duration]]&lt;=60,"30 to 60 Mins",TABLE_PIVOT[[#This Row],[Duration]]&lt;=120,"1 to 2 Hours",TRUE,"More Than 2 Hours")</f>
        <v>1 to 2 Hours</v>
      </c>
      <c r="K99" s="82">
        <f>ROUND(TABLE_PIVOT[[#This Row],[Satisfaction Rating]],0)</f>
        <v>5</v>
      </c>
    </row>
    <row r="100" spans="1:11" x14ac:dyDescent="0.3">
      <c r="A100" s="8" t="s">
        <v>1726</v>
      </c>
      <c r="B100" s="8" t="s">
        <v>1610</v>
      </c>
      <c r="C100" s="8">
        <v>96</v>
      </c>
      <c r="D100" s="120" t="s">
        <v>1630</v>
      </c>
      <c r="E100" s="121">
        <v>44965</v>
      </c>
      <c r="F100" s="8">
        <v>120</v>
      </c>
      <c r="G100" s="8">
        <v>4</v>
      </c>
      <c r="H100" s="82">
        <f>IF(MONTH(TABLE_PIVOT[[#This Row],[Date of Call]])&lt;=6,YEAR(TABLE_PIVOT[[#This Row],[Date of Call]]),YEAR(TABLE_PIVOT[[#This Row],[Date of Call]])+1)</f>
        <v>2023</v>
      </c>
      <c r="I100" s="82" t="str">
        <f>TEXT(TABLE_PIVOT[[#This Row],[Date of Call]],"DDDD")</f>
        <v>Wednesday</v>
      </c>
      <c r="J100" s="82" t="str" cm="1">
        <f t="array" ref="J100">_xlfn.IFS(TABLE_PIVOT[[#This Row],[Duration]]&lt;=10,"Under 10 Mins",TABLE_PIVOT[[#This Row],[Duration]]&lt;=30,"10 to 30 Mins",TABLE_PIVOT[[#This Row],[Duration]]&lt;=60,"30 to 60 Mins",TABLE_PIVOT[[#This Row],[Duration]]&lt;=120,"1 to 2 Hours",TRUE,"More Than 2 Hours")</f>
        <v>1 to 2 Hours</v>
      </c>
      <c r="K100" s="82">
        <f>ROUND(TABLE_PIVOT[[#This Row],[Satisfaction Rating]],0)</f>
        <v>4</v>
      </c>
    </row>
    <row r="101" spans="1:11" x14ac:dyDescent="0.3">
      <c r="A101" s="8" t="s">
        <v>1727</v>
      </c>
      <c r="B101" s="8" t="s">
        <v>1662</v>
      </c>
      <c r="C101" s="8">
        <v>45</v>
      </c>
      <c r="D101" s="120" t="s">
        <v>1611</v>
      </c>
      <c r="E101" s="121">
        <v>44966</v>
      </c>
      <c r="F101" s="8">
        <v>84</v>
      </c>
      <c r="G101" s="8">
        <v>4.5999999999999996</v>
      </c>
      <c r="H101" s="82">
        <f>IF(MONTH(TABLE_PIVOT[[#This Row],[Date of Call]])&lt;=6,YEAR(TABLE_PIVOT[[#This Row],[Date of Call]]),YEAR(TABLE_PIVOT[[#This Row],[Date of Call]])+1)</f>
        <v>2023</v>
      </c>
      <c r="I101" s="82" t="str">
        <f>TEXT(TABLE_PIVOT[[#This Row],[Date of Call]],"DDDD")</f>
        <v>Thursday</v>
      </c>
      <c r="J101" s="82" t="str" cm="1">
        <f t="array" ref="J101">_xlfn.IFS(TABLE_PIVOT[[#This Row],[Duration]]&lt;=10,"Under 10 Mins",TABLE_PIVOT[[#This Row],[Duration]]&lt;=30,"10 to 30 Mins",TABLE_PIVOT[[#This Row],[Duration]]&lt;=60,"30 to 60 Mins",TABLE_PIVOT[[#This Row],[Duration]]&lt;=120,"1 to 2 Hours",TRUE,"More Than 2 Hours")</f>
        <v>30 to 60 Mins</v>
      </c>
      <c r="K101" s="82">
        <f>ROUND(TABLE_PIVOT[[#This Row],[Satisfaction Rating]],0)</f>
        <v>5</v>
      </c>
    </row>
    <row r="102" spans="1:11" x14ac:dyDescent="0.3">
      <c r="A102" s="8" t="s">
        <v>1728</v>
      </c>
      <c r="B102" s="8" t="s">
        <v>1610</v>
      </c>
      <c r="C102" s="8">
        <v>132</v>
      </c>
      <c r="D102" s="120" t="s">
        <v>1630</v>
      </c>
      <c r="E102" s="121">
        <v>44967</v>
      </c>
      <c r="F102" s="8">
        <v>112</v>
      </c>
      <c r="G102" s="8">
        <v>4.5</v>
      </c>
      <c r="H102" s="82">
        <f>IF(MONTH(TABLE_PIVOT[[#This Row],[Date of Call]])&lt;=6,YEAR(TABLE_PIVOT[[#This Row],[Date of Call]]),YEAR(TABLE_PIVOT[[#This Row],[Date of Call]])+1)</f>
        <v>2023</v>
      </c>
      <c r="I102" s="82" t="str">
        <f>TEXT(TABLE_PIVOT[[#This Row],[Date of Call]],"DDDD")</f>
        <v>Friday</v>
      </c>
      <c r="J102" s="82" t="str" cm="1">
        <f t="array" ref="J102">_xlfn.IFS(TABLE_PIVOT[[#This Row],[Duration]]&lt;=10,"Under 10 Mins",TABLE_PIVOT[[#This Row],[Duration]]&lt;=30,"10 to 30 Mins",TABLE_PIVOT[[#This Row],[Duration]]&lt;=60,"30 to 60 Mins",TABLE_PIVOT[[#This Row],[Duration]]&lt;=120,"1 to 2 Hours",TRUE,"More Than 2 Hours")</f>
        <v>More Than 2 Hours</v>
      </c>
      <c r="K102" s="82">
        <f>ROUND(TABLE_PIVOT[[#This Row],[Satisfaction Rating]],0)</f>
        <v>5</v>
      </c>
    </row>
    <row r="103" spans="1:11" x14ac:dyDescent="0.3">
      <c r="A103" s="8" t="s">
        <v>1729</v>
      </c>
      <c r="B103" s="8" t="s">
        <v>1633</v>
      </c>
      <c r="C103" s="8">
        <v>95</v>
      </c>
      <c r="D103" s="120" t="s">
        <v>1611</v>
      </c>
      <c r="E103" s="121">
        <v>44967</v>
      </c>
      <c r="F103" s="8">
        <v>66</v>
      </c>
      <c r="G103" s="8">
        <v>4.5999999999999996</v>
      </c>
      <c r="H103" s="82">
        <f>IF(MONTH(TABLE_PIVOT[[#This Row],[Date of Call]])&lt;=6,YEAR(TABLE_PIVOT[[#This Row],[Date of Call]]),YEAR(TABLE_PIVOT[[#This Row],[Date of Call]])+1)</f>
        <v>2023</v>
      </c>
      <c r="I103" s="82" t="str">
        <f>TEXT(TABLE_PIVOT[[#This Row],[Date of Call]],"DDDD")</f>
        <v>Friday</v>
      </c>
      <c r="J103" s="82" t="str" cm="1">
        <f t="array" ref="J103">_xlfn.IFS(TABLE_PIVOT[[#This Row],[Duration]]&lt;=10,"Under 10 Mins",TABLE_PIVOT[[#This Row],[Duration]]&lt;=30,"10 to 30 Mins",TABLE_PIVOT[[#This Row],[Duration]]&lt;=60,"30 to 60 Mins",TABLE_PIVOT[[#This Row],[Duration]]&lt;=120,"1 to 2 Hours",TRUE,"More Than 2 Hours")</f>
        <v>1 to 2 Hours</v>
      </c>
      <c r="K103" s="82">
        <f>ROUND(TABLE_PIVOT[[#This Row],[Satisfaction Rating]],0)</f>
        <v>5</v>
      </c>
    </row>
    <row r="104" spans="1:11" x14ac:dyDescent="0.3">
      <c r="A104" s="8" t="s">
        <v>1730</v>
      </c>
      <c r="B104" s="8" t="s">
        <v>1652</v>
      </c>
      <c r="C104" s="8">
        <v>131</v>
      </c>
      <c r="D104" s="120" t="s">
        <v>1621</v>
      </c>
      <c r="E104" s="121">
        <v>44967</v>
      </c>
      <c r="F104" s="8">
        <v>172</v>
      </c>
      <c r="G104" s="8">
        <v>2.6</v>
      </c>
      <c r="H104" s="82">
        <f>IF(MONTH(TABLE_PIVOT[[#This Row],[Date of Call]])&lt;=6,YEAR(TABLE_PIVOT[[#This Row],[Date of Call]]),YEAR(TABLE_PIVOT[[#This Row],[Date of Call]])+1)</f>
        <v>2023</v>
      </c>
      <c r="I104" s="82" t="str">
        <f>TEXT(TABLE_PIVOT[[#This Row],[Date of Call]],"DDDD")</f>
        <v>Friday</v>
      </c>
      <c r="J104" s="82" t="str" cm="1">
        <f t="array" ref="J104">_xlfn.IFS(TABLE_PIVOT[[#This Row],[Duration]]&lt;=10,"Under 10 Mins",TABLE_PIVOT[[#This Row],[Duration]]&lt;=30,"10 to 30 Mins",TABLE_PIVOT[[#This Row],[Duration]]&lt;=60,"30 to 60 Mins",TABLE_PIVOT[[#This Row],[Duration]]&lt;=120,"1 to 2 Hours",TRUE,"More Than 2 Hours")</f>
        <v>More Than 2 Hours</v>
      </c>
      <c r="K104" s="82">
        <f>ROUND(TABLE_PIVOT[[#This Row],[Satisfaction Rating]],0)</f>
        <v>3</v>
      </c>
    </row>
    <row r="105" spans="1:11" x14ac:dyDescent="0.3">
      <c r="A105" s="8" t="s">
        <v>1731</v>
      </c>
      <c r="B105" s="8" t="s">
        <v>1641</v>
      </c>
      <c r="C105" s="8">
        <v>67</v>
      </c>
      <c r="D105" s="120" t="s">
        <v>1626</v>
      </c>
      <c r="E105" s="121">
        <v>44968</v>
      </c>
      <c r="F105" s="8">
        <v>24</v>
      </c>
      <c r="G105" s="8">
        <v>4.3</v>
      </c>
      <c r="H105" s="82">
        <f>IF(MONTH(TABLE_PIVOT[[#This Row],[Date of Call]])&lt;=6,YEAR(TABLE_PIVOT[[#This Row],[Date of Call]]),YEAR(TABLE_PIVOT[[#This Row],[Date of Call]])+1)</f>
        <v>2023</v>
      </c>
      <c r="I105" s="82" t="str">
        <f>TEXT(TABLE_PIVOT[[#This Row],[Date of Call]],"DDDD")</f>
        <v>Saturday</v>
      </c>
      <c r="J105" s="82" t="str" cm="1">
        <f t="array" ref="J105">_xlfn.IFS(TABLE_PIVOT[[#This Row],[Duration]]&lt;=10,"Under 10 Mins",TABLE_PIVOT[[#This Row],[Duration]]&lt;=30,"10 to 30 Mins",TABLE_PIVOT[[#This Row],[Duration]]&lt;=60,"30 to 60 Mins",TABLE_PIVOT[[#This Row],[Duration]]&lt;=120,"1 to 2 Hours",TRUE,"More Than 2 Hours")</f>
        <v>1 to 2 Hours</v>
      </c>
      <c r="K105" s="82">
        <f>ROUND(TABLE_PIVOT[[#This Row],[Satisfaction Rating]],0)</f>
        <v>4</v>
      </c>
    </row>
    <row r="106" spans="1:11" x14ac:dyDescent="0.3">
      <c r="A106" s="8" t="s">
        <v>1732</v>
      </c>
      <c r="B106" s="8" t="s">
        <v>1618</v>
      </c>
      <c r="C106" s="8">
        <v>111</v>
      </c>
      <c r="D106" s="120" t="s">
        <v>1621</v>
      </c>
      <c r="E106" s="121">
        <v>44969</v>
      </c>
      <c r="F106" s="8">
        <v>43</v>
      </c>
      <c r="G106" s="8">
        <v>3.9</v>
      </c>
      <c r="H106" s="82">
        <f>IF(MONTH(TABLE_PIVOT[[#This Row],[Date of Call]])&lt;=6,YEAR(TABLE_PIVOT[[#This Row],[Date of Call]]),YEAR(TABLE_PIVOT[[#This Row],[Date of Call]])+1)</f>
        <v>2023</v>
      </c>
      <c r="I106" s="82" t="str">
        <f>TEXT(TABLE_PIVOT[[#This Row],[Date of Call]],"DDDD")</f>
        <v>Sunday</v>
      </c>
      <c r="J106" s="82" t="str" cm="1">
        <f t="array" ref="J106">_xlfn.IFS(TABLE_PIVOT[[#This Row],[Duration]]&lt;=10,"Under 10 Mins",TABLE_PIVOT[[#This Row],[Duration]]&lt;=30,"10 to 30 Mins",TABLE_PIVOT[[#This Row],[Duration]]&lt;=60,"30 to 60 Mins",TABLE_PIVOT[[#This Row],[Duration]]&lt;=120,"1 to 2 Hours",TRUE,"More Than 2 Hours")</f>
        <v>1 to 2 Hours</v>
      </c>
      <c r="K106" s="82">
        <f>ROUND(TABLE_PIVOT[[#This Row],[Satisfaction Rating]],0)</f>
        <v>4</v>
      </c>
    </row>
    <row r="107" spans="1:11" x14ac:dyDescent="0.3">
      <c r="A107" s="8" t="s">
        <v>1733</v>
      </c>
      <c r="B107" s="8" t="s">
        <v>1615</v>
      </c>
      <c r="C107" s="8">
        <v>78</v>
      </c>
      <c r="D107" s="120" t="s">
        <v>1616</v>
      </c>
      <c r="E107" s="121">
        <v>44969</v>
      </c>
      <c r="F107" s="8">
        <v>23</v>
      </c>
      <c r="G107" s="8">
        <v>5</v>
      </c>
      <c r="H107" s="82">
        <f>IF(MONTH(TABLE_PIVOT[[#This Row],[Date of Call]])&lt;=6,YEAR(TABLE_PIVOT[[#This Row],[Date of Call]]),YEAR(TABLE_PIVOT[[#This Row],[Date of Call]])+1)</f>
        <v>2023</v>
      </c>
      <c r="I107" s="82" t="str">
        <f>TEXT(TABLE_PIVOT[[#This Row],[Date of Call]],"DDDD")</f>
        <v>Sunday</v>
      </c>
      <c r="J107" s="82" t="str" cm="1">
        <f t="array" ref="J107">_xlfn.IFS(TABLE_PIVOT[[#This Row],[Duration]]&lt;=10,"Under 10 Mins",TABLE_PIVOT[[#This Row],[Duration]]&lt;=30,"10 to 30 Mins",TABLE_PIVOT[[#This Row],[Duration]]&lt;=60,"30 to 60 Mins",TABLE_PIVOT[[#This Row],[Duration]]&lt;=120,"1 to 2 Hours",TRUE,"More Than 2 Hours")</f>
        <v>1 to 2 Hours</v>
      </c>
      <c r="K107" s="82">
        <f>ROUND(TABLE_PIVOT[[#This Row],[Satisfaction Rating]],0)</f>
        <v>5</v>
      </c>
    </row>
    <row r="108" spans="1:11" x14ac:dyDescent="0.3">
      <c r="A108" s="8" t="s">
        <v>1734</v>
      </c>
      <c r="B108" s="8" t="s">
        <v>1635</v>
      </c>
      <c r="C108" s="8">
        <v>28</v>
      </c>
      <c r="D108" s="120" t="s">
        <v>1630</v>
      </c>
      <c r="E108" s="121">
        <v>44969</v>
      </c>
      <c r="F108" s="8">
        <v>74</v>
      </c>
      <c r="G108" s="8">
        <v>3.5</v>
      </c>
      <c r="H108" s="82">
        <f>IF(MONTH(TABLE_PIVOT[[#This Row],[Date of Call]])&lt;=6,YEAR(TABLE_PIVOT[[#This Row],[Date of Call]]),YEAR(TABLE_PIVOT[[#This Row],[Date of Call]])+1)</f>
        <v>2023</v>
      </c>
      <c r="I108" s="82" t="str">
        <f>TEXT(TABLE_PIVOT[[#This Row],[Date of Call]],"DDDD")</f>
        <v>Sunday</v>
      </c>
      <c r="J108" s="82" t="str" cm="1">
        <f t="array" ref="J108">_xlfn.IFS(TABLE_PIVOT[[#This Row],[Duration]]&lt;=10,"Under 10 Mins",TABLE_PIVOT[[#This Row],[Duration]]&lt;=30,"10 to 30 Mins",TABLE_PIVOT[[#This Row],[Duration]]&lt;=60,"30 to 60 Mins",TABLE_PIVOT[[#This Row],[Duration]]&lt;=120,"1 to 2 Hours",TRUE,"More Than 2 Hours")</f>
        <v>10 to 30 Mins</v>
      </c>
      <c r="K108" s="82">
        <f>ROUND(TABLE_PIVOT[[#This Row],[Satisfaction Rating]],0)</f>
        <v>4</v>
      </c>
    </row>
    <row r="109" spans="1:11" x14ac:dyDescent="0.3">
      <c r="A109" s="8" t="s">
        <v>1735</v>
      </c>
      <c r="B109" s="8" t="s">
        <v>1613</v>
      </c>
      <c r="C109" s="8">
        <v>127</v>
      </c>
      <c r="D109" s="120" t="s">
        <v>1626</v>
      </c>
      <c r="E109" s="121">
        <v>44970</v>
      </c>
      <c r="F109" s="8">
        <v>165</v>
      </c>
      <c r="G109" s="8">
        <v>4.7</v>
      </c>
      <c r="H109" s="82">
        <f>IF(MONTH(TABLE_PIVOT[[#This Row],[Date of Call]])&lt;=6,YEAR(TABLE_PIVOT[[#This Row],[Date of Call]]),YEAR(TABLE_PIVOT[[#This Row],[Date of Call]])+1)</f>
        <v>2023</v>
      </c>
      <c r="I109" s="82" t="str">
        <f>TEXT(TABLE_PIVOT[[#This Row],[Date of Call]],"DDDD")</f>
        <v>Monday</v>
      </c>
      <c r="J109" s="82" t="str" cm="1">
        <f t="array" ref="J109">_xlfn.IFS(TABLE_PIVOT[[#This Row],[Duration]]&lt;=10,"Under 10 Mins",TABLE_PIVOT[[#This Row],[Duration]]&lt;=30,"10 to 30 Mins",TABLE_PIVOT[[#This Row],[Duration]]&lt;=60,"30 to 60 Mins",TABLE_PIVOT[[#This Row],[Duration]]&lt;=120,"1 to 2 Hours",TRUE,"More Than 2 Hours")</f>
        <v>More Than 2 Hours</v>
      </c>
      <c r="K109" s="82">
        <f>ROUND(TABLE_PIVOT[[#This Row],[Satisfaction Rating]],0)</f>
        <v>5</v>
      </c>
    </row>
    <row r="110" spans="1:11" x14ac:dyDescent="0.3">
      <c r="A110" s="8" t="s">
        <v>1736</v>
      </c>
      <c r="B110" s="8" t="s">
        <v>1649</v>
      </c>
      <c r="C110" s="8">
        <v>137</v>
      </c>
      <c r="D110" s="120" t="s">
        <v>1621</v>
      </c>
      <c r="E110" s="121">
        <v>44970</v>
      </c>
      <c r="F110" s="8">
        <v>34</v>
      </c>
      <c r="G110" s="8">
        <v>2.9</v>
      </c>
      <c r="H110" s="82">
        <f>IF(MONTH(TABLE_PIVOT[[#This Row],[Date of Call]])&lt;=6,YEAR(TABLE_PIVOT[[#This Row],[Date of Call]]),YEAR(TABLE_PIVOT[[#This Row],[Date of Call]])+1)</f>
        <v>2023</v>
      </c>
      <c r="I110" s="82" t="str">
        <f>TEXT(TABLE_PIVOT[[#This Row],[Date of Call]],"DDDD")</f>
        <v>Monday</v>
      </c>
      <c r="J110" s="82" t="str" cm="1">
        <f t="array" ref="J110">_xlfn.IFS(TABLE_PIVOT[[#This Row],[Duration]]&lt;=10,"Under 10 Mins",TABLE_PIVOT[[#This Row],[Duration]]&lt;=30,"10 to 30 Mins",TABLE_PIVOT[[#This Row],[Duration]]&lt;=60,"30 to 60 Mins",TABLE_PIVOT[[#This Row],[Duration]]&lt;=120,"1 to 2 Hours",TRUE,"More Than 2 Hours")</f>
        <v>More Than 2 Hours</v>
      </c>
      <c r="K110" s="82">
        <f>ROUND(TABLE_PIVOT[[#This Row],[Satisfaction Rating]],0)</f>
        <v>3</v>
      </c>
    </row>
    <row r="111" spans="1:11" x14ac:dyDescent="0.3">
      <c r="A111" s="8" t="s">
        <v>1737</v>
      </c>
      <c r="B111" s="8" t="s">
        <v>1613</v>
      </c>
      <c r="C111" s="8">
        <v>76</v>
      </c>
      <c r="D111" s="120" t="s">
        <v>1630</v>
      </c>
      <c r="E111" s="121">
        <v>44970</v>
      </c>
      <c r="F111" s="8">
        <v>64</v>
      </c>
      <c r="G111" s="8">
        <v>3.4</v>
      </c>
      <c r="H111" s="82">
        <f>IF(MONTH(TABLE_PIVOT[[#This Row],[Date of Call]])&lt;=6,YEAR(TABLE_PIVOT[[#This Row],[Date of Call]]),YEAR(TABLE_PIVOT[[#This Row],[Date of Call]])+1)</f>
        <v>2023</v>
      </c>
      <c r="I111" s="82" t="str">
        <f>TEXT(TABLE_PIVOT[[#This Row],[Date of Call]],"DDDD")</f>
        <v>Monday</v>
      </c>
      <c r="J111" s="82" t="str" cm="1">
        <f t="array" ref="J111">_xlfn.IFS(TABLE_PIVOT[[#This Row],[Duration]]&lt;=10,"Under 10 Mins",TABLE_PIVOT[[#This Row],[Duration]]&lt;=30,"10 to 30 Mins",TABLE_PIVOT[[#This Row],[Duration]]&lt;=60,"30 to 60 Mins",TABLE_PIVOT[[#This Row],[Duration]]&lt;=120,"1 to 2 Hours",TRUE,"More Than 2 Hours")</f>
        <v>1 to 2 Hours</v>
      </c>
      <c r="K111" s="82">
        <f>ROUND(TABLE_PIVOT[[#This Row],[Satisfaction Rating]],0)</f>
        <v>3</v>
      </c>
    </row>
    <row r="112" spans="1:11" x14ac:dyDescent="0.3">
      <c r="A112" s="8" t="s">
        <v>1738</v>
      </c>
      <c r="B112" s="8" t="s">
        <v>1615</v>
      </c>
      <c r="C112" s="8">
        <v>80</v>
      </c>
      <c r="D112" s="120" t="s">
        <v>1626</v>
      </c>
      <c r="E112" s="121">
        <v>44971</v>
      </c>
      <c r="F112" s="8">
        <v>155</v>
      </c>
      <c r="G112" s="8">
        <v>3.2</v>
      </c>
      <c r="H112" s="82">
        <f>IF(MONTH(TABLE_PIVOT[[#This Row],[Date of Call]])&lt;=6,YEAR(TABLE_PIVOT[[#This Row],[Date of Call]]),YEAR(TABLE_PIVOT[[#This Row],[Date of Call]])+1)</f>
        <v>2023</v>
      </c>
      <c r="I112" s="82" t="str">
        <f>TEXT(TABLE_PIVOT[[#This Row],[Date of Call]],"DDDD")</f>
        <v>Tuesday</v>
      </c>
      <c r="J112" s="82" t="str" cm="1">
        <f t="array" ref="J112">_xlfn.IFS(TABLE_PIVOT[[#This Row],[Duration]]&lt;=10,"Under 10 Mins",TABLE_PIVOT[[#This Row],[Duration]]&lt;=30,"10 to 30 Mins",TABLE_PIVOT[[#This Row],[Duration]]&lt;=60,"30 to 60 Mins",TABLE_PIVOT[[#This Row],[Duration]]&lt;=120,"1 to 2 Hours",TRUE,"More Than 2 Hours")</f>
        <v>1 to 2 Hours</v>
      </c>
      <c r="K112" s="82">
        <f>ROUND(TABLE_PIVOT[[#This Row],[Satisfaction Rating]],0)</f>
        <v>3</v>
      </c>
    </row>
    <row r="113" spans="1:11" x14ac:dyDescent="0.3">
      <c r="A113" s="8" t="s">
        <v>1739</v>
      </c>
      <c r="B113" s="8" t="s">
        <v>1613</v>
      </c>
      <c r="C113" s="8">
        <v>95</v>
      </c>
      <c r="D113" s="120" t="s">
        <v>1616</v>
      </c>
      <c r="E113" s="121">
        <v>44972</v>
      </c>
      <c r="F113" s="8">
        <v>120</v>
      </c>
      <c r="G113" s="8">
        <v>4.8</v>
      </c>
      <c r="H113" s="82">
        <f>IF(MONTH(TABLE_PIVOT[[#This Row],[Date of Call]])&lt;=6,YEAR(TABLE_PIVOT[[#This Row],[Date of Call]]),YEAR(TABLE_PIVOT[[#This Row],[Date of Call]])+1)</f>
        <v>2023</v>
      </c>
      <c r="I113" s="82" t="str">
        <f>TEXT(TABLE_PIVOT[[#This Row],[Date of Call]],"DDDD")</f>
        <v>Wednesday</v>
      </c>
      <c r="J113" s="82" t="str" cm="1">
        <f t="array" ref="J113">_xlfn.IFS(TABLE_PIVOT[[#This Row],[Duration]]&lt;=10,"Under 10 Mins",TABLE_PIVOT[[#This Row],[Duration]]&lt;=30,"10 to 30 Mins",TABLE_PIVOT[[#This Row],[Duration]]&lt;=60,"30 to 60 Mins",TABLE_PIVOT[[#This Row],[Duration]]&lt;=120,"1 to 2 Hours",TRUE,"More Than 2 Hours")</f>
        <v>1 to 2 Hours</v>
      </c>
      <c r="K113" s="82">
        <f>ROUND(TABLE_PIVOT[[#This Row],[Satisfaction Rating]],0)</f>
        <v>5</v>
      </c>
    </row>
    <row r="114" spans="1:11" x14ac:dyDescent="0.3">
      <c r="A114" s="8" t="s">
        <v>1740</v>
      </c>
      <c r="B114" s="8" t="s">
        <v>1644</v>
      </c>
      <c r="C114" s="8">
        <v>30</v>
      </c>
      <c r="D114" s="120" t="s">
        <v>1630</v>
      </c>
      <c r="E114" s="121">
        <v>44972</v>
      </c>
      <c r="F114" s="8">
        <v>105</v>
      </c>
      <c r="G114" s="8">
        <v>3.6</v>
      </c>
      <c r="H114" s="82">
        <f>IF(MONTH(TABLE_PIVOT[[#This Row],[Date of Call]])&lt;=6,YEAR(TABLE_PIVOT[[#This Row],[Date of Call]]),YEAR(TABLE_PIVOT[[#This Row],[Date of Call]])+1)</f>
        <v>2023</v>
      </c>
      <c r="I114" s="82" t="str">
        <f>TEXT(TABLE_PIVOT[[#This Row],[Date of Call]],"DDDD")</f>
        <v>Wednesday</v>
      </c>
      <c r="J114" s="82" t="str" cm="1">
        <f t="array" ref="J114">_xlfn.IFS(TABLE_PIVOT[[#This Row],[Duration]]&lt;=10,"Under 10 Mins",TABLE_PIVOT[[#This Row],[Duration]]&lt;=30,"10 to 30 Mins",TABLE_PIVOT[[#This Row],[Duration]]&lt;=60,"30 to 60 Mins",TABLE_PIVOT[[#This Row],[Duration]]&lt;=120,"1 to 2 Hours",TRUE,"More Than 2 Hours")</f>
        <v>10 to 30 Mins</v>
      </c>
      <c r="K114" s="82">
        <f>ROUND(TABLE_PIVOT[[#This Row],[Satisfaction Rating]],0)</f>
        <v>4</v>
      </c>
    </row>
    <row r="115" spans="1:11" x14ac:dyDescent="0.3">
      <c r="A115" s="8" t="s">
        <v>1741</v>
      </c>
      <c r="B115" s="8" t="s">
        <v>1620</v>
      </c>
      <c r="C115" s="8">
        <v>19</v>
      </c>
      <c r="D115" s="120" t="s">
        <v>1621</v>
      </c>
      <c r="E115" s="121">
        <v>44972</v>
      </c>
      <c r="F115" s="8">
        <v>28</v>
      </c>
      <c r="G115" s="8">
        <v>4.9000000000000004</v>
      </c>
      <c r="H115" s="82">
        <f>IF(MONTH(TABLE_PIVOT[[#This Row],[Date of Call]])&lt;=6,YEAR(TABLE_PIVOT[[#This Row],[Date of Call]]),YEAR(TABLE_PIVOT[[#This Row],[Date of Call]])+1)</f>
        <v>2023</v>
      </c>
      <c r="I115" s="82" t="str">
        <f>TEXT(TABLE_PIVOT[[#This Row],[Date of Call]],"DDDD")</f>
        <v>Wednesday</v>
      </c>
      <c r="J115" s="82" t="str" cm="1">
        <f t="array" ref="J115">_xlfn.IFS(TABLE_PIVOT[[#This Row],[Duration]]&lt;=10,"Under 10 Mins",TABLE_PIVOT[[#This Row],[Duration]]&lt;=30,"10 to 30 Mins",TABLE_PIVOT[[#This Row],[Duration]]&lt;=60,"30 to 60 Mins",TABLE_PIVOT[[#This Row],[Duration]]&lt;=120,"1 to 2 Hours",TRUE,"More Than 2 Hours")</f>
        <v>10 to 30 Mins</v>
      </c>
      <c r="K115" s="82">
        <f>ROUND(TABLE_PIVOT[[#This Row],[Satisfaction Rating]],0)</f>
        <v>5</v>
      </c>
    </row>
    <row r="116" spans="1:11" x14ac:dyDescent="0.3">
      <c r="A116" s="8" t="s">
        <v>1742</v>
      </c>
      <c r="B116" s="8" t="s">
        <v>1629</v>
      </c>
      <c r="C116" s="8">
        <v>38</v>
      </c>
      <c r="D116" s="120" t="s">
        <v>1626</v>
      </c>
      <c r="E116" s="121">
        <v>44972</v>
      </c>
      <c r="F116" s="8">
        <v>100</v>
      </c>
      <c r="G116" s="8">
        <v>4.8</v>
      </c>
      <c r="H116" s="82">
        <f>IF(MONTH(TABLE_PIVOT[[#This Row],[Date of Call]])&lt;=6,YEAR(TABLE_PIVOT[[#This Row],[Date of Call]]),YEAR(TABLE_PIVOT[[#This Row],[Date of Call]])+1)</f>
        <v>2023</v>
      </c>
      <c r="I116" s="82" t="str">
        <f>TEXT(TABLE_PIVOT[[#This Row],[Date of Call]],"DDDD")</f>
        <v>Wednesday</v>
      </c>
      <c r="J116" s="82" t="str" cm="1">
        <f t="array" ref="J116">_xlfn.IFS(TABLE_PIVOT[[#This Row],[Duration]]&lt;=10,"Under 10 Mins",TABLE_PIVOT[[#This Row],[Duration]]&lt;=30,"10 to 30 Mins",TABLE_PIVOT[[#This Row],[Duration]]&lt;=60,"30 to 60 Mins",TABLE_PIVOT[[#This Row],[Duration]]&lt;=120,"1 to 2 Hours",TRUE,"More Than 2 Hours")</f>
        <v>30 to 60 Mins</v>
      </c>
      <c r="K116" s="82">
        <f>ROUND(TABLE_PIVOT[[#This Row],[Satisfaction Rating]],0)</f>
        <v>5</v>
      </c>
    </row>
    <row r="117" spans="1:11" x14ac:dyDescent="0.3">
      <c r="A117" s="8" t="s">
        <v>1743</v>
      </c>
      <c r="B117" s="8" t="s">
        <v>1633</v>
      </c>
      <c r="C117" s="8">
        <v>55</v>
      </c>
      <c r="D117" s="120" t="s">
        <v>1621</v>
      </c>
      <c r="E117" s="121">
        <v>44972</v>
      </c>
      <c r="F117" s="8">
        <v>23</v>
      </c>
      <c r="G117" s="8">
        <v>3.6</v>
      </c>
      <c r="H117" s="82">
        <f>IF(MONTH(TABLE_PIVOT[[#This Row],[Date of Call]])&lt;=6,YEAR(TABLE_PIVOT[[#This Row],[Date of Call]]),YEAR(TABLE_PIVOT[[#This Row],[Date of Call]])+1)</f>
        <v>2023</v>
      </c>
      <c r="I117" s="82" t="str">
        <f>TEXT(TABLE_PIVOT[[#This Row],[Date of Call]],"DDDD")</f>
        <v>Wednesday</v>
      </c>
      <c r="J117" s="82" t="str" cm="1">
        <f t="array" ref="J117">_xlfn.IFS(TABLE_PIVOT[[#This Row],[Duration]]&lt;=10,"Under 10 Mins",TABLE_PIVOT[[#This Row],[Duration]]&lt;=30,"10 to 30 Mins",TABLE_PIVOT[[#This Row],[Duration]]&lt;=60,"30 to 60 Mins",TABLE_PIVOT[[#This Row],[Duration]]&lt;=120,"1 to 2 Hours",TRUE,"More Than 2 Hours")</f>
        <v>30 to 60 Mins</v>
      </c>
      <c r="K117" s="82">
        <f>ROUND(TABLE_PIVOT[[#This Row],[Satisfaction Rating]],0)</f>
        <v>4</v>
      </c>
    </row>
    <row r="118" spans="1:11" x14ac:dyDescent="0.3">
      <c r="A118" s="8" t="s">
        <v>1744</v>
      </c>
      <c r="B118" s="8" t="s">
        <v>1641</v>
      </c>
      <c r="C118" s="8">
        <v>27</v>
      </c>
      <c r="D118" s="120" t="s">
        <v>1630</v>
      </c>
      <c r="E118" s="121">
        <v>44973</v>
      </c>
      <c r="F118" s="8">
        <v>70</v>
      </c>
      <c r="G118" s="8">
        <v>3.9</v>
      </c>
      <c r="H118" s="82">
        <f>IF(MONTH(TABLE_PIVOT[[#This Row],[Date of Call]])&lt;=6,YEAR(TABLE_PIVOT[[#This Row],[Date of Call]]),YEAR(TABLE_PIVOT[[#This Row],[Date of Call]])+1)</f>
        <v>2023</v>
      </c>
      <c r="I118" s="82" t="str">
        <f>TEXT(TABLE_PIVOT[[#This Row],[Date of Call]],"DDDD")</f>
        <v>Thursday</v>
      </c>
      <c r="J118" s="82" t="str" cm="1">
        <f t="array" ref="J118">_xlfn.IFS(TABLE_PIVOT[[#This Row],[Duration]]&lt;=10,"Under 10 Mins",TABLE_PIVOT[[#This Row],[Duration]]&lt;=30,"10 to 30 Mins",TABLE_PIVOT[[#This Row],[Duration]]&lt;=60,"30 to 60 Mins",TABLE_PIVOT[[#This Row],[Duration]]&lt;=120,"1 to 2 Hours",TRUE,"More Than 2 Hours")</f>
        <v>10 to 30 Mins</v>
      </c>
      <c r="K118" s="82">
        <f>ROUND(TABLE_PIVOT[[#This Row],[Satisfaction Rating]],0)</f>
        <v>4</v>
      </c>
    </row>
    <row r="119" spans="1:11" x14ac:dyDescent="0.3">
      <c r="A119" s="8" t="s">
        <v>1745</v>
      </c>
      <c r="B119" s="8" t="s">
        <v>1641</v>
      </c>
      <c r="C119" s="8">
        <v>32</v>
      </c>
      <c r="D119" s="120" t="s">
        <v>1630</v>
      </c>
      <c r="E119" s="121">
        <v>44973</v>
      </c>
      <c r="F119" s="8">
        <v>37</v>
      </c>
      <c r="G119" s="8">
        <v>1.9</v>
      </c>
      <c r="H119" s="82">
        <f>IF(MONTH(TABLE_PIVOT[[#This Row],[Date of Call]])&lt;=6,YEAR(TABLE_PIVOT[[#This Row],[Date of Call]]),YEAR(TABLE_PIVOT[[#This Row],[Date of Call]])+1)</f>
        <v>2023</v>
      </c>
      <c r="I119" s="82" t="str">
        <f>TEXT(TABLE_PIVOT[[#This Row],[Date of Call]],"DDDD")</f>
        <v>Thursday</v>
      </c>
      <c r="J119" s="82" t="str" cm="1">
        <f t="array" ref="J119">_xlfn.IFS(TABLE_PIVOT[[#This Row],[Duration]]&lt;=10,"Under 10 Mins",TABLE_PIVOT[[#This Row],[Duration]]&lt;=30,"10 to 30 Mins",TABLE_PIVOT[[#This Row],[Duration]]&lt;=60,"30 to 60 Mins",TABLE_PIVOT[[#This Row],[Duration]]&lt;=120,"1 to 2 Hours",TRUE,"More Than 2 Hours")</f>
        <v>30 to 60 Mins</v>
      </c>
      <c r="K119" s="82">
        <f>ROUND(TABLE_PIVOT[[#This Row],[Satisfaction Rating]],0)</f>
        <v>2</v>
      </c>
    </row>
    <row r="120" spans="1:11" x14ac:dyDescent="0.3">
      <c r="A120" s="8" t="s">
        <v>1746</v>
      </c>
      <c r="B120" s="8" t="s">
        <v>1635</v>
      </c>
      <c r="C120" s="8">
        <v>116</v>
      </c>
      <c r="D120" s="120" t="s">
        <v>1611</v>
      </c>
      <c r="E120" s="121">
        <v>44973</v>
      </c>
      <c r="F120" s="8">
        <v>140</v>
      </c>
      <c r="G120" s="8">
        <v>3.6</v>
      </c>
      <c r="H120" s="82">
        <f>IF(MONTH(TABLE_PIVOT[[#This Row],[Date of Call]])&lt;=6,YEAR(TABLE_PIVOT[[#This Row],[Date of Call]]),YEAR(TABLE_PIVOT[[#This Row],[Date of Call]])+1)</f>
        <v>2023</v>
      </c>
      <c r="I120" s="82" t="str">
        <f>TEXT(TABLE_PIVOT[[#This Row],[Date of Call]],"DDDD")</f>
        <v>Thursday</v>
      </c>
      <c r="J120" s="82" t="str" cm="1">
        <f t="array" ref="J120">_xlfn.IFS(TABLE_PIVOT[[#This Row],[Duration]]&lt;=10,"Under 10 Mins",TABLE_PIVOT[[#This Row],[Duration]]&lt;=30,"10 to 30 Mins",TABLE_PIVOT[[#This Row],[Duration]]&lt;=60,"30 to 60 Mins",TABLE_PIVOT[[#This Row],[Duration]]&lt;=120,"1 to 2 Hours",TRUE,"More Than 2 Hours")</f>
        <v>1 to 2 Hours</v>
      </c>
      <c r="K120" s="82">
        <f>ROUND(TABLE_PIVOT[[#This Row],[Satisfaction Rating]],0)</f>
        <v>4</v>
      </c>
    </row>
    <row r="121" spans="1:11" x14ac:dyDescent="0.3">
      <c r="A121" s="8" t="s">
        <v>1747</v>
      </c>
      <c r="B121" s="8" t="s">
        <v>1610</v>
      </c>
      <c r="C121" s="8">
        <v>99</v>
      </c>
      <c r="D121" s="120" t="s">
        <v>1616</v>
      </c>
      <c r="E121" s="121">
        <v>44973</v>
      </c>
      <c r="F121" s="8">
        <v>78</v>
      </c>
      <c r="G121" s="8">
        <v>4.0999999999999996</v>
      </c>
      <c r="H121" s="82">
        <f>IF(MONTH(TABLE_PIVOT[[#This Row],[Date of Call]])&lt;=6,YEAR(TABLE_PIVOT[[#This Row],[Date of Call]]),YEAR(TABLE_PIVOT[[#This Row],[Date of Call]])+1)</f>
        <v>2023</v>
      </c>
      <c r="I121" s="82" t="str">
        <f>TEXT(TABLE_PIVOT[[#This Row],[Date of Call]],"DDDD")</f>
        <v>Thursday</v>
      </c>
      <c r="J121" s="82" t="str" cm="1">
        <f t="array" ref="J121">_xlfn.IFS(TABLE_PIVOT[[#This Row],[Duration]]&lt;=10,"Under 10 Mins",TABLE_PIVOT[[#This Row],[Duration]]&lt;=30,"10 to 30 Mins",TABLE_PIVOT[[#This Row],[Duration]]&lt;=60,"30 to 60 Mins",TABLE_PIVOT[[#This Row],[Duration]]&lt;=120,"1 to 2 Hours",TRUE,"More Than 2 Hours")</f>
        <v>1 to 2 Hours</v>
      </c>
      <c r="K121" s="82">
        <f>ROUND(TABLE_PIVOT[[#This Row],[Satisfaction Rating]],0)</f>
        <v>4</v>
      </c>
    </row>
    <row r="122" spans="1:11" x14ac:dyDescent="0.3">
      <c r="A122" s="8" t="s">
        <v>1748</v>
      </c>
      <c r="B122" s="8" t="s">
        <v>1613</v>
      </c>
      <c r="C122" s="8">
        <v>75</v>
      </c>
      <c r="D122" s="120" t="s">
        <v>1630</v>
      </c>
      <c r="E122" s="121">
        <v>44974</v>
      </c>
      <c r="F122" s="8">
        <v>21</v>
      </c>
      <c r="G122" s="8">
        <v>4.2</v>
      </c>
      <c r="H122" s="82">
        <f>IF(MONTH(TABLE_PIVOT[[#This Row],[Date of Call]])&lt;=6,YEAR(TABLE_PIVOT[[#This Row],[Date of Call]]),YEAR(TABLE_PIVOT[[#This Row],[Date of Call]])+1)</f>
        <v>2023</v>
      </c>
      <c r="I122" s="82" t="str">
        <f>TEXT(TABLE_PIVOT[[#This Row],[Date of Call]],"DDDD")</f>
        <v>Friday</v>
      </c>
      <c r="J122" s="82" t="str" cm="1">
        <f t="array" ref="J122">_xlfn.IFS(TABLE_PIVOT[[#This Row],[Duration]]&lt;=10,"Under 10 Mins",TABLE_PIVOT[[#This Row],[Duration]]&lt;=30,"10 to 30 Mins",TABLE_PIVOT[[#This Row],[Duration]]&lt;=60,"30 to 60 Mins",TABLE_PIVOT[[#This Row],[Duration]]&lt;=120,"1 to 2 Hours",TRUE,"More Than 2 Hours")</f>
        <v>1 to 2 Hours</v>
      </c>
      <c r="K122" s="82">
        <f>ROUND(TABLE_PIVOT[[#This Row],[Satisfaction Rating]],0)</f>
        <v>4</v>
      </c>
    </row>
    <row r="123" spans="1:11" x14ac:dyDescent="0.3">
      <c r="A123" s="8" t="s">
        <v>1749</v>
      </c>
      <c r="B123" s="8" t="s">
        <v>1615</v>
      </c>
      <c r="C123" s="8">
        <v>57</v>
      </c>
      <c r="D123" s="120" t="s">
        <v>1611</v>
      </c>
      <c r="E123" s="121">
        <v>44974</v>
      </c>
      <c r="F123" s="8">
        <v>88</v>
      </c>
      <c r="G123" s="8">
        <v>4.3</v>
      </c>
      <c r="H123" s="82">
        <f>IF(MONTH(TABLE_PIVOT[[#This Row],[Date of Call]])&lt;=6,YEAR(TABLE_PIVOT[[#This Row],[Date of Call]]),YEAR(TABLE_PIVOT[[#This Row],[Date of Call]])+1)</f>
        <v>2023</v>
      </c>
      <c r="I123" s="82" t="str">
        <f>TEXT(TABLE_PIVOT[[#This Row],[Date of Call]],"DDDD")</f>
        <v>Friday</v>
      </c>
      <c r="J123" s="82" t="str" cm="1">
        <f t="array" ref="J123">_xlfn.IFS(TABLE_PIVOT[[#This Row],[Duration]]&lt;=10,"Under 10 Mins",TABLE_PIVOT[[#This Row],[Duration]]&lt;=30,"10 to 30 Mins",TABLE_PIVOT[[#This Row],[Duration]]&lt;=60,"30 to 60 Mins",TABLE_PIVOT[[#This Row],[Duration]]&lt;=120,"1 to 2 Hours",TRUE,"More Than 2 Hours")</f>
        <v>30 to 60 Mins</v>
      </c>
      <c r="K123" s="82">
        <f>ROUND(TABLE_PIVOT[[#This Row],[Satisfaction Rating]],0)</f>
        <v>4</v>
      </c>
    </row>
    <row r="124" spans="1:11" x14ac:dyDescent="0.3">
      <c r="A124" s="8" t="s">
        <v>1750</v>
      </c>
      <c r="B124" s="8" t="s">
        <v>1624</v>
      </c>
      <c r="C124" s="8">
        <v>155</v>
      </c>
      <c r="D124" s="120" t="s">
        <v>1611</v>
      </c>
      <c r="E124" s="121">
        <v>44975</v>
      </c>
      <c r="F124" s="8">
        <v>180</v>
      </c>
      <c r="G124" s="8">
        <v>2.2000000000000002</v>
      </c>
      <c r="H124" s="82">
        <f>IF(MONTH(TABLE_PIVOT[[#This Row],[Date of Call]])&lt;=6,YEAR(TABLE_PIVOT[[#This Row],[Date of Call]]),YEAR(TABLE_PIVOT[[#This Row],[Date of Call]])+1)</f>
        <v>2023</v>
      </c>
      <c r="I124" s="82" t="str">
        <f>TEXT(TABLE_PIVOT[[#This Row],[Date of Call]],"DDDD")</f>
        <v>Saturday</v>
      </c>
      <c r="J124" s="82" t="str" cm="1">
        <f t="array" ref="J124">_xlfn.IFS(TABLE_PIVOT[[#This Row],[Duration]]&lt;=10,"Under 10 Mins",TABLE_PIVOT[[#This Row],[Duration]]&lt;=30,"10 to 30 Mins",TABLE_PIVOT[[#This Row],[Duration]]&lt;=60,"30 to 60 Mins",TABLE_PIVOT[[#This Row],[Duration]]&lt;=120,"1 to 2 Hours",TRUE,"More Than 2 Hours")</f>
        <v>More Than 2 Hours</v>
      </c>
      <c r="K124" s="82">
        <f>ROUND(TABLE_PIVOT[[#This Row],[Satisfaction Rating]],0)</f>
        <v>2</v>
      </c>
    </row>
    <row r="125" spans="1:11" x14ac:dyDescent="0.3">
      <c r="A125" s="8" t="s">
        <v>1751</v>
      </c>
      <c r="B125" s="8" t="s">
        <v>1610</v>
      </c>
      <c r="C125" s="8">
        <v>68</v>
      </c>
      <c r="D125" s="120" t="s">
        <v>1616</v>
      </c>
      <c r="E125" s="121">
        <v>44975</v>
      </c>
      <c r="F125" s="8">
        <v>22</v>
      </c>
      <c r="G125" s="8">
        <v>3.3</v>
      </c>
      <c r="H125" s="82">
        <f>IF(MONTH(TABLE_PIVOT[[#This Row],[Date of Call]])&lt;=6,YEAR(TABLE_PIVOT[[#This Row],[Date of Call]]),YEAR(TABLE_PIVOT[[#This Row],[Date of Call]])+1)</f>
        <v>2023</v>
      </c>
      <c r="I125" s="82" t="str">
        <f>TEXT(TABLE_PIVOT[[#This Row],[Date of Call]],"DDDD")</f>
        <v>Saturday</v>
      </c>
      <c r="J125" s="82" t="str" cm="1">
        <f t="array" ref="J125">_xlfn.IFS(TABLE_PIVOT[[#This Row],[Duration]]&lt;=10,"Under 10 Mins",TABLE_PIVOT[[#This Row],[Duration]]&lt;=30,"10 to 30 Mins",TABLE_PIVOT[[#This Row],[Duration]]&lt;=60,"30 to 60 Mins",TABLE_PIVOT[[#This Row],[Duration]]&lt;=120,"1 to 2 Hours",TRUE,"More Than 2 Hours")</f>
        <v>1 to 2 Hours</v>
      </c>
      <c r="K125" s="82">
        <f>ROUND(TABLE_PIVOT[[#This Row],[Satisfaction Rating]],0)</f>
        <v>3</v>
      </c>
    </row>
    <row r="126" spans="1:11" x14ac:dyDescent="0.3">
      <c r="A126" s="8" t="s">
        <v>1752</v>
      </c>
      <c r="B126" s="8" t="s">
        <v>1629</v>
      </c>
      <c r="C126" s="8">
        <v>95</v>
      </c>
      <c r="D126" s="120" t="s">
        <v>1616</v>
      </c>
      <c r="E126" s="121">
        <v>44975</v>
      </c>
      <c r="F126" s="8">
        <v>52</v>
      </c>
      <c r="G126" s="8">
        <v>4.8</v>
      </c>
      <c r="H126" s="82">
        <f>IF(MONTH(TABLE_PIVOT[[#This Row],[Date of Call]])&lt;=6,YEAR(TABLE_PIVOT[[#This Row],[Date of Call]]),YEAR(TABLE_PIVOT[[#This Row],[Date of Call]])+1)</f>
        <v>2023</v>
      </c>
      <c r="I126" s="82" t="str">
        <f>TEXT(TABLE_PIVOT[[#This Row],[Date of Call]],"DDDD")</f>
        <v>Saturday</v>
      </c>
      <c r="J126" s="82" t="str" cm="1">
        <f t="array" ref="J126">_xlfn.IFS(TABLE_PIVOT[[#This Row],[Duration]]&lt;=10,"Under 10 Mins",TABLE_PIVOT[[#This Row],[Duration]]&lt;=30,"10 to 30 Mins",TABLE_PIVOT[[#This Row],[Duration]]&lt;=60,"30 to 60 Mins",TABLE_PIVOT[[#This Row],[Duration]]&lt;=120,"1 to 2 Hours",TRUE,"More Than 2 Hours")</f>
        <v>1 to 2 Hours</v>
      </c>
      <c r="K126" s="82">
        <f>ROUND(TABLE_PIVOT[[#This Row],[Satisfaction Rating]],0)</f>
        <v>5</v>
      </c>
    </row>
    <row r="127" spans="1:11" x14ac:dyDescent="0.3">
      <c r="A127" s="8" t="s">
        <v>1753</v>
      </c>
      <c r="B127" s="8" t="s">
        <v>1649</v>
      </c>
      <c r="C127" s="8">
        <v>65</v>
      </c>
      <c r="D127" s="120" t="s">
        <v>1611</v>
      </c>
      <c r="E127" s="121">
        <v>44976</v>
      </c>
      <c r="F127" s="8">
        <v>80</v>
      </c>
      <c r="G127" s="8">
        <v>4</v>
      </c>
      <c r="H127" s="82">
        <f>IF(MONTH(TABLE_PIVOT[[#This Row],[Date of Call]])&lt;=6,YEAR(TABLE_PIVOT[[#This Row],[Date of Call]]),YEAR(TABLE_PIVOT[[#This Row],[Date of Call]])+1)</f>
        <v>2023</v>
      </c>
      <c r="I127" s="82" t="str">
        <f>TEXT(TABLE_PIVOT[[#This Row],[Date of Call]],"DDDD")</f>
        <v>Sunday</v>
      </c>
      <c r="J127" s="82" t="str" cm="1">
        <f t="array" ref="J127">_xlfn.IFS(TABLE_PIVOT[[#This Row],[Duration]]&lt;=10,"Under 10 Mins",TABLE_PIVOT[[#This Row],[Duration]]&lt;=30,"10 to 30 Mins",TABLE_PIVOT[[#This Row],[Duration]]&lt;=60,"30 to 60 Mins",TABLE_PIVOT[[#This Row],[Duration]]&lt;=120,"1 to 2 Hours",TRUE,"More Than 2 Hours")</f>
        <v>1 to 2 Hours</v>
      </c>
      <c r="K127" s="82">
        <f>ROUND(TABLE_PIVOT[[#This Row],[Satisfaction Rating]],0)</f>
        <v>4</v>
      </c>
    </row>
    <row r="128" spans="1:11" x14ac:dyDescent="0.3">
      <c r="A128" s="8" t="s">
        <v>1754</v>
      </c>
      <c r="B128" s="8" t="s">
        <v>1620</v>
      </c>
      <c r="C128" s="8">
        <v>114</v>
      </c>
      <c r="D128" s="120" t="s">
        <v>1621</v>
      </c>
      <c r="E128" s="121">
        <v>44976</v>
      </c>
      <c r="F128" s="8">
        <v>54</v>
      </c>
      <c r="G128" s="8">
        <v>1.1000000000000001</v>
      </c>
      <c r="H128" s="82">
        <f>IF(MONTH(TABLE_PIVOT[[#This Row],[Date of Call]])&lt;=6,YEAR(TABLE_PIVOT[[#This Row],[Date of Call]]),YEAR(TABLE_PIVOT[[#This Row],[Date of Call]])+1)</f>
        <v>2023</v>
      </c>
      <c r="I128" s="82" t="str">
        <f>TEXT(TABLE_PIVOT[[#This Row],[Date of Call]],"DDDD")</f>
        <v>Sunday</v>
      </c>
      <c r="J128" s="82" t="str" cm="1">
        <f t="array" ref="J128">_xlfn.IFS(TABLE_PIVOT[[#This Row],[Duration]]&lt;=10,"Under 10 Mins",TABLE_PIVOT[[#This Row],[Duration]]&lt;=30,"10 to 30 Mins",TABLE_PIVOT[[#This Row],[Duration]]&lt;=60,"30 to 60 Mins",TABLE_PIVOT[[#This Row],[Duration]]&lt;=120,"1 to 2 Hours",TRUE,"More Than 2 Hours")</f>
        <v>1 to 2 Hours</v>
      </c>
      <c r="K128" s="82">
        <f>ROUND(TABLE_PIVOT[[#This Row],[Satisfaction Rating]],0)</f>
        <v>1</v>
      </c>
    </row>
    <row r="129" spans="1:11" x14ac:dyDescent="0.3">
      <c r="A129" s="8" t="s">
        <v>1755</v>
      </c>
      <c r="B129" s="8" t="s">
        <v>1613</v>
      </c>
      <c r="C129" s="8">
        <v>155</v>
      </c>
      <c r="D129" s="120" t="s">
        <v>1621</v>
      </c>
      <c r="E129" s="121">
        <v>44977</v>
      </c>
      <c r="F129" s="8">
        <v>80</v>
      </c>
      <c r="G129" s="8">
        <v>3.9</v>
      </c>
      <c r="H129" s="82">
        <f>IF(MONTH(TABLE_PIVOT[[#This Row],[Date of Call]])&lt;=6,YEAR(TABLE_PIVOT[[#This Row],[Date of Call]]),YEAR(TABLE_PIVOT[[#This Row],[Date of Call]])+1)</f>
        <v>2023</v>
      </c>
      <c r="I129" s="82" t="str">
        <f>TEXT(TABLE_PIVOT[[#This Row],[Date of Call]],"DDDD")</f>
        <v>Monday</v>
      </c>
      <c r="J129" s="82" t="str" cm="1">
        <f t="array" ref="J129">_xlfn.IFS(TABLE_PIVOT[[#This Row],[Duration]]&lt;=10,"Under 10 Mins",TABLE_PIVOT[[#This Row],[Duration]]&lt;=30,"10 to 30 Mins",TABLE_PIVOT[[#This Row],[Duration]]&lt;=60,"30 to 60 Mins",TABLE_PIVOT[[#This Row],[Duration]]&lt;=120,"1 to 2 Hours",TRUE,"More Than 2 Hours")</f>
        <v>More Than 2 Hours</v>
      </c>
      <c r="K129" s="82">
        <f>ROUND(TABLE_PIVOT[[#This Row],[Satisfaction Rating]],0)</f>
        <v>4</v>
      </c>
    </row>
    <row r="130" spans="1:11" x14ac:dyDescent="0.3">
      <c r="A130" s="8" t="s">
        <v>1756</v>
      </c>
      <c r="B130" s="8" t="s">
        <v>1649</v>
      </c>
      <c r="C130" s="8">
        <v>114</v>
      </c>
      <c r="D130" s="120" t="s">
        <v>1611</v>
      </c>
      <c r="E130" s="121">
        <v>44978</v>
      </c>
      <c r="F130" s="8">
        <v>120</v>
      </c>
      <c r="G130" s="8">
        <v>1.8</v>
      </c>
      <c r="H130" s="82">
        <f>IF(MONTH(TABLE_PIVOT[[#This Row],[Date of Call]])&lt;=6,YEAR(TABLE_PIVOT[[#This Row],[Date of Call]]),YEAR(TABLE_PIVOT[[#This Row],[Date of Call]])+1)</f>
        <v>2023</v>
      </c>
      <c r="I130" s="82" t="str">
        <f>TEXT(TABLE_PIVOT[[#This Row],[Date of Call]],"DDDD")</f>
        <v>Tuesday</v>
      </c>
      <c r="J130" s="82" t="str" cm="1">
        <f t="array" ref="J130">_xlfn.IFS(TABLE_PIVOT[[#This Row],[Duration]]&lt;=10,"Under 10 Mins",TABLE_PIVOT[[#This Row],[Duration]]&lt;=30,"10 to 30 Mins",TABLE_PIVOT[[#This Row],[Duration]]&lt;=60,"30 to 60 Mins",TABLE_PIVOT[[#This Row],[Duration]]&lt;=120,"1 to 2 Hours",TRUE,"More Than 2 Hours")</f>
        <v>1 to 2 Hours</v>
      </c>
      <c r="K130" s="82">
        <f>ROUND(TABLE_PIVOT[[#This Row],[Satisfaction Rating]],0)</f>
        <v>2</v>
      </c>
    </row>
    <row r="131" spans="1:11" x14ac:dyDescent="0.3">
      <c r="A131" s="8" t="s">
        <v>1757</v>
      </c>
      <c r="B131" s="8" t="s">
        <v>1624</v>
      </c>
      <c r="C131" s="8">
        <v>130</v>
      </c>
      <c r="D131" s="120" t="s">
        <v>1626</v>
      </c>
      <c r="E131" s="121">
        <v>44978</v>
      </c>
      <c r="F131" s="8">
        <v>150</v>
      </c>
      <c r="G131" s="8">
        <v>1</v>
      </c>
      <c r="H131" s="82">
        <f>IF(MONTH(TABLE_PIVOT[[#This Row],[Date of Call]])&lt;=6,YEAR(TABLE_PIVOT[[#This Row],[Date of Call]]),YEAR(TABLE_PIVOT[[#This Row],[Date of Call]])+1)</f>
        <v>2023</v>
      </c>
      <c r="I131" s="82" t="str">
        <f>TEXT(TABLE_PIVOT[[#This Row],[Date of Call]],"DDDD")</f>
        <v>Tuesday</v>
      </c>
      <c r="J131" s="82" t="str" cm="1">
        <f t="array" ref="J131">_xlfn.IFS(TABLE_PIVOT[[#This Row],[Duration]]&lt;=10,"Under 10 Mins",TABLE_PIVOT[[#This Row],[Duration]]&lt;=30,"10 to 30 Mins",TABLE_PIVOT[[#This Row],[Duration]]&lt;=60,"30 to 60 Mins",TABLE_PIVOT[[#This Row],[Duration]]&lt;=120,"1 to 2 Hours",TRUE,"More Than 2 Hours")</f>
        <v>More Than 2 Hours</v>
      </c>
      <c r="K131" s="82">
        <f>ROUND(TABLE_PIVOT[[#This Row],[Satisfaction Rating]],0)</f>
        <v>1</v>
      </c>
    </row>
    <row r="132" spans="1:11" x14ac:dyDescent="0.3">
      <c r="A132" s="8" t="s">
        <v>1758</v>
      </c>
      <c r="B132" s="8" t="s">
        <v>1613</v>
      </c>
      <c r="C132" s="8">
        <v>89</v>
      </c>
      <c r="D132" s="120" t="s">
        <v>1611</v>
      </c>
      <c r="E132" s="121">
        <v>44978</v>
      </c>
      <c r="F132" s="8">
        <v>90</v>
      </c>
      <c r="G132" s="8">
        <v>4.3</v>
      </c>
      <c r="H132" s="82">
        <f>IF(MONTH(TABLE_PIVOT[[#This Row],[Date of Call]])&lt;=6,YEAR(TABLE_PIVOT[[#This Row],[Date of Call]]),YEAR(TABLE_PIVOT[[#This Row],[Date of Call]])+1)</f>
        <v>2023</v>
      </c>
      <c r="I132" s="82" t="str">
        <f>TEXT(TABLE_PIVOT[[#This Row],[Date of Call]],"DDDD")</f>
        <v>Tuesday</v>
      </c>
      <c r="J132" s="82" t="str" cm="1">
        <f t="array" ref="J132">_xlfn.IFS(TABLE_PIVOT[[#This Row],[Duration]]&lt;=10,"Under 10 Mins",TABLE_PIVOT[[#This Row],[Duration]]&lt;=30,"10 to 30 Mins",TABLE_PIVOT[[#This Row],[Duration]]&lt;=60,"30 to 60 Mins",TABLE_PIVOT[[#This Row],[Duration]]&lt;=120,"1 to 2 Hours",TRUE,"More Than 2 Hours")</f>
        <v>1 to 2 Hours</v>
      </c>
      <c r="K132" s="82">
        <f>ROUND(TABLE_PIVOT[[#This Row],[Satisfaction Rating]],0)</f>
        <v>4</v>
      </c>
    </row>
    <row r="133" spans="1:11" x14ac:dyDescent="0.3">
      <c r="A133" s="8" t="s">
        <v>1759</v>
      </c>
      <c r="B133" s="8" t="s">
        <v>1662</v>
      </c>
      <c r="C133" s="8">
        <v>61</v>
      </c>
      <c r="D133" s="120" t="s">
        <v>1630</v>
      </c>
      <c r="E133" s="121">
        <v>44979</v>
      </c>
      <c r="F133" s="8">
        <v>140</v>
      </c>
      <c r="G133" s="8">
        <v>3.4</v>
      </c>
      <c r="H133" s="82">
        <f>IF(MONTH(TABLE_PIVOT[[#This Row],[Date of Call]])&lt;=6,YEAR(TABLE_PIVOT[[#This Row],[Date of Call]]),YEAR(TABLE_PIVOT[[#This Row],[Date of Call]])+1)</f>
        <v>2023</v>
      </c>
      <c r="I133" s="82" t="str">
        <f>TEXT(TABLE_PIVOT[[#This Row],[Date of Call]],"DDDD")</f>
        <v>Wednesday</v>
      </c>
      <c r="J133" s="82" t="str" cm="1">
        <f t="array" ref="J133">_xlfn.IFS(TABLE_PIVOT[[#This Row],[Duration]]&lt;=10,"Under 10 Mins",TABLE_PIVOT[[#This Row],[Duration]]&lt;=30,"10 to 30 Mins",TABLE_PIVOT[[#This Row],[Duration]]&lt;=60,"30 to 60 Mins",TABLE_PIVOT[[#This Row],[Duration]]&lt;=120,"1 to 2 Hours",TRUE,"More Than 2 Hours")</f>
        <v>1 to 2 Hours</v>
      </c>
      <c r="K133" s="82">
        <f>ROUND(TABLE_PIVOT[[#This Row],[Satisfaction Rating]],0)</f>
        <v>3</v>
      </c>
    </row>
    <row r="134" spans="1:11" x14ac:dyDescent="0.3">
      <c r="A134" s="8" t="s">
        <v>1760</v>
      </c>
      <c r="B134" s="8" t="s">
        <v>1629</v>
      </c>
      <c r="C134" s="8">
        <v>154</v>
      </c>
      <c r="D134" s="120" t="s">
        <v>1621</v>
      </c>
      <c r="E134" s="121">
        <v>44979</v>
      </c>
      <c r="F134" s="8">
        <v>22</v>
      </c>
      <c r="G134" s="8">
        <v>3.4</v>
      </c>
      <c r="H134" s="82">
        <f>IF(MONTH(TABLE_PIVOT[[#This Row],[Date of Call]])&lt;=6,YEAR(TABLE_PIVOT[[#This Row],[Date of Call]]),YEAR(TABLE_PIVOT[[#This Row],[Date of Call]])+1)</f>
        <v>2023</v>
      </c>
      <c r="I134" s="82" t="str">
        <f>TEXT(TABLE_PIVOT[[#This Row],[Date of Call]],"DDDD")</f>
        <v>Wednesday</v>
      </c>
      <c r="J134" s="82" t="str" cm="1">
        <f t="array" ref="J134">_xlfn.IFS(TABLE_PIVOT[[#This Row],[Duration]]&lt;=10,"Under 10 Mins",TABLE_PIVOT[[#This Row],[Duration]]&lt;=30,"10 to 30 Mins",TABLE_PIVOT[[#This Row],[Duration]]&lt;=60,"30 to 60 Mins",TABLE_PIVOT[[#This Row],[Duration]]&lt;=120,"1 to 2 Hours",TRUE,"More Than 2 Hours")</f>
        <v>More Than 2 Hours</v>
      </c>
      <c r="K134" s="82">
        <f>ROUND(TABLE_PIVOT[[#This Row],[Satisfaction Rating]],0)</f>
        <v>3</v>
      </c>
    </row>
    <row r="135" spans="1:11" x14ac:dyDescent="0.3">
      <c r="A135" s="8" t="s">
        <v>1761</v>
      </c>
      <c r="B135" s="8" t="s">
        <v>1649</v>
      </c>
      <c r="C135" s="8">
        <v>115</v>
      </c>
      <c r="D135" s="120" t="s">
        <v>1626</v>
      </c>
      <c r="E135" s="121">
        <v>44980</v>
      </c>
      <c r="F135" s="8">
        <v>150</v>
      </c>
      <c r="G135" s="8">
        <v>4.0999999999999996</v>
      </c>
      <c r="H135" s="82">
        <f>IF(MONTH(TABLE_PIVOT[[#This Row],[Date of Call]])&lt;=6,YEAR(TABLE_PIVOT[[#This Row],[Date of Call]]),YEAR(TABLE_PIVOT[[#This Row],[Date of Call]])+1)</f>
        <v>2023</v>
      </c>
      <c r="I135" s="82" t="str">
        <f>TEXT(TABLE_PIVOT[[#This Row],[Date of Call]],"DDDD")</f>
        <v>Thursday</v>
      </c>
      <c r="J135" s="82" t="str" cm="1">
        <f t="array" ref="J135">_xlfn.IFS(TABLE_PIVOT[[#This Row],[Duration]]&lt;=10,"Under 10 Mins",TABLE_PIVOT[[#This Row],[Duration]]&lt;=30,"10 to 30 Mins",TABLE_PIVOT[[#This Row],[Duration]]&lt;=60,"30 to 60 Mins",TABLE_PIVOT[[#This Row],[Duration]]&lt;=120,"1 to 2 Hours",TRUE,"More Than 2 Hours")</f>
        <v>1 to 2 Hours</v>
      </c>
      <c r="K135" s="82">
        <f>ROUND(TABLE_PIVOT[[#This Row],[Satisfaction Rating]],0)</f>
        <v>4</v>
      </c>
    </row>
    <row r="136" spans="1:11" x14ac:dyDescent="0.3">
      <c r="A136" s="8" t="s">
        <v>1762</v>
      </c>
      <c r="B136" s="8" t="s">
        <v>1682</v>
      </c>
      <c r="C136" s="8">
        <v>138</v>
      </c>
      <c r="D136" s="120" t="s">
        <v>1616</v>
      </c>
      <c r="E136" s="121">
        <v>44981</v>
      </c>
      <c r="F136" s="8">
        <v>35</v>
      </c>
      <c r="G136" s="8">
        <v>4.8</v>
      </c>
      <c r="H136" s="82">
        <f>IF(MONTH(TABLE_PIVOT[[#This Row],[Date of Call]])&lt;=6,YEAR(TABLE_PIVOT[[#This Row],[Date of Call]]),YEAR(TABLE_PIVOT[[#This Row],[Date of Call]])+1)</f>
        <v>2023</v>
      </c>
      <c r="I136" s="82" t="str">
        <f>TEXT(TABLE_PIVOT[[#This Row],[Date of Call]],"DDDD")</f>
        <v>Friday</v>
      </c>
      <c r="J136" s="82" t="str" cm="1">
        <f t="array" ref="J136">_xlfn.IFS(TABLE_PIVOT[[#This Row],[Duration]]&lt;=10,"Under 10 Mins",TABLE_PIVOT[[#This Row],[Duration]]&lt;=30,"10 to 30 Mins",TABLE_PIVOT[[#This Row],[Duration]]&lt;=60,"30 to 60 Mins",TABLE_PIVOT[[#This Row],[Duration]]&lt;=120,"1 to 2 Hours",TRUE,"More Than 2 Hours")</f>
        <v>More Than 2 Hours</v>
      </c>
      <c r="K136" s="82">
        <f>ROUND(TABLE_PIVOT[[#This Row],[Satisfaction Rating]],0)</f>
        <v>5</v>
      </c>
    </row>
    <row r="137" spans="1:11" x14ac:dyDescent="0.3">
      <c r="A137" s="8" t="s">
        <v>1763</v>
      </c>
      <c r="B137" s="8" t="s">
        <v>1618</v>
      </c>
      <c r="C137" s="8">
        <v>153</v>
      </c>
      <c r="D137" s="120" t="s">
        <v>1611</v>
      </c>
      <c r="E137" s="121">
        <v>44981</v>
      </c>
      <c r="F137" s="8">
        <v>200</v>
      </c>
      <c r="G137" s="8">
        <v>2</v>
      </c>
      <c r="H137" s="82">
        <f>IF(MONTH(TABLE_PIVOT[[#This Row],[Date of Call]])&lt;=6,YEAR(TABLE_PIVOT[[#This Row],[Date of Call]]),YEAR(TABLE_PIVOT[[#This Row],[Date of Call]])+1)</f>
        <v>2023</v>
      </c>
      <c r="I137" s="82" t="str">
        <f>TEXT(TABLE_PIVOT[[#This Row],[Date of Call]],"DDDD")</f>
        <v>Friday</v>
      </c>
      <c r="J137" s="82" t="str" cm="1">
        <f t="array" ref="J137">_xlfn.IFS(TABLE_PIVOT[[#This Row],[Duration]]&lt;=10,"Under 10 Mins",TABLE_PIVOT[[#This Row],[Duration]]&lt;=30,"10 to 30 Mins",TABLE_PIVOT[[#This Row],[Duration]]&lt;=60,"30 to 60 Mins",TABLE_PIVOT[[#This Row],[Duration]]&lt;=120,"1 to 2 Hours",TRUE,"More Than 2 Hours")</f>
        <v>More Than 2 Hours</v>
      </c>
      <c r="K137" s="82">
        <f>ROUND(TABLE_PIVOT[[#This Row],[Satisfaction Rating]],0)</f>
        <v>2</v>
      </c>
    </row>
    <row r="138" spans="1:11" x14ac:dyDescent="0.3">
      <c r="A138" s="8" t="s">
        <v>1764</v>
      </c>
      <c r="B138" s="8" t="s">
        <v>1649</v>
      </c>
      <c r="C138" s="8">
        <v>61</v>
      </c>
      <c r="D138" s="120" t="s">
        <v>1630</v>
      </c>
      <c r="E138" s="121">
        <v>44982</v>
      </c>
      <c r="F138" s="8">
        <v>150</v>
      </c>
      <c r="G138" s="8">
        <v>4.5999999999999996</v>
      </c>
      <c r="H138" s="82">
        <f>IF(MONTH(TABLE_PIVOT[[#This Row],[Date of Call]])&lt;=6,YEAR(TABLE_PIVOT[[#This Row],[Date of Call]]),YEAR(TABLE_PIVOT[[#This Row],[Date of Call]])+1)</f>
        <v>2023</v>
      </c>
      <c r="I138" s="82" t="str">
        <f>TEXT(TABLE_PIVOT[[#This Row],[Date of Call]],"DDDD")</f>
        <v>Saturday</v>
      </c>
      <c r="J138" s="82" t="str" cm="1">
        <f t="array" ref="J138">_xlfn.IFS(TABLE_PIVOT[[#This Row],[Duration]]&lt;=10,"Under 10 Mins",TABLE_PIVOT[[#This Row],[Duration]]&lt;=30,"10 to 30 Mins",TABLE_PIVOT[[#This Row],[Duration]]&lt;=60,"30 to 60 Mins",TABLE_PIVOT[[#This Row],[Duration]]&lt;=120,"1 to 2 Hours",TRUE,"More Than 2 Hours")</f>
        <v>1 to 2 Hours</v>
      </c>
      <c r="K138" s="82">
        <f>ROUND(TABLE_PIVOT[[#This Row],[Satisfaction Rating]],0)</f>
        <v>5</v>
      </c>
    </row>
    <row r="139" spans="1:11" x14ac:dyDescent="0.3">
      <c r="A139" s="8" t="s">
        <v>1765</v>
      </c>
      <c r="B139" s="8" t="s">
        <v>1641</v>
      </c>
      <c r="C139" s="8">
        <v>62</v>
      </c>
      <c r="D139" s="120" t="s">
        <v>1611</v>
      </c>
      <c r="E139" s="121">
        <v>44982</v>
      </c>
      <c r="F139" s="8">
        <v>21</v>
      </c>
      <c r="G139" s="8">
        <v>2.6</v>
      </c>
      <c r="H139" s="82">
        <f>IF(MONTH(TABLE_PIVOT[[#This Row],[Date of Call]])&lt;=6,YEAR(TABLE_PIVOT[[#This Row],[Date of Call]]),YEAR(TABLE_PIVOT[[#This Row],[Date of Call]])+1)</f>
        <v>2023</v>
      </c>
      <c r="I139" s="82" t="str">
        <f>TEXT(TABLE_PIVOT[[#This Row],[Date of Call]],"DDDD")</f>
        <v>Saturday</v>
      </c>
      <c r="J139" s="82" t="str" cm="1">
        <f t="array" ref="J139">_xlfn.IFS(TABLE_PIVOT[[#This Row],[Duration]]&lt;=10,"Under 10 Mins",TABLE_PIVOT[[#This Row],[Duration]]&lt;=30,"10 to 30 Mins",TABLE_PIVOT[[#This Row],[Duration]]&lt;=60,"30 to 60 Mins",TABLE_PIVOT[[#This Row],[Duration]]&lt;=120,"1 to 2 Hours",TRUE,"More Than 2 Hours")</f>
        <v>1 to 2 Hours</v>
      </c>
      <c r="K139" s="82">
        <f>ROUND(TABLE_PIVOT[[#This Row],[Satisfaction Rating]],0)</f>
        <v>3</v>
      </c>
    </row>
    <row r="140" spans="1:11" x14ac:dyDescent="0.3">
      <c r="A140" s="8" t="s">
        <v>1766</v>
      </c>
      <c r="B140" s="8" t="s">
        <v>1662</v>
      </c>
      <c r="C140" s="8">
        <v>151</v>
      </c>
      <c r="D140" s="120" t="s">
        <v>1626</v>
      </c>
      <c r="E140" s="121">
        <v>44983</v>
      </c>
      <c r="F140" s="8">
        <v>46</v>
      </c>
      <c r="G140" s="8">
        <v>4.9000000000000004</v>
      </c>
      <c r="H140" s="82">
        <f>IF(MONTH(TABLE_PIVOT[[#This Row],[Date of Call]])&lt;=6,YEAR(TABLE_PIVOT[[#This Row],[Date of Call]]),YEAR(TABLE_PIVOT[[#This Row],[Date of Call]])+1)</f>
        <v>2023</v>
      </c>
      <c r="I140" s="82" t="str">
        <f>TEXT(TABLE_PIVOT[[#This Row],[Date of Call]],"DDDD")</f>
        <v>Sunday</v>
      </c>
      <c r="J140" s="82" t="str" cm="1">
        <f t="array" ref="J140">_xlfn.IFS(TABLE_PIVOT[[#This Row],[Duration]]&lt;=10,"Under 10 Mins",TABLE_PIVOT[[#This Row],[Duration]]&lt;=30,"10 to 30 Mins",TABLE_PIVOT[[#This Row],[Duration]]&lt;=60,"30 to 60 Mins",TABLE_PIVOT[[#This Row],[Duration]]&lt;=120,"1 to 2 Hours",TRUE,"More Than 2 Hours")</f>
        <v>More Than 2 Hours</v>
      </c>
      <c r="K140" s="82">
        <f>ROUND(TABLE_PIVOT[[#This Row],[Satisfaction Rating]],0)</f>
        <v>5</v>
      </c>
    </row>
    <row r="141" spans="1:11" x14ac:dyDescent="0.3">
      <c r="A141" s="8" t="s">
        <v>1767</v>
      </c>
      <c r="B141" s="8" t="s">
        <v>1652</v>
      </c>
      <c r="C141" s="8">
        <v>102</v>
      </c>
      <c r="D141" s="120" t="s">
        <v>1621</v>
      </c>
      <c r="E141" s="121">
        <v>44983</v>
      </c>
      <c r="F141" s="8">
        <v>165</v>
      </c>
      <c r="G141" s="8">
        <v>2.7</v>
      </c>
      <c r="H141" s="82">
        <f>IF(MONTH(TABLE_PIVOT[[#This Row],[Date of Call]])&lt;=6,YEAR(TABLE_PIVOT[[#This Row],[Date of Call]]),YEAR(TABLE_PIVOT[[#This Row],[Date of Call]])+1)</f>
        <v>2023</v>
      </c>
      <c r="I141" s="82" t="str">
        <f>TEXT(TABLE_PIVOT[[#This Row],[Date of Call]],"DDDD")</f>
        <v>Sunday</v>
      </c>
      <c r="J141" s="82" t="str" cm="1">
        <f t="array" ref="J141">_xlfn.IFS(TABLE_PIVOT[[#This Row],[Duration]]&lt;=10,"Under 10 Mins",TABLE_PIVOT[[#This Row],[Duration]]&lt;=30,"10 to 30 Mins",TABLE_PIVOT[[#This Row],[Duration]]&lt;=60,"30 to 60 Mins",TABLE_PIVOT[[#This Row],[Duration]]&lt;=120,"1 to 2 Hours",TRUE,"More Than 2 Hours")</f>
        <v>1 to 2 Hours</v>
      </c>
      <c r="K141" s="82">
        <f>ROUND(TABLE_PIVOT[[#This Row],[Satisfaction Rating]],0)</f>
        <v>3</v>
      </c>
    </row>
    <row r="142" spans="1:11" x14ac:dyDescent="0.3">
      <c r="A142" s="8" t="s">
        <v>1768</v>
      </c>
      <c r="B142" s="8" t="s">
        <v>1644</v>
      </c>
      <c r="C142" s="8">
        <v>64</v>
      </c>
      <c r="D142" s="120" t="s">
        <v>1611</v>
      </c>
      <c r="E142" s="121">
        <v>44983</v>
      </c>
      <c r="F142" s="8">
        <v>84</v>
      </c>
      <c r="G142" s="8">
        <v>4.0999999999999996</v>
      </c>
      <c r="H142" s="82">
        <f>IF(MONTH(TABLE_PIVOT[[#This Row],[Date of Call]])&lt;=6,YEAR(TABLE_PIVOT[[#This Row],[Date of Call]]),YEAR(TABLE_PIVOT[[#This Row],[Date of Call]])+1)</f>
        <v>2023</v>
      </c>
      <c r="I142" s="82" t="str">
        <f>TEXT(TABLE_PIVOT[[#This Row],[Date of Call]],"DDDD")</f>
        <v>Sunday</v>
      </c>
      <c r="J142" s="82" t="str" cm="1">
        <f t="array" ref="J142">_xlfn.IFS(TABLE_PIVOT[[#This Row],[Duration]]&lt;=10,"Under 10 Mins",TABLE_PIVOT[[#This Row],[Duration]]&lt;=30,"10 to 30 Mins",TABLE_PIVOT[[#This Row],[Duration]]&lt;=60,"30 to 60 Mins",TABLE_PIVOT[[#This Row],[Duration]]&lt;=120,"1 to 2 Hours",TRUE,"More Than 2 Hours")</f>
        <v>1 to 2 Hours</v>
      </c>
      <c r="K142" s="82">
        <f>ROUND(TABLE_PIVOT[[#This Row],[Satisfaction Rating]],0)</f>
        <v>4</v>
      </c>
    </row>
    <row r="143" spans="1:11" x14ac:dyDescent="0.3">
      <c r="A143" s="8" t="s">
        <v>1769</v>
      </c>
      <c r="B143" s="8" t="s">
        <v>1613</v>
      </c>
      <c r="C143" s="8">
        <v>6</v>
      </c>
      <c r="D143" s="120" t="s">
        <v>1621</v>
      </c>
      <c r="E143" s="121">
        <v>44984</v>
      </c>
      <c r="F143" s="8">
        <v>102</v>
      </c>
      <c r="G143" s="8">
        <v>4.4000000000000004</v>
      </c>
      <c r="H143" s="82">
        <f>IF(MONTH(TABLE_PIVOT[[#This Row],[Date of Call]])&lt;=6,YEAR(TABLE_PIVOT[[#This Row],[Date of Call]]),YEAR(TABLE_PIVOT[[#This Row],[Date of Call]])+1)</f>
        <v>2023</v>
      </c>
      <c r="I143" s="82" t="str">
        <f>TEXT(TABLE_PIVOT[[#This Row],[Date of Call]],"DDDD")</f>
        <v>Monday</v>
      </c>
      <c r="J143" s="82" t="str" cm="1">
        <f t="array" ref="J143">_xlfn.IFS(TABLE_PIVOT[[#This Row],[Duration]]&lt;=10,"Under 10 Mins",TABLE_PIVOT[[#This Row],[Duration]]&lt;=30,"10 to 30 Mins",TABLE_PIVOT[[#This Row],[Duration]]&lt;=60,"30 to 60 Mins",TABLE_PIVOT[[#This Row],[Duration]]&lt;=120,"1 to 2 Hours",TRUE,"More Than 2 Hours")</f>
        <v>Under 10 Mins</v>
      </c>
      <c r="K143" s="82">
        <f>ROUND(TABLE_PIVOT[[#This Row],[Satisfaction Rating]],0)</f>
        <v>4</v>
      </c>
    </row>
    <row r="144" spans="1:11" x14ac:dyDescent="0.3">
      <c r="A144" s="8" t="s">
        <v>1770</v>
      </c>
      <c r="B144" s="8" t="s">
        <v>1644</v>
      </c>
      <c r="C144" s="8">
        <v>129</v>
      </c>
      <c r="D144" s="120" t="s">
        <v>1611</v>
      </c>
      <c r="E144" s="121">
        <v>44984</v>
      </c>
      <c r="F144" s="8">
        <v>180</v>
      </c>
      <c r="G144" s="8">
        <v>4.8</v>
      </c>
      <c r="H144" s="82">
        <f>IF(MONTH(TABLE_PIVOT[[#This Row],[Date of Call]])&lt;=6,YEAR(TABLE_PIVOT[[#This Row],[Date of Call]]),YEAR(TABLE_PIVOT[[#This Row],[Date of Call]])+1)</f>
        <v>2023</v>
      </c>
      <c r="I144" s="82" t="str">
        <f>TEXT(TABLE_PIVOT[[#This Row],[Date of Call]],"DDDD")</f>
        <v>Monday</v>
      </c>
      <c r="J144" s="82" t="str" cm="1">
        <f t="array" ref="J144">_xlfn.IFS(TABLE_PIVOT[[#This Row],[Duration]]&lt;=10,"Under 10 Mins",TABLE_PIVOT[[#This Row],[Duration]]&lt;=30,"10 to 30 Mins",TABLE_PIVOT[[#This Row],[Duration]]&lt;=60,"30 to 60 Mins",TABLE_PIVOT[[#This Row],[Duration]]&lt;=120,"1 to 2 Hours",TRUE,"More Than 2 Hours")</f>
        <v>More Than 2 Hours</v>
      </c>
      <c r="K144" s="82">
        <f>ROUND(TABLE_PIVOT[[#This Row],[Satisfaction Rating]],0)</f>
        <v>5</v>
      </c>
    </row>
    <row r="145" spans="1:11" x14ac:dyDescent="0.3">
      <c r="A145" s="8" t="s">
        <v>1771</v>
      </c>
      <c r="B145" s="8" t="s">
        <v>1641</v>
      </c>
      <c r="C145" s="8">
        <v>42</v>
      </c>
      <c r="D145" s="120" t="s">
        <v>1626</v>
      </c>
      <c r="E145" s="121">
        <v>44985</v>
      </c>
      <c r="F145" s="8">
        <v>111</v>
      </c>
      <c r="G145" s="8">
        <v>3</v>
      </c>
      <c r="H145" s="82">
        <f>IF(MONTH(TABLE_PIVOT[[#This Row],[Date of Call]])&lt;=6,YEAR(TABLE_PIVOT[[#This Row],[Date of Call]]),YEAR(TABLE_PIVOT[[#This Row],[Date of Call]])+1)</f>
        <v>2023</v>
      </c>
      <c r="I145" s="82" t="str">
        <f>TEXT(TABLE_PIVOT[[#This Row],[Date of Call]],"DDDD")</f>
        <v>Tuesday</v>
      </c>
      <c r="J145" s="82" t="str" cm="1">
        <f t="array" ref="J145">_xlfn.IFS(TABLE_PIVOT[[#This Row],[Duration]]&lt;=10,"Under 10 Mins",TABLE_PIVOT[[#This Row],[Duration]]&lt;=30,"10 to 30 Mins",TABLE_PIVOT[[#This Row],[Duration]]&lt;=60,"30 to 60 Mins",TABLE_PIVOT[[#This Row],[Duration]]&lt;=120,"1 to 2 Hours",TRUE,"More Than 2 Hours")</f>
        <v>30 to 60 Mins</v>
      </c>
      <c r="K145" s="82">
        <f>ROUND(TABLE_PIVOT[[#This Row],[Satisfaction Rating]],0)</f>
        <v>3</v>
      </c>
    </row>
    <row r="146" spans="1:11" x14ac:dyDescent="0.3">
      <c r="A146" s="8" t="s">
        <v>1772</v>
      </c>
      <c r="B146" s="8" t="s">
        <v>1641</v>
      </c>
      <c r="C146" s="8">
        <v>71</v>
      </c>
      <c r="D146" s="120" t="s">
        <v>1630</v>
      </c>
      <c r="E146" s="121">
        <v>44985</v>
      </c>
      <c r="F146" s="8">
        <v>104</v>
      </c>
      <c r="G146" s="8">
        <v>3.1</v>
      </c>
      <c r="H146" s="82">
        <f>IF(MONTH(TABLE_PIVOT[[#This Row],[Date of Call]])&lt;=6,YEAR(TABLE_PIVOT[[#This Row],[Date of Call]]),YEAR(TABLE_PIVOT[[#This Row],[Date of Call]])+1)</f>
        <v>2023</v>
      </c>
      <c r="I146" s="82" t="str">
        <f>TEXT(TABLE_PIVOT[[#This Row],[Date of Call]],"DDDD")</f>
        <v>Tuesday</v>
      </c>
      <c r="J146" s="82" t="str" cm="1">
        <f t="array" ref="J146">_xlfn.IFS(TABLE_PIVOT[[#This Row],[Duration]]&lt;=10,"Under 10 Mins",TABLE_PIVOT[[#This Row],[Duration]]&lt;=30,"10 to 30 Mins",TABLE_PIVOT[[#This Row],[Duration]]&lt;=60,"30 to 60 Mins",TABLE_PIVOT[[#This Row],[Duration]]&lt;=120,"1 to 2 Hours",TRUE,"More Than 2 Hours")</f>
        <v>1 to 2 Hours</v>
      </c>
      <c r="K146" s="82">
        <f>ROUND(TABLE_PIVOT[[#This Row],[Satisfaction Rating]],0)</f>
        <v>3</v>
      </c>
    </row>
    <row r="147" spans="1:11" x14ac:dyDescent="0.3">
      <c r="A147" s="8" t="s">
        <v>1773</v>
      </c>
      <c r="B147" s="8" t="s">
        <v>1615</v>
      </c>
      <c r="C147" s="8">
        <v>53</v>
      </c>
      <c r="D147" s="120" t="s">
        <v>1621</v>
      </c>
      <c r="E147" s="121">
        <v>44985</v>
      </c>
      <c r="F147" s="8">
        <v>80</v>
      </c>
      <c r="G147" s="8">
        <v>2.6</v>
      </c>
      <c r="H147" s="82">
        <f>IF(MONTH(TABLE_PIVOT[[#This Row],[Date of Call]])&lt;=6,YEAR(TABLE_PIVOT[[#This Row],[Date of Call]]),YEAR(TABLE_PIVOT[[#This Row],[Date of Call]])+1)</f>
        <v>2023</v>
      </c>
      <c r="I147" s="82" t="str">
        <f>TEXT(TABLE_PIVOT[[#This Row],[Date of Call]],"DDDD")</f>
        <v>Tuesday</v>
      </c>
      <c r="J147" s="82" t="str" cm="1">
        <f t="array" ref="J147">_xlfn.IFS(TABLE_PIVOT[[#This Row],[Duration]]&lt;=10,"Under 10 Mins",TABLE_PIVOT[[#This Row],[Duration]]&lt;=30,"10 to 30 Mins",TABLE_PIVOT[[#This Row],[Duration]]&lt;=60,"30 to 60 Mins",TABLE_PIVOT[[#This Row],[Duration]]&lt;=120,"1 to 2 Hours",TRUE,"More Than 2 Hours")</f>
        <v>30 to 60 Mins</v>
      </c>
      <c r="K147" s="82">
        <f>ROUND(TABLE_PIVOT[[#This Row],[Satisfaction Rating]],0)</f>
        <v>3</v>
      </c>
    </row>
    <row r="148" spans="1:11" x14ac:dyDescent="0.3">
      <c r="A148" s="8" t="s">
        <v>1774</v>
      </c>
      <c r="B148" s="8" t="s">
        <v>1620</v>
      </c>
      <c r="C148" s="8">
        <v>155</v>
      </c>
      <c r="D148" s="120" t="s">
        <v>1630</v>
      </c>
      <c r="E148" s="121">
        <v>44986</v>
      </c>
      <c r="F148" s="8">
        <v>132</v>
      </c>
      <c r="G148" s="8">
        <v>4.5999999999999996</v>
      </c>
      <c r="H148" s="82">
        <f>IF(MONTH(TABLE_PIVOT[[#This Row],[Date of Call]])&lt;=6,YEAR(TABLE_PIVOT[[#This Row],[Date of Call]]),YEAR(TABLE_PIVOT[[#This Row],[Date of Call]])+1)</f>
        <v>2023</v>
      </c>
      <c r="I148" s="82" t="str">
        <f>TEXT(TABLE_PIVOT[[#This Row],[Date of Call]],"DDDD")</f>
        <v>Wednesday</v>
      </c>
      <c r="J148" s="82" t="str" cm="1">
        <f t="array" ref="J148">_xlfn.IFS(TABLE_PIVOT[[#This Row],[Duration]]&lt;=10,"Under 10 Mins",TABLE_PIVOT[[#This Row],[Duration]]&lt;=30,"10 to 30 Mins",TABLE_PIVOT[[#This Row],[Duration]]&lt;=60,"30 to 60 Mins",TABLE_PIVOT[[#This Row],[Duration]]&lt;=120,"1 to 2 Hours",TRUE,"More Than 2 Hours")</f>
        <v>More Than 2 Hours</v>
      </c>
      <c r="K148" s="82">
        <f>ROUND(TABLE_PIVOT[[#This Row],[Satisfaction Rating]],0)</f>
        <v>5</v>
      </c>
    </row>
    <row r="149" spans="1:11" x14ac:dyDescent="0.3">
      <c r="A149" s="8" t="s">
        <v>1775</v>
      </c>
      <c r="B149" s="8" t="s">
        <v>1620</v>
      </c>
      <c r="C149" s="8">
        <v>90</v>
      </c>
      <c r="D149" s="120" t="s">
        <v>1626</v>
      </c>
      <c r="E149" s="121">
        <v>44986</v>
      </c>
      <c r="F149" s="8">
        <v>170</v>
      </c>
      <c r="G149" s="8">
        <v>3.7</v>
      </c>
      <c r="H149" s="82">
        <f>IF(MONTH(TABLE_PIVOT[[#This Row],[Date of Call]])&lt;=6,YEAR(TABLE_PIVOT[[#This Row],[Date of Call]]),YEAR(TABLE_PIVOT[[#This Row],[Date of Call]])+1)</f>
        <v>2023</v>
      </c>
      <c r="I149" s="82" t="str">
        <f>TEXT(TABLE_PIVOT[[#This Row],[Date of Call]],"DDDD")</f>
        <v>Wednesday</v>
      </c>
      <c r="J149" s="82" t="str" cm="1">
        <f t="array" ref="J149">_xlfn.IFS(TABLE_PIVOT[[#This Row],[Duration]]&lt;=10,"Under 10 Mins",TABLE_PIVOT[[#This Row],[Duration]]&lt;=30,"10 to 30 Mins",TABLE_PIVOT[[#This Row],[Duration]]&lt;=60,"30 to 60 Mins",TABLE_PIVOT[[#This Row],[Duration]]&lt;=120,"1 to 2 Hours",TRUE,"More Than 2 Hours")</f>
        <v>1 to 2 Hours</v>
      </c>
      <c r="K149" s="82">
        <f>ROUND(TABLE_PIVOT[[#This Row],[Satisfaction Rating]],0)</f>
        <v>4</v>
      </c>
    </row>
    <row r="150" spans="1:11" x14ac:dyDescent="0.3">
      <c r="A150" s="8" t="s">
        <v>1776</v>
      </c>
      <c r="B150" s="8" t="s">
        <v>1644</v>
      </c>
      <c r="C150" s="8">
        <v>166</v>
      </c>
      <c r="D150" s="120" t="s">
        <v>1616</v>
      </c>
      <c r="E150" s="121">
        <v>44986</v>
      </c>
      <c r="F150" s="8">
        <v>36</v>
      </c>
      <c r="G150" s="8">
        <v>3.8</v>
      </c>
      <c r="H150" s="82">
        <f>IF(MONTH(TABLE_PIVOT[[#This Row],[Date of Call]])&lt;=6,YEAR(TABLE_PIVOT[[#This Row],[Date of Call]]),YEAR(TABLE_PIVOT[[#This Row],[Date of Call]])+1)</f>
        <v>2023</v>
      </c>
      <c r="I150" s="82" t="str">
        <f>TEXT(TABLE_PIVOT[[#This Row],[Date of Call]],"DDDD")</f>
        <v>Wednesday</v>
      </c>
      <c r="J150" s="82" t="str" cm="1">
        <f t="array" ref="J150">_xlfn.IFS(TABLE_PIVOT[[#This Row],[Duration]]&lt;=10,"Under 10 Mins",TABLE_PIVOT[[#This Row],[Duration]]&lt;=30,"10 to 30 Mins",TABLE_PIVOT[[#This Row],[Duration]]&lt;=60,"30 to 60 Mins",TABLE_PIVOT[[#This Row],[Duration]]&lt;=120,"1 to 2 Hours",TRUE,"More Than 2 Hours")</f>
        <v>More Than 2 Hours</v>
      </c>
      <c r="K150" s="82">
        <f>ROUND(TABLE_PIVOT[[#This Row],[Satisfaction Rating]],0)</f>
        <v>4</v>
      </c>
    </row>
    <row r="151" spans="1:11" x14ac:dyDescent="0.3">
      <c r="A151" s="8" t="s">
        <v>1777</v>
      </c>
      <c r="B151" s="8" t="s">
        <v>1635</v>
      </c>
      <c r="C151" s="8">
        <v>89</v>
      </c>
      <c r="D151" s="120" t="s">
        <v>1630</v>
      </c>
      <c r="E151" s="121">
        <v>44986</v>
      </c>
      <c r="F151" s="8">
        <v>126</v>
      </c>
      <c r="G151" s="8">
        <v>3.6</v>
      </c>
      <c r="H151" s="82">
        <f>IF(MONTH(TABLE_PIVOT[[#This Row],[Date of Call]])&lt;=6,YEAR(TABLE_PIVOT[[#This Row],[Date of Call]]),YEAR(TABLE_PIVOT[[#This Row],[Date of Call]])+1)</f>
        <v>2023</v>
      </c>
      <c r="I151" s="82" t="str">
        <f>TEXT(TABLE_PIVOT[[#This Row],[Date of Call]],"DDDD")</f>
        <v>Wednesday</v>
      </c>
      <c r="J151" s="82" t="str" cm="1">
        <f t="array" ref="J151">_xlfn.IFS(TABLE_PIVOT[[#This Row],[Duration]]&lt;=10,"Under 10 Mins",TABLE_PIVOT[[#This Row],[Duration]]&lt;=30,"10 to 30 Mins",TABLE_PIVOT[[#This Row],[Duration]]&lt;=60,"30 to 60 Mins",TABLE_PIVOT[[#This Row],[Duration]]&lt;=120,"1 to 2 Hours",TRUE,"More Than 2 Hours")</f>
        <v>1 to 2 Hours</v>
      </c>
      <c r="K151" s="82">
        <f>ROUND(TABLE_PIVOT[[#This Row],[Satisfaction Rating]],0)</f>
        <v>4</v>
      </c>
    </row>
    <row r="152" spans="1:11" x14ac:dyDescent="0.3">
      <c r="A152" s="8" t="s">
        <v>1778</v>
      </c>
      <c r="B152" s="8" t="s">
        <v>1649</v>
      </c>
      <c r="C152" s="8">
        <v>152</v>
      </c>
      <c r="D152" s="120" t="s">
        <v>1621</v>
      </c>
      <c r="E152" s="121">
        <v>44986</v>
      </c>
      <c r="F152" s="8">
        <v>215</v>
      </c>
      <c r="G152" s="8">
        <v>4.4000000000000004</v>
      </c>
      <c r="H152" s="82">
        <f>IF(MONTH(TABLE_PIVOT[[#This Row],[Date of Call]])&lt;=6,YEAR(TABLE_PIVOT[[#This Row],[Date of Call]]),YEAR(TABLE_PIVOT[[#This Row],[Date of Call]])+1)</f>
        <v>2023</v>
      </c>
      <c r="I152" s="82" t="str">
        <f>TEXT(TABLE_PIVOT[[#This Row],[Date of Call]],"DDDD")</f>
        <v>Wednesday</v>
      </c>
      <c r="J152" s="82" t="str" cm="1">
        <f t="array" ref="J152">_xlfn.IFS(TABLE_PIVOT[[#This Row],[Duration]]&lt;=10,"Under 10 Mins",TABLE_PIVOT[[#This Row],[Duration]]&lt;=30,"10 to 30 Mins",TABLE_PIVOT[[#This Row],[Duration]]&lt;=60,"30 to 60 Mins",TABLE_PIVOT[[#This Row],[Duration]]&lt;=120,"1 to 2 Hours",TRUE,"More Than 2 Hours")</f>
        <v>More Than 2 Hours</v>
      </c>
      <c r="K152" s="82">
        <f>ROUND(TABLE_PIVOT[[#This Row],[Satisfaction Rating]],0)</f>
        <v>4</v>
      </c>
    </row>
    <row r="153" spans="1:11" x14ac:dyDescent="0.3">
      <c r="A153" s="8" t="s">
        <v>1779</v>
      </c>
      <c r="B153" s="8" t="s">
        <v>1635</v>
      </c>
      <c r="C153" s="8">
        <v>137</v>
      </c>
      <c r="D153" s="120" t="s">
        <v>1626</v>
      </c>
      <c r="E153" s="121">
        <v>44986</v>
      </c>
      <c r="F153" s="8">
        <v>114</v>
      </c>
      <c r="G153" s="8">
        <v>3.2</v>
      </c>
      <c r="H153" s="82">
        <f>IF(MONTH(TABLE_PIVOT[[#This Row],[Date of Call]])&lt;=6,YEAR(TABLE_PIVOT[[#This Row],[Date of Call]]),YEAR(TABLE_PIVOT[[#This Row],[Date of Call]])+1)</f>
        <v>2023</v>
      </c>
      <c r="I153" s="82" t="str">
        <f>TEXT(TABLE_PIVOT[[#This Row],[Date of Call]],"DDDD")</f>
        <v>Wednesday</v>
      </c>
      <c r="J153" s="82" t="str" cm="1">
        <f t="array" ref="J153">_xlfn.IFS(TABLE_PIVOT[[#This Row],[Duration]]&lt;=10,"Under 10 Mins",TABLE_PIVOT[[#This Row],[Duration]]&lt;=30,"10 to 30 Mins",TABLE_PIVOT[[#This Row],[Duration]]&lt;=60,"30 to 60 Mins",TABLE_PIVOT[[#This Row],[Duration]]&lt;=120,"1 to 2 Hours",TRUE,"More Than 2 Hours")</f>
        <v>More Than 2 Hours</v>
      </c>
      <c r="K153" s="82">
        <f>ROUND(TABLE_PIVOT[[#This Row],[Satisfaction Rating]],0)</f>
        <v>3</v>
      </c>
    </row>
    <row r="154" spans="1:11" x14ac:dyDescent="0.3">
      <c r="A154" s="8" t="s">
        <v>1780</v>
      </c>
      <c r="B154" s="8" t="s">
        <v>1635</v>
      </c>
      <c r="C154" s="8">
        <v>43</v>
      </c>
      <c r="D154" s="120" t="s">
        <v>1626</v>
      </c>
      <c r="E154" s="121">
        <v>44986</v>
      </c>
      <c r="F154" s="8">
        <v>99</v>
      </c>
      <c r="G154" s="8">
        <v>4.7</v>
      </c>
      <c r="H154" s="82">
        <f>IF(MONTH(TABLE_PIVOT[[#This Row],[Date of Call]])&lt;=6,YEAR(TABLE_PIVOT[[#This Row],[Date of Call]]),YEAR(TABLE_PIVOT[[#This Row],[Date of Call]])+1)</f>
        <v>2023</v>
      </c>
      <c r="I154" s="82" t="str">
        <f>TEXT(TABLE_PIVOT[[#This Row],[Date of Call]],"DDDD")</f>
        <v>Wednesday</v>
      </c>
      <c r="J154" s="82" t="str" cm="1">
        <f t="array" ref="J154">_xlfn.IFS(TABLE_PIVOT[[#This Row],[Duration]]&lt;=10,"Under 10 Mins",TABLE_PIVOT[[#This Row],[Duration]]&lt;=30,"10 to 30 Mins",TABLE_PIVOT[[#This Row],[Duration]]&lt;=60,"30 to 60 Mins",TABLE_PIVOT[[#This Row],[Duration]]&lt;=120,"1 to 2 Hours",TRUE,"More Than 2 Hours")</f>
        <v>30 to 60 Mins</v>
      </c>
      <c r="K154" s="82">
        <f>ROUND(TABLE_PIVOT[[#This Row],[Satisfaction Rating]],0)</f>
        <v>5</v>
      </c>
    </row>
    <row r="155" spans="1:11" x14ac:dyDescent="0.3">
      <c r="A155" s="8" t="s">
        <v>1781</v>
      </c>
      <c r="B155" s="8" t="s">
        <v>1629</v>
      </c>
      <c r="C155" s="8">
        <v>114</v>
      </c>
      <c r="D155" s="120" t="s">
        <v>1626</v>
      </c>
      <c r="E155" s="121">
        <v>44987</v>
      </c>
      <c r="F155" s="8">
        <v>23</v>
      </c>
      <c r="G155" s="8">
        <v>4.8</v>
      </c>
      <c r="H155" s="82">
        <f>IF(MONTH(TABLE_PIVOT[[#This Row],[Date of Call]])&lt;=6,YEAR(TABLE_PIVOT[[#This Row],[Date of Call]]),YEAR(TABLE_PIVOT[[#This Row],[Date of Call]])+1)</f>
        <v>2023</v>
      </c>
      <c r="I155" s="82" t="str">
        <f>TEXT(TABLE_PIVOT[[#This Row],[Date of Call]],"DDDD")</f>
        <v>Thursday</v>
      </c>
      <c r="J155" s="82" t="str" cm="1">
        <f t="array" ref="J155">_xlfn.IFS(TABLE_PIVOT[[#This Row],[Duration]]&lt;=10,"Under 10 Mins",TABLE_PIVOT[[#This Row],[Duration]]&lt;=30,"10 to 30 Mins",TABLE_PIVOT[[#This Row],[Duration]]&lt;=60,"30 to 60 Mins",TABLE_PIVOT[[#This Row],[Duration]]&lt;=120,"1 to 2 Hours",TRUE,"More Than 2 Hours")</f>
        <v>1 to 2 Hours</v>
      </c>
      <c r="K155" s="82">
        <f>ROUND(TABLE_PIVOT[[#This Row],[Satisfaction Rating]],0)</f>
        <v>5</v>
      </c>
    </row>
    <row r="156" spans="1:11" x14ac:dyDescent="0.3">
      <c r="A156" s="8" t="s">
        <v>1782</v>
      </c>
      <c r="B156" s="8" t="s">
        <v>1618</v>
      </c>
      <c r="C156" s="8">
        <v>103</v>
      </c>
      <c r="D156" s="120" t="s">
        <v>1630</v>
      </c>
      <c r="E156" s="121">
        <v>44987</v>
      </c>
      <c r="F156" s="8">
        <v>75</v>
      </c>
      <c r="G156" s="8">
        <v>2.7</v>
      </c>
      <c r="H156" s="82">
        <f>IF(MONTH(TABLE_PIVOT[[#This Row],[Date of Call]])&lt;=6,YEAR(TABLE_PIVOT[[#This Row],[Date of Call]]),YEAR(TABLE_PIVOT[[#This Row],[Date of Call]])+1)</f>
        <v>2023</v>
      </c>
      <c r="I156" s="82" t="str">
        <f>TEXT(TABLE_PIVOT[[#This Row],[Date of Call]],"DDDD")</f>
        <v>Thursday</v>
      </c>
      <c r="J156" s="82" t="str" cm="1">
        <f t="array" ref="J156">_xlfn.IFS(TABLE_PIVOT[[#This Row],[Duration]]&lt;=10,"Under 10 Mins",TABLE_PIVOT[[#This Row],[Duration]]&lt;=30,"10 to 30 Mins",TABLE_PIVOT[[#This Row],[Duration]]&lt;=60,"30 to 60 Mins",TABLE_PIVOT[[#This Row],[Duration]]&lt;=120,"1 to 2 Hours",TRUE,"More Than 2 Hours")</f>
        <v>1 to 2 Hours</v>
      </c>
      <c r="K156" s="82">
        <f>ROUND(TABLE_PIVOT[[#This Row],[Satisfaction Rating]],0)</f>
        <v>3</v>
      </c>
    </row>
    <row r="157" spans="1:11" x14ac:dyDescent="0.3">
      <c r="A157" s="8" t="s">
        <v>1783</v>
      </c>
      <c r="B157" s="8" t="s">
        <v>1635</v>
      </c>
      <c r="C157" s="8">
        <v>98</v>
      </c>
      <c r="D157" s="120" t="s">
        <v>1621</v>
      </c>
      <c r="E157" s="121">
        <v>44987</v>
      </c>
      <c r="F157" s="8">
        <v>100</v>
      </c>
      <c r="G157" s="8">
        <v>3.8</v>
      </c>
      <c r="H157" s="82">
        <f>IF(MONTH(TABLE_PIVOT[[#This Row],[Date of Call]])&lt;=6,YEAR(TABLE_PIVOT[[#This Row],[Date of Call]]),YEAR(TABLE_PIVOT[[#This Row],[Date of Call]])+1)</f>
        <v>2023</v>
      </c>
      <c r="I157" s="82" t="str">
        <f>TEXT(TABLE_PIVOT[[#This Row],[Date of Call]],"DDDD")</f>
        <v>Thursday</v>
      </c>
      <c r="J157" s="82" t="str" cm="1">
        <f t="array" ref="J157">_xlfn.IFS(TABLE_PIVOT[[#This Row],[Duration]]&lt;=10,"Under 10 Mins",TABLE_PIVOT[[#This Row],[Duration]]&lt;=30,"10 to 30 Mins",TABLE_PIVOT[[#This Row],[Duration]]&lt;=60,"30 to 60 Mins",TABLE_PIVOT[[#This Row],[Duration]]&lt;=120,"1 to 2 Hours",TRUE,"More Than 2 Hours")</f>
        <v>1 to 2 Hours</v>
      </c>
      <c r="K157" s="82">
        <f>ROUND(TABLE_PIVOT[[#This Row],[Satisfaction Rating]],0)</f>
        <v>4</v>
      </c>
    </row>
    <row r="158" spans="1:11" x14ac:dyDescent="0.3">
      <c r="A158" s="8" t="s">
        <v>1784</v>
      </c>
      <c r="B158" s="8" t="s">
        <v>1644</v>
      </c>
      <c r="C158" s="8">
        <v>106</v>
      </c>
      <c r="D158" s="120" t="s">
        <v>1616</v>
      </c>
      <c r="E158" s="121">
        <v>44987</v>
      </c>
      <c r="F158" s="8">
        <v>108</v>
      </c>
      <c r="G158" s="8">
        <v>4.3</v>
      </c>
      <c r="H158" s="82">
        <f>IF(MONTH(TABLE_PIVOT[[#This Row],[Date of Call]])&lt;=6,YEAR(TABLE_PIVOT[[#This Row],[Date of Call]]),YEAR(TABLE_PIVOT[[#This Row],[Date of Call]])+1)</f>
        <v>2023</v>
      </c>
      <c r="I158" s="82" t="str">
        <f>TEXT(TABLE_PIVOT[[#This Row],[Date of Call]],"DDDD")</f>
        <v>Thursday</v>
      </c>
      <c r="J158" s="82" t="str" cm="1">
        <f t="array" ref="J158">_xlfn.IFS(TABLE_PIVOT[[#This Row],[Duration]]&lt;=10,"Under 10 Mins",TABLE_PIVOT[[#This Row],[Duration]]&lt;=30,"10 to 30 Mins",TABLE_PIVOT[[#This Row],[Duration]]&lt;=60,"30 to 60 Mins",TABLE_PIVOT[[#This Row],[Duration]]&lt;=120,"1 to 2 Hours",TRUE,"More Than 2 Hours")</f>
        <v>1 to 2 Hours</v>
      </c>
      <c r="K158" s="82">
        <f>ROUND(TABLE_PIVOT[[#This Row],[Satisfaction Rating]],0)</f>
        <v>4</v>
      </c>
    </row>
    <row r="159" spans="1:11" x14ac:dyDescent="0.3">
      <c r="A159" s="8" t="s">
        <v>1785</v>
      </c>
      <c r="B159" s="8" t="s">
        <v>1613</v>
      </c>
      <c r="C159" s="8">
        <v>96</v>
      </c>
      <c r="D159" s="120" t="s">
        <v>1616</v>
      </c>
      <c r="E159" s="121">
        <v>44987</v>
      </c>
      <c r="F159" s="8">
        <v>108</v>
      </c>
      <c r="G159" s="8">
        <v>5</v>
      </c>
      <c r="H159" s="82">
        <f>IF(MONTH(TABLE_PIVOT[[#This Row],[Date of Call]])&lt;=6,YEAR(TABLE_PIVOT[[#This Row],[Date of Call]]),YEAR(TABLE_PIVOT[[#This Row],[Date of Call]])+1)</f>
        <v>2023</v>
      </c>
      <c r="I159" s="82" t="str">
        <f>TEXT(TABLE_PIVOT[[#This Row],[Date of Call]],"DDDD")</f>
        <v>Thursday</v>
      </c>
      <c r="J159" s="82" t="str" cm="1">
        <f t="array" ref="J159">_xlfn.IFS(TABLE_PIVOT[[#This Row],[Duration]]&lt;=10,"Under 10 Mins",TABLE_PIVOT[[#This Row],[Duration]]&lt;=30,"10 to 30 Mins",TABLE_PIVOT[[#This Row],[Duration]]&lt;=60,"30 to 60 Mins",TABLE_PIVOT[[#This Row],[Duration]]&lt;=120,"1 to 2 Hours",TRUE,"More Than 2 Hours")</f>
        <v>1 to 2 Hours</v>
      </c>
      <c r="K159" s="82">
        <f>ROUND(TABLE_PIVOT[[#This Row],[Satisfaction Rating]],0)</f>
        <v>5</v>
      </c>
    </row>
    <row r="160" spans="1:11" x14ac:dyDescent="0.3">
      <c r="A160" s="8" t="s">
        <v>1786</v>
      </c>
      <c r="B160" s="8" t="s">
        <v>1618</v>
      </c>
      <c r="C160" s="8">
        <v>70</v>
      </c>
      <c r="D160" s="120" t="s">
        <v>1616</v>
      </c>
      <c r="E160" s="121">
        <v>44987</v>
      </c>
      <c r="F160" s="8">
        <v>28</v>
      </c>
      <c r="G160" s="8">
        <v>4.8</v>
      </c>
      <c r="H160" s="82">
        <f>IF(MONTH(TABLE_PIVOT[[#This Row],[Date of Call]])&lt;=6,YEAR(TABLE_PIVOT[[#This Row],[Date of Call]]),YEAR(TABLE_PIVOT[[#This Row],[Date of Call]])+1)</f>
        <v>2023</v>
      </c>
      <c r="I160" s="82" t="str">
        <f>TEXT(TABLE_PIVOT[[#This Row],[Date of Call]],"DDDD")</f>
        <v>Thursday</v>
      </c>
      <c r="J160" s="82" t="str" cm="1">
        <f t="array" ref="J160">_xlfn.IFS(TABLE_PIVOT[[#This Row],[Duration]]&lt;=10,"Under 10 Mins",TABLE_PIVOT[[#This Row],[Duration]]&lt;=30,"10 to 30 Mins",TABLE_PIVOT[[#This Row],[Duration]]&lt;=60,"30 to 60 Mins",TABLE_PIVOT[[#This Row],[Duration]]&lt;=120,"1 to 2 Hours",TRUE,"More Than 2 Hours")</f>
        <v>1 to 2 Hours</v>
      </c>
      <c r="K160" s="82">
        <f>ROUND(TABLE_PIVOT[[#This Row],[Satisfaction Rating]],0)</f>
        <v>5</v>
      </c>
    </row>
    <row r="161" spans="1:11" x14ac:dyDescent="0.3">
      <c r="A161" s="8" t="s">
        <v>1787</v>
      </c>
      <c r="B161" s="8" t="s">
        <v>1641</v>
      </c>
      <c r="C161" s="8">
        <v>86</v>
      </c>
      <c r="D161" s="120" t="s">
        <v>1611</v>
      </c>
      <c r="E161" s="121">
        <v>44988</v>
      </c>
      <c r="F161" s="8">
        <v>70</v>
      </c>
      <c r="G161" s="8">
        <v>4.9000000000000004</v>
      </c>
      <c r="H161" s="82">
        <f>IF(MONTH(TABLE_PIVOT[[#This Row],[Date of Call]])&lt;=6,YEAR(TABLE_PIVOT[[#This Row],[Date of Call]]),YEAR(TABLE_PIVOT[[#This Row],[Date of Call]])+1)</f>
        <v>2023</v>
      </c>
      <c r="I161" s="82" t="str">
        <f>TEXT(TABLE_PIVOT[[#This Row],[Date of Call]],"DDDD")</f>
        <v>Friday</v>
      </c>
      <c r="J161" s="82" t="str" cm="1">
        <f t="array" ref="J161">_xlfn.IFS(TABLE_PIVOT[[#This Row],[Duration]]&lt;=10,"Under 10 Mins",TABLE_PIVOT[[#This Row],[Duration]]&lt;=30,"10 to 30 Mins",TABLE_PIVOT[[#This Row],[Duration]]&lt;=60,"30 to 60 Mins",TABLE_PIVOT[[#This Row],[Duration]]&lt;=120,"1 to 2 Hours",TRUE,"More Than 2 Hours")</f>
        <v>1 to 2 Hours</v>
      </c>
      <c r="K161" s="82">
        <f>ROUND(TABLE_PIVOT[[#This Row],[Satisfaction Rating]],0)</f>
        <v>5</v>
      </c>
    </row>
    <row r="162" spans="1:11" x14ac:dyDescent="0.3">
      <c r="A162" s="8" t="s">
        <v>1788</v>
      </c>
      <c r="B162" s="8" t="s">
        <v>1615</v>
      </c>
      <c r="C162" s="8">
        <v>64</v>
      </c>
      <c r="D162" s="120" t="s">
        <v>1611</v>
      </c>
      <c r="E162" s="121">
        <v>44988</v>
      </c>
      <c r="F162" s="8">
        <v>172</v>
      </c>
      <c r="G162" s="8">
        <v>4.0999999999999996</v>
      </c>
      <c r="H162" s="82">
        <f>IF(MONTH(TABLE_PIVOT[[#This Row],[Date of Call]])&lt;=6,YEAR(TABLE_PIVOT[[#This Row],[Date of Call]]),YEAR(TABLE_PIVOT[[#This Row],[Date of Call]])+1)</f>
        <v>2023</v>
      </c>
      <c r="I162" s="82" t="str">
        <f>TEXT(TABLE_PIVOT[[#This Row],[Date of Call]],"DDDD")</f>
        <v>Friday</v>
      </c>
      <c r="J162" s="82" t="str" cm="1">
        <f t="array" ref="J162">_xlfn.IFS(TABLE_PIVOT[[#This Row],[Duration]]&lt;=10,"Under 10 Mins",TABLE_PIVOT[[#This Row],[Duration]]&lt;=30,"10 to 30 Mins",TABLE_PIVOT[[#This Row],[Duration]]&lt;=60,"30 to 60 Mins",TABLE_PIVOT[[#This Row],[Duration]]&lt;=120,"1 to 2 Hours",TRUE,"More Than 2 Hours")</f>
        <v>1 to 2 Hours</v>
      </c>
      <c r="K162" s="82">
        <f>ROUND(TABLE_PIVOT[[#This Row],[Satisfaction Rating]],0)</f>
        <v>4</v>
      </c>
    </row>
    <row r="163" spans="1:11" x14ac:dyDescent="0.3">
      <c r="A163" s="8" t="s">
        <v>1789</v>
      </c>
      <c r="B163" s="8" t="s">
        <v>1613</v>
      </c>
      <c r="C163" s="8">
        <v>113</v>
      </c>
      <c r="D163" s="120" t="s">
        <v>1621</v>
      </c>
      <c r="E163" s="121">
        <v>44988</v>
      </c>
      <c r="F163" s="8">
        <v>123</v>
      </c>
      <c r="G163" s="8">
        <v>4.4000000000000004</v>
      </c>
      <c r="H163" s="82">
        <f>IF(MONTH(TABLE_PIVOT[[#This Row],[Date of Call]])&lt;=6,YEAR(TABLE_PIVOT[[#This Row],[Date of Call]]),YEAR(TABLE_PIVOT[[#This Row],[Date of Call]])+1)</f>
        <v>2023</v>
      </c>
      <c r="I163" s="82" t="str">
        <f>TEXT(TABLE_PIVOT[[#This Row],[Date of Call]],"DDDD")</f>
        <v>Friday</v>
      </c>
      <c r="J163" s="82" t="str" cm="1">
        <f t="array" ref="J163">_xlfn.IFS(TABLE_PIVOT[[#This Row],[Duration]]&lt;=10,"Under 10 Mins",TABLE_PIVOT[[#This Row],[Duration]]&lt;=30,"10 to 30 Mins",TABLE_PIVOT[[#This Row],[Duration]]&lt;=60,"30 to 60 Mins",TABLE_PIVOT[[#This Row],[Duration]]&lt;=120,"1 to 2 Hours",TRUE,"More Than 2 Hours")</f>
        <v>1 to 2 Hours</v>
      </c>
      <c r="K163" s="82">
        <f>ROUND(TABLE_PIVOT[[#This Row],[Satisfaction Rating]],0)</f>
        <v>4</v>
      </c>
    </row>
    <row r="164" spans="1:11" x14ac:dyDescent="0.3">
      <c r="A164" s="8" t="s">
        <v>1790</v>
      </c>
      <c r="B164" s="8" t="s">
        <v>1613</v>
      </c>
      <c r="C164" s="8">
        <v>21</v>
      </c>
      <c r="D164" s="120" t="s">
        <v>1616</v>
      </c>
      <c r="E164" s="121">
        <v>44988</v>
      </c>
      <c r="F164" s="8">
        <v>93</v>
      </c>
      <c r="G164" s="8">
        <v>3.4</v>
      </c>
      <c r="H164" s="82">
        <f>IF(MONTH(TABLE_PIVOT[[#This Row],[Date of Call]])&lt;=6,YEAR(TABLE_PIVOT[[#This Row],[Date of Call]]),YEAR(TABLE_PIVOT[[#This Row],[Date of Call]])+1)</f>
        <v>2023</v>
      </c>
      <c r="I164" s="82" t="str">
        <f>TEXT(TABLE_PIVOT[[#This Row],[Date of Call]],"DDDD")</f>
        <v>Friday</v>
      </c>
      <c r="J164" s="82" t="str" cm="1">
        <f t="array" ref="J164">_xlfn.IFS(TABLE_PIVOT[[#This Row],[Duration]]&lt;=10,"Under 10 Mins",TABLE_PIVOT[[#This Row],[Duration]]&lt;=30,"10 to 30 Mins",TABLE_PIVOT[[#This Row],[Duration]]&lt;=60,"30 to 60 Mins",TABLE_PIVOT[[#This Row],[Duration]]&lt;=120,"1 to 2 Hours",TRUE,"More Than 2 Hours")</f>
        <v>10 to 30 Mins</v>
      </c>
      <c r="K164" s="82">
        <f>ROUND(TABLE_PIVOT[[#This Row],[Satisfaction Rating]],0)</f>
        <v>3</v>
      </c>
    </row>
    <row r="165" spans="1:11" x14ac:dyDescent="0.3">
      <c r="A165" s="8" t="s">
        <v>1791</v>
      </c>
      <c r="B165" s="8" t="s">
        <v>1652</v>
      </c>
      <c r="C165" s="8">
        <v>107</v>
      </c>
      <c r="D165" s="120" t="s">
        <v>1611</v>
      </c>
      <c r="E165" s="121">
        <v>44988</v>
      </c>
      <c r="F165" s="8">
        <v>66</v>
      </c>
      <c r="G165" s="8">
        <v>4</v>
      </c>
      <c r="H165" s="82">
        <f>IF(MONTH(TABLE_PIVOT[[#This Row],[Date of Call]])&lt;=6,YEAR(TABLE_PIVOT[[#This Row],[Date of Call]]),YEAR(TABLE_PIVOT[[#This Row],[Date of Call]])+1)</f>
        <v>2023</v>
      </c>
      <c r="I165" s="82" t="str">
        <f>TEXT(TABLE_PIVOT[[#This Row],[Date of Call]],"DDDD")</f>
        <v>Friday</v>
      </c>
      <c r="J165" s="82" t="str" cm="1">
        <f t="array" ref="J165">_xlfn.IFS(TABLE_PIVOT[[#This Row],[Duration]]&lt;=10,"Under 10 Mins",TABLE_PIVOT[[#This Row],[Duration]]&lt;=30,"10 to 30 Mins",TABLE_PIVOT[[#This Row],[Duration]]&lt;=60,"30 to 60 Mins",TABLE_PIVOT[[#This Row],[Duration]]&lt;=120,"1 to 2 Hours",TRUE,"More Than 2 Hours")</f>
        <v>1 to 2 Hours</v>
      </c>
      <c r="K165" s="82">
        <f>ROUND(TABLE_PIVOT[[#This Row],[Satisfaction Rating]],0)</f>
        <v>4</v>
      </c>
    </row>
    <row r="166" spans="1:11" x14ac:dyDescent="0.3">
      <c r="A166" s="8" t="s">
        <v>1792</v>
      </c>
      <c r="B166" s="8" t="s">
        <v>1652</v>
      </c>
      <c r="C166" s="8">
        <v>131</v>
      </c>
      <c r="D166" s="120" t="s">
        <v>1616</v>
      </c>
      <c r="E166" s="121">
        <v>44988</v>
      </c>
      <c r="F166" s="8">
        <v>39</v>
      </c>
      <c r="G166" s="8">
        <v>2.4</v>
      </c>
      <c r="H166" s="82">
        <f>IF(MONTH(TABLE_PIVOT[[#This Row],[Date of Call]])&lt;=6,YEAR(TABLE_PIVOT[[#This Row],[Date of Call]]),YEAR(TABLE_PIVOT[[#This Row],[Date of Call]])+1)</f>
        <v>2023</v>
      </c>
      <c r="I166" s="82" t="str">
        <f>TEXT(TABLE_PIVOT[[#This Row],[Date of Call]],"DDDD")</f>
        <v>Friday</v>
      </c>
      <c r="J166" s="82" t="str" cm="1">
        <f t="array" ref="J166">_xlfn.IFS(TABLE_PIVOT[[#This Row],[Duration]]&lt;=10,"Under 10 Mins",TABLE_PIVOT[[#This Row],[Duration]]&lt;=30,"10 to 30 Mins",TABLE_PIVOT[[#This Row],[Duration]]&lt;=60,"30 to 60 Mins",TABLE_PIVOT[[#This Row],[Duration]]&lt;=120,"1 to 2 Hours",TRUE,"More Than 2 Hours")</f>
        <v>More Than 2 Hours</v>
      </c>
      <c r="K166" s="82">
        <f>ROUND(TABLE_PIVOT[[#This Row],[Satisfaction Rating]],0)</f>
        <v>2</v>
      </c>
    </row>
    <row r="167" spans="1:11" x14ac:dyDescent="0.3">
      <c r="A167" s="8" t="s">
        <v>1793</v>
      </c>
      <c r="B167" s="8" t="s">
        <v>1610</v>
      </c>
      <c r="C167" s="8">
        <v>11</v>
      </c>
      <c r="D167" s="120" t="s">
        <v>1630</v>
      </c>
      <c r="E167" s="121">
        <v>44988</v>
      </c>
      <c r="F167" s="8">
        <v>25</v>
      </c>
      <c r="G167" s="8">
        <v>2.1</v>
      </c>
      <c r="H167" s="82">
        <f>IF(MONTH(TABLE_PIVOT[[#This Row],[Date of Call]])&lt;=6,YEAR(TABLE_PIVOT[[#This Row],[Date of Call]]),YEAR(TABLE_PIVOT[[#This Row],[Date of Call]])+1)</f>
        <v>2023</v>
      </c>
      <c r="I167" s="82" t="str">
        <f>TEXT(TABLE_PIVOT[[#This Row],[Date of Call]],"DDDD")</f>
        <v>Friday</v>
      </c>
      <c r="J167" s="82" t="str" cm="1">
        <f t="array" ref="J167">_xlfn.IFS(TABLE_PIVOT[[#This Row],[Duration]]&lt;=10,"Under 10 Mins",TABLE_PIVOT[[#This Row],[Duration]]&lt;=30,"10 to 30 Mins",TABLE_PIVOT[[#This Row],[Duration]]&lt;=60,"30 to 60 Mins",TABLE_PIVOT[[#This Row],[Duration]]&lt;=120,"1 to 2 Hours",TRUE,"More Than 2 Hours")</f>
        <v>10 to 30 Mins</v>
      </c>
      <c r="K167" s="82">
        <f>ROUND(TABLE_PIVOT[[#This Row],[Satisfaction Rating]],0)</f>
        <v>2</v>
      </c>
    </row>
    <row r="168" spans="1:11" x14ac:dyDescent="0.3">
      <c r="A168" s="8" t="s">
        <v>1794</v>
      </c>
      <c r="B168" s="8" t="s">
        <v>1662</v>
      </c>
      <c r="C168" s="8">
        <v>86</v>
      </c>
      <c r="D168" s="120" t="s">
        <v>1621</v>
      </c>
      <c r="E168" s="121">
        <v>44988</v>
      </c>
      <c r="F168" s="8">
        <v>68</v>
      </c>
      <c r="G168" s="8">
        <v>3</v>
      </c>
      <c r="H168" s="82">
        <f>IF(MONTH(TABLE_PIVOT[[#This Row],[Date of Call]])&lt;=6,YEAR(TABLE_PIVOT[[#This Row],[Date of Call]]),YEAR(TABLE_PIVOT[[#This Row],[Date of Call]])+1)</f>
        <v>2023</v>
      </c>
      <c r="I168" s="82" t="str">
        <f>TEXT(TABLE_PIVOT[[#This Row],[Date of Call]],"DDDD")</f>
        <v>Friday</v>
      </c>
      <c r="J168" s="82" t="str" cm="1">
        <f t="array" ref="J168">_xlfn.IFS(TABLE_PIVOT[[#This Row],[Duration]]&lt;=10,"Under 10 Mins",TABLE_PIVOT[[#This Row],[Duration]]&lt;=30,"10 to 30 Mins",TABLE_PIVOT[[#This Row],[Duration]]&lt;=60,"30 to 60 Mins",TABLE_PIVOT[[#This Row],[Duration]]&lt;=120,"1 to 2 Hours",TRUE,"More Than 2 Hours")</f>
        <v>1 to 2 Hours</v>
      </c>
      <c r="K168" s="82">
        <f>ROUND(TABLE_PIVOT[[#This Row],[Satisfaction Rating]],0)</f>
        <v>3</v>
      </c>
    </row>
    <row r="169" spans="1:11" x14ac:dyDescent="0.3">
      <c r="A169" s="8" t="s">
        <v>1795</v>
      </c>
      <c r="B169" s="8" t="s">
        <v>1615</v>
      </c>
      <c r="C169" s="8">
        <v>28</v>
      </c>
      <c r="D169" s="120" t="s">
        <v>1630</v>
      </c>
      <c r="E169" s="121">
        <v>44988</v>
      </c>
      <c r="F169" s="8">
        <v>84</v>
      </c>
      <c r="G169" s="8">
        <v>3.2</v>
      </c>
      <c r="H169" s="82">
        <f>IF(MONTH(TABLE_PIVOT[[#This Row],[Date of Call]])&lt;=6,YEAR(TABLE_PIVOT[[#This Row],[Date of Call]]),YEAR(TABLE_PIVOT[[#This Row],[Date of Call]])+1)</f>
        <v>2023</v>
      </c>
      <c r="I169" s="82" t="str">
        <f>TEXT(TABLE_PIVOT[[#This Row],[Date of Call]],"DDDD")</f>
        <v>Friday</v>
      </c>
      <c r="J169" s="82" t="str" cm="1">
        <f t="array" ref="J169">_xlfn.IFS(TABLE_PIVOT[[#This Row],[Duration]]&lt;=10,"Under 10 Mins",TABLE_PIVOT[[#This Row],[Duration]]&lt;=30,"10 to 30 Mins",TABLE_PIVOT[[#This Row],[Duration]]&lt;=60,"30 to 60 Mins",TABLE_PIVOT[[#This Row],[Duration]]&lt;=120,"1 to 2 Hours",TRUE,"More Than 2 Hours")</f>
        <v>10 to 30 Mins</v>
      </c>
      <c r="K169" s="82">
        <f>ROUND(TABLE_PIVOT[[#This Row],[Satisfaction Rating]],0)</f>
        <v>3</v>
      </c>
    </row>
    <row r="170" spans="1:11" x14ac:dyDescent="0.3">
      <c r="A170" s="8" t="s">
        <v>1796</v>
      </c>
      <c r="B170" s="8" t="s">
        <v>1620</v>
      </c>
      <c r="C170" s="8">
        <v>139</v>
      </c>
      <c r="D170" s="120" t="s">
        <v>1616</v>
      </c>
      <c r="E170" s="121">
        <v>44989</v>
      </c>
      <c r="F170" s="8">
        <v>88</v>
      </c>
      <c r="G170" s="8">
        <v>3.4</v>
      </c>
      <c r="H170" s="82">
        <f>IF(MONTH(TABLE_PIVOT[[#This Row],[Date of Call]])&lt;=6,YEAR(TABLE_PIVOT[[#This Row],[Date of Call]]),YEAR(TABLE_PIVOT[[#This Row],[Date of Call]])+1)</f>
        <v>2023</v>
      </c>
      <c r="I170" s="82" t="str">
        <f>TEXT(TABLE_PIVOT[[#This Row],[Date of Call]],"DDDD")</f>
        <v>Saturday</v>
      </c>
      <c r="J170" s="82" t="str" cm="1">
        <f t="array" ref="J170">_xlfn.IFS(TABLE_PIVOT[[#This Row],[Duration]]&lt;=10,"Under 10 Mins",TABLE_PIVOT[[#This Row],[Duration]]&lt;=30,"10 to 30 Mins",TABLE_PIVOT[[#This Row],[Duration]]&lt;=60,"30 to 60 Mins",TABLE_PIVOT[[#This Row],[Duration]]&lt;=120,"1 to 2 Hours",TRUE,"More Than 2 Hours")</f>
        <v>More Than 2 Hours</v>
      </c>
      <c r="K170" s="82">
        <f>ROUND(TABLE_PIVOT[[#This Row],[Satisfaction Rating]],0)</f>
        <v>3</v>
      </c>
    </row>
    <row r="171" spans="1:11" x14ac:dyDescent="0.3">
      <c r="A171" s="8" t="s">
        <v>1797</v>
      </c>
      <c r="B171" s="8" t="s">
        <v>1644</v>
      </c>
      <c r="C171" s="8">
        <v>82</v>
      </c>
      <c r="D171" s="120" t="s">
        <v>1621</v>
      </c>
      <c r="E171" s="121">
        <v>44989</v>
      </c>
      <c r="F171" s="8">
        <v>93</v>
      </c>
      <c r="G171" s="8">
        <v>2.7</v>
      </c>
      <c r="H171" s="82">
        <f>IF(MONTH(TABLE_PIVOT[[#This Row],[Date of Call]])&lt;=6,YEAR(TABLE_PIVOT[[#This Row],[Date of Call]]),YEAR(TABLE_PIVOT[[#This Row],[Date of Call]])+1)</f>
        <v>2023</v>
      </c>
      <c r="I171" s="82" t="str">
        <f>TEXT(TABLE_PIVOT[[#This Row],[Date of Call]],"DDDD")</f>
        <v>Saturday</v>
      </c>
      <c r="J171" s="82" t="str" cm="1">
        <f t="array" ref="J171">_xlfn.IFS(TABLE_PIVOT[[#This Row],[Duration]]&lt;=10,"Under 10 Mins",TABLE_PIVOT[[#This Row],[Duration]]&lt;=30,"10 to 30 Mins",TABLE_PIVOT[[#This Row],[Duration]]&lt;=60,"30 to 60 Mins",TABLE_PIVOT[[#This Row],[Duration]]&lt;=120,"1 to 2 Hours",TRUE,"More Than 2 Hours")</f>
        <v>1 to 2 Hours</v>
      </c>
      <c r="K171" s="82">
        <f>ROUND(TABLE_PIVOT[[#This Row],[Satisfaction Rating]],0)</f>
        <v>3</v>
      </c>
    </row>
    <row r="172" spans="1:11" x14ac:dyDescent="0.3">
      <c r="A172" s="8" t="s">
        <v>1798</v>
      </c>
      <c r="B172" s="8" t="s">
        <v>1613</v>
      </c>
      <c r="C172" s="8">
        <v>101</v>
      </c>
      <c r="D172" s="120" t="s">
        <v>1630</v>
      </c>
      <c r="E172" s="121">
        <v>44989</v>
      </c>
      <c r="F172" s="8">
        <v>128</v>
      </c>
      <c r="G172" s="8">
        <v>5</v>
      </c>
      <c r="H172" s="82">
        <f>IF(MONTH(TABLE_PIVOT[[#This Row],[Date of Call]])&lt;=6,YEAR(TABLE_PIVOT[[#This Row],[Date of Call]]),YEAR(TABLE_PIVOT[[#This Row],[Date of Call]])+1)</f>
        <v>2023</v>
      </c>
      <c r="I172" s="82" t="str">
        <f>TEXT(TABLE_PIVOT[[#This Row],[Date of Call]],"DDDD")</f>
        <v>Saturday</v>
      </c>
      <c r="J172" s="82" t="str" cm="1">
        <f t="array" ref="J172">_xlfn.IFS(TABLE_PIVOT[[#This Row],[Duration]]&lt;=10,"Under 10 Mins",TABLE_PIVOT[[#This Row],[Duration]]&lt;=30,"10 to 30 Mins",TABLE_PIVOT[[#This Row],[Duration]]&lt;=60,"30 to 60 Mins",TABLE_PIVOT[[#This Row],[Duration]]&lt;=120,"1 to 2 Hours",TRUE,"More Than 2 Hours")</f>
        <v>1 to 2 Hours</v>
      </c>
      <c r="K172" s="82">
        <f>ROUND(TABLE_PIVOT[[#This Row],[Satisfaction Rating]],0)</f>
        <v>5</v>
      </c>
    </row>
    <row r="173" spans="1:11" x14ac:dyDescent="0.3">
      <c r="A173" s="8" t="s">
        <v>1799</v>
      </c>
      <c r="B173" s="8" t="s">
        <v>1615</v>
      </c>
      <c r="C173" s="8">
        <v>75</v>
      </c>
      <c r="D173" s="120" t="s">
        <v>1626</v>
      </c>
      <c r="E173" s="121">
        <v>44989</v>
      </c>
      <c r="F173" s="8">
        <v>40</v>
      </c>
      <c r="G173" s="8">
        <v>3.4</v>
      </c>
      <c r="H173" s="82">
        <f>IF(MONTH(TABLE_PIVOT[[#This Row],[Date of Call]])&lt;=6,YEAR(TABLE_PIVOT[[#This Row],[Date of Call]]),YEAR(TABLE_PIVOT[[#This Row],[Date of Call]])+1)</f>
        <v>2023</v>
      </c>
      <c r="I173" s="82" t="str">
        <f>TEXT(TABLE_PIVOT[[#This Row],[Date of Call]],"DDDD")</f>
        <v>Saturday</v>
      </c>
      <c r="J173" s="82" t="str" cm="1">
        <f t="array" ref="J173">_xlfn.IFS(TABLE_PIVOT[[#This Row],[Duration]]&lt;=10,"Under 10 Mins",TABLE_PIVOT[[#This Row],[Duration]]&lt;=30,"10 to 30 Mins",TABLE_PIVOT[[#This Row],[Duration]]&lt;=60,"30 to 60 Mins",TABLE_PIVOT[[#This Row],[Duration]]&lt;=120,"1 to 2 Hours",TRUE,"More Than 2 Hours")</f>
        <v>1 to 2 Hours</v>
      </c>
      <c r="K173" s="82">
        <f>ROUND(TABLE_PIVOT[[#This Row],[Satisfaction Rating]],0)</f>
        <v>3</v>
      </c>
    </row>
    <row r="174" spans="1:11" x14ac:dyDescent="0.3">
      <c r="A174" s="8" t="s">
        <v>1800</v>
      </c>
      <c r="B174" s="8" t="s">
        <v>1629</v>
      </c>
      <c r="C174" s="8">
        <v>40</v>
      </c>
      <c r="D174" s="120" t="s">
        <v>1630</v>
      </c>
      <c r="E174" s="121">
        <v>44990</v>
      </c>
      <c r="F174" s="8">
        <v>92</v>
      </c>
      <c r="G174" s="8">
        <v>4.7</v>
      </c>
      <c r="H174" s="82">
        <f>IF(MONTH(TABLE_PIVOT[[#This Row],[Date of Call]])&lt;=6,YEAR(TABLE_PIVOT[[#This Row],[Date of Call]]),YEAR(TABLE_PIVOT[[#This Row],[Date of Call]])+1)</f>
        <v>2023</v>
      </c>
      <c r="I174" s="82" t="str">
        <f>TEXT(TABLE_PIVOT[[#This Row],[Date of Call]],"DDDD")</f>
        <v>Sunday</v>
      </c>
      <c r="J174" s="82" t="str" cm="1">
        <f t="array" ref="J174">_xlfn.IFS(TABLE_PIVOT[[#This Row],[Duration]]&lt;=10,"Under 10 Mins",TABLE_PIVOT[[#This Row],[Duration]]&lt;=30,"10 to 30 Mins",TABLE_PIVOT[[#This Row],[Duration]]&lt;=60,"30 to 60 Mins",TABLE_PIVOT[[#This Row],[Duration]]&lt;=120,"1 to 2 Hours",TRUE,"More Than 2 Hours")</f>
        <v>30 to 60 Mins</v>
      </c>
      <c r="K174" s="82">
        <f>ROUND(TABLE_PIVOT[[#This Row],[Satisfaction Rating]],0)</f>
        <v>5</v>
      </c>
    </row>
    <row r="175" spans="1:11" x14ac:dyDescent="0.3">
      <c r="A175" s="8" t="s">
        <v>1801</v>
      </c>
      <c r="B175" s="8" t="s">
        <v>1635</v>
      </c>
      <c r="C175" s="8">
        <v>86</v>
      </c>
      <c r="D175" s="120" t="s">
        <v>1616</v>
      </c>
      <c r="E175" s="121">
        <v>44990</v>
      </c>
      <c r="F175" s="8">
        <v>27</v>
      </c>
      <c r="G175" s="8">
        <v>4.5</v>
      </c>
      <c r="H175" s="82">
        <f>IF(MONTH(TABLE_PIVOT[[#This Row],[Date of Call]])&lt;=6,YEAR(TABLE_PIVOT[[#This Row],[Date of Call]]),YEAR(TABLE_PIVOT[[#This Row],[Date of Call]])+1)</f>
        <v>2023</v>
      </c>
      <c r="I175" s="82" t="str">
        <f>TEXT(TABLE_PIVOT[[#This Row],[Date of Call]],"DDDD")</f>
        <v>Sunday</v>
      </c>
      <c r="J175" s="82" t="str" cm="1">
        <f t="array" ref="J175">_xlfn.IFS(TABLE_PIVOT[[#This Row],[Duration]]&lt;=10,"Under 10 Mins",TABLE_PIVOT[[#This Row],[Duration]]&lt;=30,"10 to 30 Mins",TABLE_PIVOT[[#This Row],[Duration]]&lt;=60,"30 to 60 Mins",TABLE_PIVOT[[#This Row],[Duration]]&lt;=120,"1 to 2 Hours",TRUE,"More Than 2 Hours")</f>
        <v>1 to 2 Hours</v>
      </c>
      <c r="K175" s="82">
        <f>ROUND(TABLE_PIVOT[[#This Row],[Satisfaction Rating]],0)</f>
        <v>5</v>
      </c>
    </row>
    <row r="176" spans="1:11" x14ac:dyDescent="0.3">
      <c r="A176" s="8" t="s">
        <v>1802</v>
      </c>
      <c r="B176" s="8" t="s">
        <v>1624</v>
      </c>
      <c r="C176" s="8">
        <v>131</v>
      </c>
      <c r="D176" s="120" t="s">
        <v>1611</v>
      </c>
      <c r="E176" s="121">
        <v>44990</v>
      </c>
      <c r="F176" s="8">
        <v>140</v>
      </c>
      <c r="G176" s="8">
        <v>4.0999999999999996</v>
      </c>
      <c r="H176" s="82">
        <f>IF(MONTH(TABLE_PIVOT[[#This Row],[Date of Call]])&lt;=6,YEAR(TABLE_PIVOT[[#This Row],[Date of Call]]),YEAR(TABLE_PIVOT[[#This Row],[Date of Call]])+1)</f>
        <v>2023</v>
      </c>
      <c r="I176" s="82" t="str">
        <f>TEXT(TABLE_PIVOT[[#This Row],[Date of Call]],"DDDD")</f>
        <v>Sunday</v>
      </c>
      <c r="J176" s="82" t="str" cm="1">
        <f t="array" ref="J176">_xlfn.IFS(TABLE_PIVOT[[#This Row],[Duration]]&lt;=10,"Under 10 Mins",TABLE_PIVOT[[#This Row],[Duration]]&lt;=30,"10 to 30 Mins",TABLE_PIVOT[[#This Row],[Duration]]&lt;=60,"30 to 60 Mins",TABLE_PIVOT[[#This Row],[Duration]]&lt;=120,"1 to 2 Hours",TRUE,"More Than 2 Hours")</f>
        <v>More Than 2 Hours</v>
      </c>
      <c r="K176" s="82">
        <f>ROUND(TABLE_PIVOT[[#This Row],[Satisfaction Rating]],0)</f>
        <v>4</v>
      </c>
    </row>
    <row r="177" spans="1:11" x14ac:dyDescent="0.3">
      <c r="A177" s="8" t="s">
        <v>1803</v>
      </c>
      <c r="B177" s="8" t="s">
        <v>1652</v>
      </c>
      <c r="C177" s="8">
        <v>67</v>
      </c>
      <c r="D177" s="120" t="s">
        <v>1621</v>
      </c>
      <c r="E177" s="121">
        <v>44990</v>
      </c>
      <c r="F177" s="8">
        <v>40</v>
      </c>
      <c r="G177" s="8">
        <v>5</v>
      </c>
      <c r="H177" s="82">
        <f>IF(MONTH(TABLE_PIVOT[[#This Row],[Date of Call]])&lt;=6,YEAR(TABLE_PIVOT[[#This Row],[Date of Call]]),YEAR(TABLE_PIVOT[[#This Row],[Date of Call]])+1)</f>
        <v>2023</v>
      </c>
      <c r="I177" s="82" t="str">
        <f>TEXT(TABLE_PIVOT[[#This Row],[Date of Call]],"DDDD")</f>
        <v>Sunday</v>
      </c>
      <c r="J177" s="82" t="str" cm="1">
        <f t="array" ref="J177">_xlfn.IFS(TABLE_PIVOT[[#This Row],[Duration]]&lt;=10,"Under 10 Mins",TABLE_PIVOT[[#This Row],[Duration]]&lt;=30,"10 to 30 Mins",TABLE_PIVOT[[#This Row],[Duration]]&lt;=60,"30 to 60 Mins",TABLE_PIVOT[[#This Row],[Duration]]&lt;=120,"1 to 2 Hours",TRUE,"More Than 2 Hours")</f>
        <v>1 to 2 Hours</v>
      </c>
      <c r="K177" s="82">
        <f>ROUND(TABLE_PIVOT[[#This Row],[Satisfaction Rating]],0)</f>
        <v>5</v>
      </c>
    </row>
    <row r="178" spans="1:11" x14ac:dyDescent="0.3">
      <c r="A178" s="8" t="s">
        <v>1804</v>
      </c>
      <c r="B178" s="8" t="s">
        <v>1682</v>
      </c>
      <c r="C178" s="8">
        <v>71</v>
      </c>
      <c r="D178" s="120" t="s">
        <v>1630</v>
      </c>
      <c r="E178" s="121">
        <v>44990</v>
      </c>
      <c r="F178" s="8">
        <v>102</v>
      </c>
      <c r="G178" s="8">
        <v>4.7</v>
      </c>
      <c r="H178" s="82">
        <f>IF(MONTH(TABLE_PIVOT[[#This Row],[Date of Call]])&lt;=6,YEAR(TABLE_PIVOT[[#This Row],[Date of Call]]),YEAR(TABLE_PIVOT[[#This Row],[Date of Call]])+1)</f>
        <v>2023</v>
      </c>
      <c r="I178" s="82" t="str">
        <f>TEXT(TABLE_PIVOT[[#This Row],[Date of Call]],"DDDD")</f>
        <v>Sunday</v>
      </c>
      <c r="J178" s="82" t="str" cm="1">
        <f t="array" ref="J178">_xlfn.IFS(TABLE_PIVOT[[#This Row],[Duration]]&lt;=10,"Under 10 Mins",TABLE_PIVOT[[#This Row],[Duration]]&lt;=30,"10 to 30 Mins",TABLE_PIVOT[[#This Row],[Duration]]&lt;=60,"30 to 60 Mins",TABLE_PIVOT[[#This Row],[Duration]]&lt;=120,"1 to 2 Hours",TRUE,"More Than 2 Hours")</f>
        <v>1 to 2 Hours</v>
      </c>
      <c r="K178" s="82">
        <f>ROUND(TABLE_PIVOT[[#This Row],[Satisfaction Rating]],0)</f>
        <v>5</v>
      </c>
    </row>
    <row r="179" spans="1:11" x14ac:dyDescent="0.3">
      <c r="A179" s="8" t="s">
        <v>1805</v>
      </c>
      <c r="B179" s="8" t="s">
        <v>1624</v>
      </c>
      <c r="C179" s="8">
        <v>113</v>
      </c>
      <c r="D179" s="120" t="s">
        <v>1611</v>
      </c>
      <c r="E179" s="121">
        <v>44990</v>
      </c>
      <c r="F179" s="8">
        <v>42</v>
      </c>
      <c r="G179" s="8">
        <v>4.2</v>
      </c>
      <c r="H179" s="82">
        <f>IF(MONTH(TABLE_PIVOT[[#This Row],[Date of Call]])&lt;=6,YEAR(TABLE_PIVOT[[#This Row],[Date of Call]]),YEAR(TABLE_PIVOT[[#This Row],[Date of Call]])+1)</f>
        <v>2023</v>
      </c>
      <c r="I179" s="82" t="str">
        <f>TEXT(TABLE_PIVOT[[#This Row],[Date of Call]],"DDDD")</f>
        <v>Sunday</v>
      </c>
      <c r="J179" s="82" t="str" cm="1">
        <f t="array" ref="J179">_xlfn.IFS(TABLE_PIVOT[[#This Row],[Duration]]&lt;=10,"Under 10 Mins",TABLE_PIVOT[[#This Row],[Duration]]&lt;=30,"10 to 30 Mins",TABLE_PIVOT[[#This Row],[Duration]]&lt;=60,"30 to 60 Mins",TABLE_PIVOT[[#This Row],[Duration]]&lt;=120,"1 to 2 Hours",TRUE,"More Than 2 Hours")</f>
        <v>1 to 2 Hours</v>
      </c>
      <c r="K179" s="82">
        <f>ROUND(TABLE_PIVOT[[#This Row],[Satisfaction Rating]],0)</f>
        <v>4</v>
      </c>
    </row>
    <row r="180" spans="1:11" x14ac:dyDescent="0.3">
      <c r="A180" s="8" t="s">
        <v>1806</v>
      </c>
      <c r="B180" s="8" t="s">
        <v>1644</v>
      </c>
      <c r="C180" s="8">
        <v>53</v>
      </c>
      <c r="D180" s="120" t="s">
        <v>1616</v>
      </c>
      <c r="E180" s="121">
        <v>44991</v>
      </c>
      <c r="F180" s="8">
        <v>210</v>
      </c>
      <c r="G180" s="8">
        <v>3.9</v>
      </c>
      <c r="H180" s="82">
        <f>IF(MONTH(TABLE_PIVOT[[#This Row],[Date of Call]])&lt;=6,YEAR(TABLE_PIVOT[[#This Row],[Date of Call]]),YEAR(TABLE_PIVOT[[#This Row],[Date of Call]])+1)</f>
        <v>2023</v>
      </c>
      <c r="I180" s="82" t="str">
        <f>TEXT(TABLE_PIVOT[[#This Row],[Date of Call]],"DDDD")</f>
        <v>Monday</v>
      </c>
      <c r="J180" s="82" t="str" cm="1">
        <f t="array" ref="J180">_xlfn.IFS(TABLE_PIVOT[[#This Row],[Duration]]&lt;=10,"Under 10 Mins",TABLE_PIVOT[[#This Row],[Duration]]&lt;=30,"10 to 30 Mins",TABLE_PIVOT[[#This Row],[Duration]]&lt;=60,"30 to 60 Mins",TABLE_PIVOT[[#This Row],[Duration]]&lt;=120,"1 to 2 Hours",TRUE,"More Than 2 Hours")</f>
        <v>30 to 60 Mins</v>
      </c>
      <c r="K180" s="82">
        <f>ROUND(TABLE_PIVOT[[#This Row],[Satisfaction Rating]],0)</f>
        <v>4</v>
      </c>
    </row>
    <row r="181" spans="1:11" x14ac:dyDescent="0.3">
      <c r="A181" s="8" t="s">
        <v>1807</v>
      </c>
      <c r="B181" s="8" t="s">
        <v>1624</v>
      </c>
      <c r="C181" s="8">
        <v>153</v>
      </c>
      <c r="D181" s="120" t="s">
        <v>1621</v>
      </c>
      <c r="E181" s="121">
        <v>44991</v>
      </c>
      <c r="F181" s="8">
        <v>34</v>
      </c>
      <c r="G181" s="8">
        <v>3</v>
      </c>
      <c r="H181" s="82">
        <f>IF(MONTH(TABLE_PIVOT[[#This Row],[Date of Call]])&lt;=6,YEAR(TABLE_PIVOT[[#This Row],[Date of Call]]),YEAR(TABLE_PIVOT[[#This Row],[Date of Call]])+1)</f>
        <v>2023</v>
      </c>
      <c r="I181" s="82" t="str">
        <f>TEXT(TABLE_PIVOT[[#This Row],[Date of Call]],"DDDD")</f>
        <v>Monday</v>
      </c>
      <c r="J181" s="82" t="str" cm="1">
        <f t="array" ref="J181">_xlfn.IFS(TABLE_PIVOT[[#This Row],[Duration]]&lt;=10,"Under 10 Mins",TABLE_PIVOT[[#This Row],[Duration]]&lt;=30,"10 to 30 Mins",TABLE_PIVOT[[#This Row],[Duration]]&lt;=60,"30 to 60 Mins",TABLE_PIVOT[[#This Row],[Duration]]&lt;=120,"1 to 2 Hours",TRUE,"More Than 2 Hours")</f>
        <v>More Than 2 Hours</v>
      </c>
      <c r="K181" s="82">
        <f>ROUND(TABLE_PIVOT[[#This Row],[Satisfaction Rating]],0)</f>
        <v>3</v>
      </c>
    </row>
    <row r="182" spans="1:11" x14ac:dyDescent="0.3">
      <c r="A182" s="8" t="s">
        <v>1808</v>
      </c>
      <c r="B182" s="8" t="s">
        <v>1652</v>
      </c>
      <c r="C182" s="8">
        <v>73</v>
      </c>
      <c r="D182" s="120" t="s">
        <v>1626</v>
      </c>
      <c r="E182" s="121">
        <v>44991</v>
      </c>
      <c r="F182" s="8">
        <v>215</v>
      </c>
      <c r="G182" s="8">
        <v>3.6</v>
      </c>
      <c r="H182" s="82">
        <f>IF(MONTH(TABLE_PIVOT[[#This Row],[Date of Call]])&lt;=6,YEAR(TABLE_PIVOT[[#This Row],[Date of Call]]),YEAR(TABLE_PIVOT[[#This Row],[Date of Call]])+1)</f>
        <v>2023</v>
      </c>
      <c r="I182" s="82" t="str">
        <f>TEXT(TABLE_PIVOT[[#This Row],[Date of Call]],"DDDD")</f>
        <v>Monday</v>
      </c>
      <c r="J182" s="82" t="str" cm="1">
        <f t="array" ref="J182">_xlfn.IFS(TABLE_PIVOT[[#This Row],[Duration]]&lt;=10,"Under 10 Mins",TABLE_PIVOT[[#This Row],[Duration]]&lt;=30,"10 to 30 Mins",TABLE_PIVOT[[#This Row],[Duration]]&lt;=60,"30 to 60 Mins",TABLE_PIVOT[[#This Row],[Duration]]&lt;=120,"1 to 2 Hours",TRUE,"More Than 2 Hours")</f>
        <v>1 to 2 Hours</v>
      </c>
      <c r="K182" s="82">
        <f>ROUND(TABLE_PIVOT[[#This Row],[Satisfaction Rating]],0)</f>
        <v>4</v>
      </c>
    </row>
    <row r="183" spans="1:11" x14ac:dyDescent="0.3">
      <c r="A183" s="8" t="s">
        <v>1809</v>
      </c>
      <c r="B183" s="8" t="s">
        <v>1641</v>
      </c>
      <c r="C183" s="8">
        <v>62</v>
      </c>
      <c r="D183" s="120" t="s">
        <v>1626</v>
      </c>
      <c r="E183" s="121">
        <v>44991</v>
      </c>
      <c r="F183" s="8">
        <v>32</v>
      </c>
      <c r="G183" s="8">
        <v>0.7</v>
      </c>
      <c r="H183" s="82">
        <f>IF(MONTH(TABLE_PIVOT[[#This Row],[Date of Call]])&lt;=6,YEAR(TABLE_PIVOT[[#This Row],[Date of Call]]),YEAR(TABLE_PIVOT[[#This Row],[Date of Call]])+1)</f>
        <v>2023</v>
      </c>
      <c r="I183" s="82" t="str">
        <f>TEXT(TABLE_PIVOT[[#This Row],[Date of Call]],"DDDD")</f>
        <v>Monday</v>
      </c>
      <c r="J183" s="82" t="str" cm="1">
        <f t="array" ref="J183">_xlfn.IFS(TABLE_PIVOT[[#This Row],[Duration]]&lt;=10,"Under 10 Mins",TABLE_PIVOT[[#This Row],[Duration]]&lt;=30,"10 to 30 Mins",TABLE_PIVOT[[#This Row],[Duration]]&lt;=60,"30 to 60 Mins",TABLE_PIVOT[[#This Row],[Duration]]&lt;=120,"1 to 2 Hours",TRUE,"More Than 2 Hours")</f>
        <v>1 to 2 Hours</v>
      </c>
      <c r="K183" s="82">
        <f>ROUND(TABLE_PIVOT[[#This Row],[Satisfaction Rating]],0)</f>
        <v>1</v>
      </c>
    </row>
    <row r="184" spans="1:11" x14ac:dyDescent="0.3">
      <c r="A184" s="8" t="s">
        <v>1810</v>
      </c>
      <c r="B184" s="8" t="s">
        <v>1620</v>
      </c>
      <c r="C184" s="8">
        <v>115</v>
      </c>
      <c r="D184" s="120" t="s">
        <v>1616</v>
      </c>
      <c r="E184" s="121">
        <v>44992</v>
      </c>
      <c r="F184" s="8">
        <v>48</v>
      </c>
      <c r="G184" s="8">
        <v>4.7</v>
      </c>
      <c r="H184" s="82">
        <f>IF(MONTH(TABLE_PIVOT[[#This Row],[Date of Call]])&lt;=6,YEAR(TABLE_PIVOT[[#This Row],[Date of Call]]),YEAR(TABLE_PIVOT[[#This Row],[Date of Call]])+1)</f>
        <v>2023</v>
      </c>
      <c r="I184" s="82" t="str">
        <f>TEXT(TABLE_PIVOT[[#This Row],[Date of Call]],"DDDD")</f>
        <v>Tuesday</v>
      </c>
      <c r="J184" s="82" t="str" cm="1">
        <f t="array" ref="J184">_xlfn.IFS(TABLE_PIVOT[[#This Row],[Duration]]&lt;=10,"Under 10 Mins",TABLE_PIVOT[[#This Row],[Duration]]&lt;=30,"10 to 30 Mins",TABLE_PIVOT[[#This Row],[Duration]]&lt;=60,"30 to 60 Mins",TABLE_PIVOT[[#This Row],[Duration]]&lt;=120,"1 to 2 Hours",TRUE,"More Than 2 Hours")</f>
        <v>1 to 2 Hours</v>
      </c>
      <c r="K184" s="82">
        <f>ROUND(TABLE_PIVOT[[#This Row],[Satisfaction Rating]],0)</f>
        <v>5</v>
      </c>
    </row>
    <row r="185" spans="1:11" x14ac:dyDescent="0.3">
      <c r="A185" s="8" t="s">
        <v>1811</v>
      </c>
      <c r="B185" s="8" t="s">
        <v>1624</v>
      </c>
      <c r="C185" s="8">
        <v>69</v>
      </c>
      <c r="D185" s="120" t="s">
        <v>1616</v>
      </c>
      <c r="E185" s="121">
        <v>44992</v>
      </c>
      <c r="F185" s="8">
        <v>132</v>
      </c>
      <c r="G185" s="8">
        <v>4.5</v>
      </c>
      <c r="H185" s="82">
        <f>IF(MONTH(TABLE_PIVOT[[#This Row],[Date of Call]])&lt;=6,YEAR(TABLE_PIVOT[[#This Row],[Date of Call]]),YEAR(TABLE_PIVOT[[#This Row],[Date of Call]])+1)</f>
        <v>2023</v>
      </c>
      <c r="I185" s="82" t="str">
        <f>TEXT(TABLE_PIVOT[[#This Row],[Date of Call]],"DDDD")</f>
        <v>Tuesday</v>
      </c>
      <c r="J185" s="82" t="str" cm="1">
        <f t="array" ref="J185">_xlfn.IFS(TABLE_PIVOT[[#This Row],[Duration]]&lt;=10,"Under 10 Mins",TABLE_PIVOT[[#This Row],[Duration]]&lt;=30,"10 to 30 Mins",TABLE_PIVOT[[#This Row],[Duration]]&lt;=60,"30 to 60 Mins",TABLE_PIVOT[[#This Row],[Duration]]&lt;=120,"1 to 2 Hours",TRUE,"More Than 2 Hours")</f>
        <v>1 to 2 Hours</v>
      </c>
      <c r="K185" s="82">
        <f>ROUND(TABLE_PIVOT[[#This Row],[Satisfaction Rating]],0)</f>
        <v>5</v>
      </c>
    </row>
    <row r="186" spans="1:11" x14ac:dyDescent="0.3">
      <c r="A186" s="8" t="s">
        <v>1812</v>
      </c>
      <c r="B186" s="8" t="s">
        <v>1635</v>
      </c>
      <c r="C186" s="8">
        <v>103</v>
      </c>
      <c r="D186" s="120" t="s">
        <v>1611</v>
      </c>
      <c r="E186" s="121">
        <v>44992</v>
      </c>
      <c r="F186" s="8">
        <v>172</v>
      </c>
      <c r="G186" s="8">
        <v>4.3</v>
      </c>
      <c r="H186" s="82">
        <f>IF(MONTH(TABLE_PIVOT[[#This Row],[Date of Call]])&lt;=6,YEAR(TABLE_PIVOT[[#This Row],[Date of Call]]),YEAR(TABLE_PIVOT[[#This Row],[Date of Call]])+1)</f>
        <v>2023</v>
      </c>
      <c r="I186" s="82" t="str">
        <f>TEXT(TABLE_PIVOT[[#This Row],[Date of Call]],"DDDD")</f>
        <v>Tuesday</v>
      </c>
      <c r="J186" s="82" t="str" cm="1">
        <f t="array" ref="J186">_xlfn.IFS(TABLE_PIVOT[[#This Row],[Duration]]&lt;=10,"Under 10 Mins",TABLE_PIVOT[[#This Row],[Duration]]&lt;=30,"10 to 30 Mins",TABLE_PIVOT[[#This Row],[Duration]]&lt;=60,"30 to 60 Mins",TABLE_PIVOT[[#This Row],[Duration]]&lt;=120,"1 to 2 Hours",TRUE,"More Than 2 Hours")</f>
        <v>1 to 2 Hours</v>
      </c>
      <c r="K186" s="82">
        <f>ROUND(TABLE_PIVOT[[#This Row],[Satisfaction Rating]],0)</f>
        <v>4</v>
      </c>
    </row>
    <row r="187" spans="1:11" x14ac:dyDescent="0.3">
      <c r="A187" s="8" t="s">
        <v>1813</v>
      </c>
      <c r="B187" s="8" t="s">
        <v>1635</v>
      </c>
      <c r="C187" s="8">
        <v>75</v>
      </c>
      <c r="D187" s="120" t="s">
        <v>1611</v>
      </c>
      <c r="E187" s="121">
        <v>44992</v>
      </c>
      <c r="F187" s="8">
        <v>111</v>
      </c>
      <c r="G187" s="8">
        <v>3.4</v>
      </c>
      <c r="H187" s="82">
        <f>IF(MONTH(TABLE_PIVOT[[#This Row],[Date of Call]])&lt;=6,YEAR(TABLE_PIVOT[[#This Row],[Date of Call]]),YEAR(TABLE_PIVOT[[#This Row],[Date of Call]])+1)</f>
        <v>2023</v>
      </c>
      <c r="I187" s="82" t="str">
        <f>TEXT(TABLE_PIVOT[[#This Row],[Date of Call]],"DDDD")</f>
        <v>Tuesday</v>
      </c>
      <c r="J187" s="82" t="str" cm="1">
        <f t="array" ref="J187">_xlfn.IFS(TABLE_PIVOT[[#This Row],[Duration]]&lt;=10,"Under 10 Mins",TABLE_PIVOT[[#This Row],[Duration]]&lt;=30,"10 to 30 Mins",TABLE_PIVOT[[#This Row],[Duration]]&lt;=60,"30 to 60 Mins",TABLE_PIVOT[[#This Row],[Duration]]&lt;=120,"1 to 2 Hours",TRUE,"More Than 2 Hours")</f>
        <v>1 to 2 Hours</v>
      </c>
      <c r="K187" s="82">
        <f>ROUND(TABLE_PIVOT[[#This Row],[Satisfaction Rating]],0)</f>
        <v>3</v>
      </c>
    </row>
    <row r="188" spans="1:11" x14ac:dyDescent="0.3">
      <c r="A188" s="8" t="s">
        <v>1814</v>
      </c>
      <c r="B188" s="8" t="s">
        <v>1633</v>
      </c>
      <c r="C188" s="8">
        <v>92</v>
      </c>
      <c r="D188" s="120" t="s">
        <v>1611</v>
      </c>
      <c r="E188" s="121">
        <v>44992</v>
      </c>
      <c r="F188" s="8">
        <v>58</v>
      </c>
      <c r="G188" s="8">
        <v>3.6</v>
      </c>
      <c r="H188" s="82">
        <f>IF(MONTH(TABLE_PIVOT[[#This Row],[Date of Call]])&lt;=6,YEAR(TABLE_PIVOT[[#This Row],[Date of Call]]),YEAR(TABLE_PIVOT[[#This Row],[Date of Call]])+1)</f>
        <v>2023</v>
      </c>
      <c r="I188" s="82" t="str">
        <f>TEXT(TABLE_PIVOT[[#This Row],[Date of Call]],"DDDD")</f>
        <v>Tuesday</v>
      </c>
      <c r="J188" s="82" t="str" cm="1">
        <f t="array" ref="J188">_xlfn.IFS(TABLE_PIVOT[[#This Row],[Duration]]&lt;=10,"Under 10 Mins",TABLE_PIVOT[[#This Row],[Duration]]&lt;=30,"10 to 30 Mins",TABLE_PIVOT[[#This Row],[Duration]]&lt;=60,"30 to 60 Mins",TABLE_PIVOT[[#This Row],[Duration]]&lt;=120,"1 to 2 Hours",TRUE,"More Than 2 Hours")</f>
        <v>1 to 2 Hours</v>
      </c>
      <c r="K188" s="82">
        <f>ROUND(TABLE_PIVOT[[#This Row],[Satisfaction Rating]],0)</f>
        <v>4</v>
      </c>
    </row>
    <row r="189" spans="1:11" x14ac:dyDescent="0.3">
      <c r="A189" s="8" t="s">
        <v>1815</v>
      </c>
      <c r="B189" s="8" t="s">
        <v>1633</v>
      </c>
      <c r="C189" s="8">
        <v>41</v>
      </c>
      <c r="D189" s="120" t="s">
        <v>1626</v>
      </c>
      <c r="E189" s="121">
        <v>44992</v>
      </c>
      <c r="F189" s="8">
        <v>68</v>
      </c>
      <c r="G189" s="8">
        <v>4</v>
      </c>
      <c r="H189" s="82">
        <f>IF(MONTH(TABLE_PIVOT[[#This Row],[Date of Call]])&lt;=6,YEAR(TABLE_PIVOT[[#This Row],[Date of Call]]),YEAR(TABLE_PIVOT[[#This Row],[Date of Call]])+1)</f>
        <v>2023</v>
      </c>
      <c r="I189" s="82" t="str">
        <f>TEXT(TABLE_PIVOT[[#This Row],[Date of Call]],"DDDD")</f>
        <v>Tuesday</v>
      </c>
      <c r="J189" s="82" t="str" cm="1">
        <f t="array" ref="J189">_xlfn.IFS(TABLE_PIVOT[[#This Row],[Duration]]&lt;=10,"Under 10 Mins",TABLE_PIVOT[[#This Row],[Duration]]&lt;=30,"10 to 30 Mins",TABLE_PIVOT[[#This Row],[Duration]]&lt;=60,"30 to 60 Mins",TABLE_PIVOT[[#This Row],[Duration]]&lt;=120,"1 to 2 Hours",TRUE,"More Than 2 Hours")</f>
        <v>30 to 60 Mins</v>
      </c>
      <c r="K189" s="82">
        <f>ROUND(TABLE_PIVOT[[#This Row],[Satisfaction Rating]],0)</f>
        <v>4</v>
      </c>
    </row>
    <row r="190" spans="1:11" x14ac:dyDescent="0.3">
      <c r="A190" s="8" t="s">
        <v>1816</v>
      </c>
      <c r="B190" s="8" t="s">
        <v>1635</v>
      </c>
      <c r="C190" s="8">
        <v>134</v>
      </c>
      <c r="D190" s="120" t="s">
        <v>1621</v>
      </c>
      <c r="E190" s="121">
        <v>44992</v>
      </c>
      <c r="F190" s="8">
        <v>160</v>
      </c>
      <c r="G190" s="8">
        <v>4.5</v>
      </c>
      <c r="H190" s="82">
        <f>IF(MONTH(TABLE_PIVOT[[#This Row],[Date of Call]])&lt;=6,YEAR(TABLE_PIVOT[[#This Row],[Date of Call]]),YEAR(TABLE_PIVOT[[#This Row],[Date of Call]])+1)</f>
        <v>2023</v>
      </c>
      <c r="I190" s="82" t="str">
        <f>TEXT(TABLE_PIVOT[[#This Row],[Date of Call]],"DDDD")</f>
        <v>Tuesday</v>
      </c>
      <c r="J190" s="82" t="str" cm="1">
        <f t="array" ref="J190">_xlfn.IFS(TABLE_PIVOT[[#This Row],[Duration]]&lt;=10,"Under 10 Mins",TABLE_PIVOT[[#This Row],[Duration]]&lt;=30,"10 to 30 Mins",TABLE_PIVOT[[#This Row],[Duration]]&lt;=60,"30 to 60 Mins",TABLE_PIVOT[[#This Row],[Duration]]&lt;=120,"1 to 2 Hours",TRUE,"More Than 2 Hours")</f>
        <v>More Than 2 Hours</v>
      </c>
      <c r="K190" s="82">
        <f>ROUND(TABLE_PIVOT[[#This Row],[Satisfaction Rating]],0)</f>
        <v>5</v>
      </c>
    </row>
    <row r="191" spans="1:11" x14ac:dyDescent="0.3">
      <c r="A191" s="8" t="s">
        <v>1817</v>
      </c>
      <c r="B191" s="8" t="s">
        <v>1662</v>
      </c>
      <c r="C191" s="8">
        <v>80</v>
      </c>
      <c r="D191" s="120" t="s">
        <v>1630</v>
      </c>
      <c r="E191" s="121">
        <v>44992</v>
      </c>
      <c r="F191" s="8">
        <v>45</v>
      </c>
      <c r="G191" s="8">
        <v>3</v>
      </c>
      <c r="H191" s="82">
        <f>IF(MONTH(TABLE_PIVOT[[#This Row],[Date of Call]])&lt;=6,YEAR(TABLE_PIVOT[[#This Row],[Date of Call]]),YEAR(TABLE_PIVOT[[#This Row],[Date of Call]])+1)</f>
        <v>2023</v>
      </c>
      <c r="I191" s="82" t="str">
        <f>TEXT(TABLE_PIVOT[[#This Row],[Date of Call]],"DDDD")</f>
        <v>Tuesday</v>
      </c>
      <c r="J191" s="82" t="str" cm="1">
        <f t="array" ref="J191">_xlfn.IFS(TABLE_PIVOT[[#This Row],[Duration]]&lt;=10,"Under 10 Mins",TABLE_PIVOT[[#This Row],[Duration]]&lt;=30,"10 to 30 Mins",TABLE_PIVOT[[#This Row],[Duration]]&lt;=60,"30 to 60 Mins",TABLE_PIVOT[[#This Row],[Duration]]&lt;=120,"1 to 2 Hours",TRUE,"More Than 2 Hours")</f>
        <v>1 to 2 Hours</v>
      </c>
      <c r="K191" s="82">
        <f>ROUND(TABLE_PIVOT[[#This Row],[Satisfaction Rating]],0)</f>
        <v>3</v>
      </c>
    </row>
    <row r="192" spans="1:11" x14ac:dyDescent="0.3">
      <c r="A192" s="8" t="s">
        <v>1818</v>
      </c>
      <c r="B192" s="8" t="s">
        <v>1682</v>
      </c>
      <c r="C192" s="8">
        <v>103</v>
      </c>
      <c r="D192" s="120" t="s">
        <v>1616</v>
      </c>
      <c r="E192" s="121">
        <v>44993</v>
      </c>
      <c r="F192" s="8">
        <v>117</v>
      </c>
      <c r="G192" s="8">
        <v>3</v>
      </c>
      <c r="H192" s="82">
        <f>IF(MONTH(TABLE_PIVOT[[#This Row],[Date of Call]])&lt;=6,YEAR(TABLE_PIVOT[[#This Row],[Date of Call]]),YEAR(TABLE_PIVOT[[#This Row],[Date of Call]])+1)</f>
        <v>2023</v>
      </c>
      <c r="I192" s="82" t="str">
        <f>TEXT(TABLE_PIVOT[[#This Row],[Date of Call]],"DDDD")</f>
        <v>Wednesday</v>
      </c>
      <c r="J192" s="82" t="str" cm="1">
        <f t="array" ref="J192">_xlfn.IFS(TABLE_PIVOT[[#This Row],[Duration]]&lt;=10,"Under 10 Mins",TABLE_PIVOT[[#This Row],[Duration]]&lt;=30,"10 to 30 Mins",TABLE_PIVOT[[#This Row],[Duration]]&lt;=60,"30 to 60 Mins",TABLE_PIVOT[[#This Row],[Duration]]&lt;=120,"1 to 2 Hours",TRUE,"More Than 2 Hours")</f>
        <v>1 to 2 Hours</v>
      </c>
      <c r="K192" s="82">
        <f>ROUND(TABLE_PIVOT[[#This Row],[Satisfaction Rating]],0)</f>
        <v>3</v>
      </c>
    </row>
    <row r="193" spans="1:11" x14ac:dyDescent="0.3">
      <c r="A193" s="8" t="s">
        <v>1819</v>
      </c>
      <c r="B193" s="8" t="s">
        <v>1644</v>
      </c>
      <c r="C193" s="8">
        <v>20</v>
      </c>
      <c r="D193" s="120" t="s">
        <v>1611</v>
      </c>
      <c r="E193" s="121">
        <v>44994</v>
      </c>
      <c r="F193" s="8">
        <v>22</v>
      </c>
      <c r="G193" s="8">
        <v>1.6</v>
      </c>
      <c r="H193" s="82">
        <f>IF(MONTH(TABLE_PIVOT[[#This Row],[Date of Call]])&lt;=6,YEAR(TABLE_PIVOT[[#This Row],[Date of Call]]),YEAR(TABLE_PIVOT[[#This Row],[Date of Call]])+1)</f>
        <v>2023</v>
      </c>
      <c r="I193" s="82" t="str">
        <f>TEXT(TABLE_PIVOT[[#This Row],[Date of Call]],"DDDD")</f>
        <v>Thursday</v>
      </c>
      <c r="J193" s="82" t="str" cm="1">
        <f t="array" ref="J193">_xlfn.IFS(TABLE_PIVOT[[#This Row],[Duration]]&lt;=10,"Under 10 Mins",TABLE_PIVOT[[#This Row],[Duration]]&lt;=30,"10 to 30 Mins",TABLE_PIVOT[[#This Row],[Duration]]&lt;=60,"30 to 60 Mins",TABLE_PIVOT[[#This Row],[Duration]]&lt;=120,"1 to 2 Hours",TRUE,"More Than 2 Hours")</f>
        <v>10 to 30 Mins</v>
      </c>
      <c r="K193" s="82">
        <f>ROUND(TABLE_PIVOT[[#This Row],[Satisfaction Rating]],0)</f>
        <v>2</v>
      </c>
    </row>
    <row r="194" spans="1:11" x14ac:dyDescent="0.3">
      <c r="A194" s="8" t="s">
        <v>1820</v>
      </c>
      <c r="B194" s="8" t="s">
        <v>1682</v>
      </c>
      <c r="C194" s="8">
        <v>75</v>
      </c>
      <c r="D194" s="120" t="s">
        <v>1630</v>
      </c>
      <c r="E194" s="121">
        <v>44994</v>
      </c>
      <c r="F194" s="8">
        <v>195</v>
      </c>
      <c r="G194" s="8">
        <v>3</v>
      </c>
      <c r="H194" s="82">
        <f>IF(MONTH(TABLE_PIVOT[[#This Row],[Date of Call]])&lt;=6,YEAR(TABLE_PIVOT[[#This Row],[Date of Call]]),YEAR(TABLE_PIVOT[[#This Row],[Date of Call]])+1)</f>
        <v>2023</v>
      </c>
      <c r="I194" s="82" t="str">
        <f>TEXT(TABLE_PIVOT[[#This Row],[Date of Call]],"DDDD")</f>
        <v>Thursday</v>
      </c>
      <c r="J194" s="82" t="str" cm="1">
        <f t="array" ref="J194">_xlfn.IFS(TABLE_PIVOT[[#This Row],[Duration]]&lt;=10,"Under 10 Mins",TABLE_PIVOT[[#This Row],[Duration]]&lt;=30,"10 to 30 Mins",TABLE_PIVOT[[#This Row],[Duration]]&lt;=60,"30 to 60 Mins",TABLE_PIVOT[[#This Row],[Duration]]&lt;=120,"1 to 2 Hours",TRUE,"More Than 2 Hours")</f>
        <v>1 to 2 Hours</v>
      </c>
      <c r="K194" s="82">
        <f>ROUND(TABLE_PIVOT[[#This Row],[Satisfaction Rating]],0)</f>
        <v>3</v>
      </c>
    </row>
    <row r="195" spans="1:11" x14ac:dyDescent="0.3">
      <c r="A195" s="8" t="s">
        <v>1821</v>
      </c>
      <c r="B195" s="8" t="s">
        <v>1633</v>
      </c>
      <c r="C195" s="8">
        <v>80</v>
      </c>
      <c r="D195" s="120" t="s">
        <v>1621</v>
      </c>
      <c r="E195" s="121">
        <v>44994</v>
      </c>
      <c r="F195" s="8">
        <v>168</v>
      </c>
      <c r="G195" s="8">
        <v>3.7</v>
      </c>
      <c r="H195" s="82">
        <f>IF(MONTH(TABLE_PIVOT[[#This Row],[Date of Call]])&lt;=6,YEAR(TABLE_PIVOT[[#This Row],[Date of Call]]),YEAR(TABLE_PIVOT[[#This Row],[Date of Call]])+1)</f>
        <v>2023</v>
      </c>
      <c r="I195" s="82" t="str">
        <f>TEXT(TABLE_PIVOT[[#This Row],[Date of Call]],"DDDD")</f>
        <v>Thursday</v>
      </c>
      <c r="J195" s="82" t="str" cm="1">
        <f t="array" ref="J195">_xlfn.IFS(TABLE_PIVOT[[#This Row],[Duration]]&lt;=10,"Under 10 Mins",TABLE_PIVOT[[#This Row],[Duration]]&lt;=30,"10 to 30 Mins",TABLE_PIVOT[[#This Row],[Duration]]&lt;=60,"30 to 60 Mins",TABLE_PIVOT[[#This Row],[Duration]]&lt;=120,"1 to 2 Hours",TRUE,"More Than 2 Hours")</f>
        <v>1 to 2 Hours</v>
      </c>
      <c r="K195" s="82">
        <f>ROUND(TABLE_PIVOT[[#This Row],[Satisfaction Rating]],0)</f>
        <v>4</v>
      </c>
    </row>
    <row r="196" spans="1:11" x14ac:dyDescent="0.3">
      <c r="A196" s="8" t="s">
        <v>1822</v>
      </c>
      <c r="B196" s="8" t="s">
        <v>1624</v>
      </c>
      <c r="C196" s="8">
        <v>85</v>
      </c>
      <c r="D196" s="120" t="s">
        <v>1626</v>
      </c>
      <c r="E196" s="121">
        <v>44995</v>
      </c>
      <c r="F196" s="8">
        <v>46</v>
      </c>
      <c r="G196" s="8">
        <v>4.9000000000000004</v>
      </c>
      <c r="H196" s="82">
        <f>IF(MONTH(TABLE_PIVOT[[#This Row],[Date of Call]])&lt;=6,YEAR(TABLE_PIVOT[[#This Row],[Date of Call]]),YEAR(TABLE_PIVOT[[#This Row],[Date of Call]])+1)</f>
        <v>2023</v>
      </c>
      <c r="I196" s="82" t="str">
        <f>TEXT(TABLE_PIVOT[[#This Row],[Date of Call]],"DDDD")</f>
        <v>Friday</v>
      </c>
      <c r="J196" s="82" t="str" cm="1">
        <f t="array" ref="J196">_xlfn.IFS(TABLE_PIVOT[[#This Row],[Duration]]&lt;=10,"Under 10 Mins",TABLE_PIVOT[[#This Row],[Duration]]&lt;=30,"10 to 30 Mins",TABLE_PIVOT[[#This Row],[Duration]]&lt;=60,"30 to 60 Mins",TABLE_PIVOT[[#This Row],[Duration]]&lt;=120,"1 to 2 Hours",TRUE,"More Than 2 Hours")</f>
        <v>1 to 2 Hours</v>
      </c>
      <c r="K196" s="82">
        <f>ROUND(TABLE_PIVOT[[#This Row],[Satisfaction Rating]],0)</f>
        <v>5</v>
      </c>
    </row>
    <row r="197" spans="1:11" x14ac:dyDescent="0.3">
      <c r="A197" s="8" t="s">
        <v>1823</v>
      </c>
      <c r="B197" s="8" t="s">
        <v>1613</v>
      </c>
      <c r="C197" s="8">
        <v>155</v>
      </c>
      <c r="D197" s="120" t="s">
        <v>1611</v>
      </c>
      <c r="E197" s="121">
        <v>44995</v>
      </c>
      <c r="F197" s="8">
        <v>164</v>
      </c>
      <c r="G197" s="8">
        <v>3.4</v>
      </c>
      <c r="H197" s="82">
        <f>IF(MONTH(TABLE_PIVOT[[#This Row],[Date of Call]])&lt;=6,YEAR(TABLE_PIVOT[[#This Row],[Date of Call]]),YEAR(TABLE_PIVOT[[#This Row],[Date of Call]])+1)</f>
        <v>2023</v>
      </c>
      <c r="I197" s="82" t="str">
        <f>TEXT(TABLE_PIVOT[[#This Row],[Date of Call]],"DDDD")</f>
        <v>Friday</v>
      </c>
      <c r="J197" s="82" t="str" cm="1">
        <f t="array" ref="J197">_xlfn.IFS(TABLE_PIVOT[[#This Row],[Duration]]&lt;=10,"Under 10 Mins",TABLE_PIVOT[[#This Row],[Duration]]&lt;=30,"10 to 30 Mins",TABLE_PIVOT[[#This Row],[Duration]]&lt;=60,"30 to 60 Mins",TABLE_PIVOT[[#This Row],[Duration]]&lt;=120,"1 to 2 Hours",TRUE,"More Than 2 Hours")</f>
        <v>More Than 2 Hours</v>
      </c>
      <c r="K197" s="82">
        <f>ROUND(TABLE_PIVOT[[#This Row],[Satisfaction Rating]],0)</f>
        <v>3</v>
      </c>
    </row>
    <row r="198" spans="1:11" x14ac:dyDescent="0.3">
      <c r="A198" s="8" t="s">
        <v>1824</v>
      </c>
      <c r="B198" s="8" t="s">
        <v>1624</v>
      </c>
      <c r="C198" s="8">
        <v>63</v>
      </c>
      <c r="D198" s="120" t="s">
        <v>1626</v>
      </c>
      <c r="E198" s="121">
        <v>44995</v>
      </c>
      <c r="F198" s="8">
        <v>48</v>
      </c>
      <c r="G198" s="8">
        <v>5</v>
      </c>
      <c r="H198" s="82">
        <f>IF(MONTH(TABLE_PIVOT[[#This Row],[Date of Call]])&lt;=6,YEAR(TABLE_PIVOT[[#This Row],[Date of Call]]),YEAR(TABLE_PIVOT[[#This Row],[Date of Call]])+1)</f>
        <v>2023</v>
      </c>
      <c r="I198" s="82" t="str">
        <f>TEXT(TABLE_PIVOT[[#This Row],[Date of Call]],"DDDD")</f>
        <v>Friday</v>
      </c>
      <c r="J198" s="82" t="str" cm="1">
        <f t="array" ref="J198">_xlfn.IFS(TABLE_PIVOT[[#This Row],[Duration]]&lt;=10,"Under 10 Mins",TABLE_PIVOT[[#This Row],[Duration]]&lt;=30,"10 to 30 Mins",TABLE_PIVOT[[#This Row],[Duration]]&lt;=60,"30 to 60 Mins",TABLE_PIVOT[[#This Row],[Duration]]&lt;=120,"1 to 2 Hours",TRUE,"More Than 2 Hours")</f>
        <v>1 to 2 Hours</v>
      </c>
      <c r="K198" s="82">
        <f>ROUND(TABLE_PIVOT[[#This Row],[Satisfaction Rating]],0)</f>
        <v>5</v>
      </c>
    </row>
    <row r="199" spans="1:11" x14ac:dyDescent="0.3">
      <c r="A199" s="8" t="s">
        <v>1825</v>
      </c>
      <c r="B199" s="8" t="s">
        <v>1615</v>
      </c>
      <c r="C199" s="8">
        <v>105</v>
      </c>
      <c r="D199" s="120" t="s">
        <v>1616</v>
      </c>
      <c r="E199" s="121">
        <v>44995</v>
      </c>
      <c r="F199" s="8">
        <v>96</v>
      </c>
      <c r="G199" s="8">
        <v>5</v>
      </c>
      <c r="H199" s="82">
        <f>IF(MONTH(TABLE_PIVOT[[#This Row],[Date of Call]])&lt;=6,YEAR(TABLE_PIVOT[[#This Row],[Date of Call]]),YEAR(TABLE_PIVOT[[#This Row],[Date of Call]])+1)</f>
        <v>2023</v>
      </c>
      <c r="I199" s="82" t="str">
        <f>TEXT(TABLE_PIVOT[[#This Row],[Date of Call]],"DDDD")</f>
        <v>Friday</v>
      </c>
      <c r="J199" s="82" t="str" cm="1">
        <f t="array" ref="J199">_xlfn.IFS(TABLE_PIVOT[[#This Row],[Duration]]&lt;=10,"Under 10 Mins",TABLE_PIVOT[[#This Row],[Duration]]&lt;=30,"10 to 30 Mins",TABLE_PIVOT[[#This Row],[Duration]]&lt;=60,"30 to 60 Mins",TABLE_PIVOT[[#This Row],[Duration]]&lt;=120,"1 to 2 Hours",TRUE,"More Than 2 Hours")</f>
        <v>1 to 2 Hours</v>
      </c>
      <c r="K199" s="82">
        <f>ROUND(TABLE_PIVOT[[#This Row],[Satisfaction Rating]],0)</f>
        <v>5</v>
      </c>
    </row>
    <row r="200" spans="1:11" x14ac:dyDescent="0.3">
      <c r="A200" s="8" t="s">
        <v>1826</v>
      </c>
      <c r="B200" s="8" t="s">
        <v>1624</v>
      </c>
      <c r="C200" s="8">
        <v>71</v>
      </c>
      <c r="D200" s="120" t="s">
        <v>1626</v>
      </c>
      <c r="E200" s="121">
        <v>44995</v>
      </c>
      <c r="F200" s="8">
        <v>105</v>
      </c>
      <c r="G200" s="8">
        <v>4</v>
      </c>
      <c r="H200" s="82">
        <f>IF(MONTH(TABLE_PIVOT[[#This Row],[Date of Call]])&lt;=6,YEAR(TABLE_PIVOT[[#This Row],[Date of Call]]),YEAR(TABLE_PIVOT[[#This Row],[Date of Call]])+1)</f>
        <v>2023</v>
      </c>
      <c r="I200" s="82" t="str">
        <f>TEXT(TABLE_PIVOT[[#This Row],[Date of Call]],"DDDD")</f>
        <v>Friday</v>
      </c>
      <c r="J200" s="82" t="str" cm="1">
        <f t="array" ref="J200">_xlfn.IFS(TABLE_PIVOT[[#This Row],[Duration]]&lt;=10,"Under 10 Mins",TABLE_PIVOT[[#This Row],[Duration]]&lt;=30,"10 to 30 Mins",TABLE_PIVOT[[#This Row],[Duration]]&lt;=60,"30 to 60 Mins",TABLE_PIVOT[[#This Row],[Duration]]&lt;=120,"1 to 2 Hours",TRUE,"More Than 2 Hours")</f>
        <v>1 to 2 Hours</v>
      </c>
      <c r="K200" s="82">
        <f>ROUND(TABLE_PIVOT[[#This Row],[Satisfaction Rating]],0)</f>
        <v>4</v>
      </c>
    </row>
    <row r="201" spans="1:11" x14ac:dyDescent="0.3">
      <c r="A201" s="8" t="s">
        <v>1827</v>
      </c>
      <c r="B201" s="8" t="s">
        <v>1613</v>
      </c>
      <c r="C201" s="8">
        <v>100</v>
      </c>
      <c r="D201" s="120" t="s">
        <v>1626</v>
      </c>
      <c r="E201" s="121">
        <v>44996</v>
      </c>
      <c r="F201" s="8">
        <v>44</v>
      </c>
      <c r="G201" s="8">
        <v>3.6</v>
      </c>
      <c r="H201" s="82">
        <f>IF(MONTH(TABLE_PIVOT[[#This Row],[Date of Call]])&lt;=6,YEAR(TABLE_PIVOT[[#This Row],[Date of Call]]),YEAR(TABLE_PIVOT[[#This Row],[Date of Call]])+1)</f>
        <v>2023</v>
      </c>
      <c r="I201" s="82" t="str">
        <f>TEXT(TABLE_PIVOT[[#This Row],[Date of Call]],"DDDD")</f>
        <v>Saturday</v>
      </c>
      <c r="J201" s="82" t="str" cm="1">
        <f t="array" ref="J201">_xlfn.IFS(TABLE_PIVOT[[#This Row],[Duration]]&lt;=10,"Under 10 Mins",TABLE_PIVOT[[#This Row],[Duration]]&lt;=30,"10 to 30 Mins",TABLE_PIVOT[[#This Row],[Duration]]&lt;=60,"30 to 60 Mins",TABLE_PIVOT[[#This Row],[Duration]]&lt;=120,"1 to 2 Hours",TRUE,"More Than 2 Hours")</f>
        <v>1 to 2 Hours</v>
      </c>
      <c r="K201" s="82">
        <f>ROUND(TABLE_PIVOT[[#This Row],[Satisfaction Rating]],0)</f>
        <v>4</v>
      </c>
    </row>
    <row r="202" spans="1:11" x14ac:dyDescent="0.3">
      <c r="A202" s="8" t="s">
        <v>1828</v>
      </c>
      <c r="B202" s="8" t="s">
        <v>1610</v>
      </c>
      <c r="C202" s="8">
        <v>93</v>
      </c>
      <c r="D202" s="120" t="s">
        <v>1621</v>
      </c>
      <c r="E202" s="121">
        <v>44996</v>
      </c>
      <c r="F202" s="8">
        <v>132</v>
      </c>
      <c r="G202" s="8">
        <v>3.7</v>
      </c>
      <c r="H202" s="82">
        <f>IF(MONTH(TABLE_PIVOT[[#This Row],[Date of Call]])&lt;=6,YEAR(TABLE_PIVOT[[#This Row],[Date of Call]]),YEAR(TABLE_PIVOT[[#This Row],[Date of Call]])+1)</f>
        <v>2023</v>
      </c>
      <c r="I202" s="82" t="str">
        <f>TEXT(TABLE_PIVOT[[#This Row],[Date of Call]],"DDDD")</f>
        <v>Saturday</v>
      </c>
      <c r="J202" s="82" t="str" cm="1">
        <f t="array" ref="J202">_xlfn.IFS(TABLE_PIVOT[[#This Row],[Duration]]&lt;=10,"Under 10 Mins",TABLE_PIVOT[[#This Row],[Duration]]&lt;=30,"10 to 30 Mins",TABLE_PIVOT[[#This Row],[Duration]]&lt;=60,"30 to 60 Mins",TABLE_PIVOT[[#This Row],[Duration]]&lt;=120,"1 to 2 Hours",TRUE,"More Than 2 Hours")</f>
        <v>1 to 2 Hours</v>
      </c>
      <c r="K202" s="82">
        <f>ROUND(TABLE_PIVOT[[#This Row],[Satisfaction Rating]],0)</f>
        <v>4</v>
      </c>
    </row>
    <row r="203" spans="1:11" x14ac:dyDescent="0.3">
      <c r="A203" s="8" t="s">
        <v>1829</v>
      </c>
      <c r="B203" s="8" t="s">
        <v>1615</v>
      </c>
      <c r="C203" s="8">
        <v>84</v>
      </c>
      <c r="D203" s="120" t="s">
        <v>1611</v>
      </c>
      <c r="E203" s="121">
        <v>44996</v>
      </c>
      <c r="F203" s="8">
        <v>54</v>
      </c>
      <c r="G203" s="8">
        <v>4.2</v>
      </c>
      <c r="H203" s="82">
        <f>IF(MONTH(TABLE_PIVOT[[#This Row],[Date of Call]])&lt;=6,YEAR(TABLE_PIVOT[[#This Row],[Date of Call]]),YEAR(TABLE_PIVOT[[#This Row],[Date of Call]])+1)</f>
        <v>2023</v>
      </c>
      <c r="I203" s="82" t="str">
        <f>TEXT(TABLE_PIVOT[[#This Row],[Date of Call]],"DDDD")</f>
        <v>Saturday</v>
      </c>
      <c r="J203" s="82" t="str" cm="1">
        <f t="array" ref="J203">_xlfn.IFS(TABLE_PIVOT[[#This Row],[Duration]]&lt;=10,"Under 10 Mins",TABLE_PIVOT[[#This Row],[Duration]]&lt;=30,"10 to 30 Mins",TABLE_PIVOT[[#This Row],[Duration]]&lt;=60,"30 to 60 Mins",TABLE_PIVOT[[#This Row],[Duration]]&lt;=120,"1 to 2 Hours",TRUE,"More Than 2 Hours")</f>
        <v>1 to 2 Hours</v>
      </c>
      <c r="K203" s="82">
        <f>ROUND(TABLE_PIVOT[[#This Row],[Satisfaction Rating]],0)</f>
        <v>4</v>
      </c>
    </row>
    <row r="204" spans="1:11" x14ac:dyDescent="0.3">
      <c r="A204" s="8" t="s">
        <v>1830</v>
      </c>
      <c r="B204" s="8" t="s">
        <v>1662</v>
      </c>
      <c r="C204" s="8">
        <v>56</v>
      </c>
      <c r="D204" s="120" t="s">
        <v>1630</v>
      </c>
      <c r="E204" s="121">
        <v>44996</v>
      </c>
      <c r="F204" s="8">
        <v>129</v>
      </c>
      <c r="G204" s="8">
        <v>2.1</v>
      </c>
      <c r="H204" s="82">
        <f>IF(MONTH(TABLE_PIVOT[[#This Row],[Date of Call]])&lt;=6,YEAR(TABLE_PIVOT[[#This Row],[Date of Call]]),YEAR(TABLE_PIVOT[[#This Row],[Date of Call]])+1)</f>
        <v>2023</v>
      </c>
      <c r="I204" s="82" t="str">
        <f>TEXT(TABLE_PIVOT[[#This Row],[Date of Call]],"DDDD")</f>
        <v>Saturday</v>
      </c>
      <c r="J204" s="82" t="str" cm="1">
        <f t="array" ref="J204">_xlfn.IFS(TABLE_PIVOT[[#This Row],[Duration]]&lt;=10,"Under 10 Mins",TABLE_PIVOT[[#This Row],[Duration]]&lt;=30,"10 to 30 Mins",TABLE_PIVOT[[#This Row],[Duration]]&lt;=60,"30 to 60 Mins",TABLE_PIVOT[[#This Row],[Duration]]&lt;=120,"1 to 2 Hours",TRUE,"More Than 2 Hours")</f>
        <v>30 to 60 Mins</v>
      </c>
      <c r="K204" s="82">
        <f>ROUND(TABLE_PIVOT[[#This Row],[Satisfaction Rating]],0)</f>
        <v>2</v>
      </c>
    </row>
    <row r="205" spans="1:11" x14ac:dyDescent="0.3">
      <c r="A205" s="8" t="s">
        <v>1831</v>
      </c>
      <c r="B205" s="8" t="s">
        <v>1662</v>
      </c>
      <c r="C205" s="8">
        <v>63</v>
      </c>
      <c r="D205" s="120" t="s">
        <v>1626</v>
      </c>
      <c r="E205" s="121">
        <v>44996</v>
      </c>
      <c r="F205" s="8">
        <v>42</v>
      </c>
      <c r="G205" s="8">
        <v>4</v>
      </c>
      <c r="H205" s="82">
        <f>IF(MONTH(TABLE_PIVOT[[#This Row],[Date of Call]])&lt;=6,YEAR(TABLE_PIVOT[[#This Row],[Date of Call]]),YEAR(TABLE_PIVOT[[#This Row],[Date of Call]])+1)</f>
        <v>2023</v>
      </c>
      <c r="I205" s="82" t="str">
        <f>TEXT(TABLE_PIVOT[[#This Row],[Date of Call]],"DDDD")</f>
        <v>Saturday</v>
      </c>
      <c r="J205" s="82" t="str" cm="1">
        <f t="array" ref="J205">_xlfn.IFS(TABLE_PIVOT[[#This Row],[Duration]]&lt;=10,"Under 10 Mins",TABLE_PIVOT[[#This Row],[Duration]]&lt;=30,"10 to 30 Mins",TABLE_PIVOT[[#This Row],[Duration]]&lt;=60,"30 to 60 Mins",TABLE_PIVOT[[#This Row],[Duration]]&lt;=120,"1 to 2 Hours",TRUE,"More Than 2 Hours")</f>
        <v>1 to 2 Hours</v>
      </c>
      <c r="K205" s="82">
        <f>ROUND(TABLE_PIVOT[[#This Row],[Satisfaction Rating]],0)</f>
        <v>4</v>
      </c>
    </row>
    <row r="206" spans="1:11" x14ac:dyDescent="0.3">
      <c r="A206" s="8" t="s">
        <v>1832</v>
      </c>
      <c r="B206" s="8" t="s">
        <v>1641</v>
      </c>
      <c r="C206" s="8">
        <v>83</v>
      </c>
      <c r="D206" s="120" t="s">
        <v>1626</v>
      </c>
      <c r="E206" s="121">
        <v>44996</v>
      </c>
      <c r="F206" s="8">
        <v>42</v>
      </c>
      <c r="G206" s="8">
        <v>4.2</v>
      </c>
      <c r="H206" s="82">
        <f>IF(MONTH(TABLE_PIVOT[[#This Row],[Date of Call]])&lt;=6,YEAR(TABLE_PIVOT[[#This Row],[Date of Call]]),YEAR(TABLE_PIVOT[[#This Row],[Date of Call]])+1)</f>
        <v>2023</v>
      </c>
      <c r="I206" s="82" t="str">
        <f>TEXT(TABLE_PIVOT[[#This Row],[Date of Call]],"DDDD")</f>
        <v>Saturday</v>
      </c>
      <c r="J206" s="82" t="str" cm="1">
        <f t="array" ref="J206">_xlfn.IFS(TABLE_PIVOT[[#This Row],[Duration]]&lt;=10,"Under 10 Mins",TABLE_PIVOT[[#This Row],[Duration]]&lt;=30,"10 to 30 Mins",TABLE_PIVOT[[#This Row],[Duration]]&lt;=60,"30 to 60 Mins",TABLE_PIVOT[[#This Row],[Duration]]&lt;=120,"1 to 2 Hours",TRUE,"More Than 2 Hours")</f>
        <v>1 to 2 Hours</v>
      </c>
      <c r="K206" s="82">
        <f>ROUND(TABLE_PIVOT[[#This Row],[Satisfaction Rating]],0)</f>
        <v>4</v>
      </c>
    </row>
    <row r="207" spans="1:11" x14ac:dyDescent="0.3">
      <c r="A207" s="8" t="s">
        <v>1833</v>
      </c>
      <c r="B207" s="8" t="s">
        <v>1633</v>
      </c>
      <c r="C207" s="8">
        <v>134</v>
      </c>
      <c r="D207" s="120" t="s">
        <v>1611</v>
      </c>
      <c r="E207" s="121">
        <v>44996</v>
      </c>
      <c r="F207" s="8">
        <v>180</v>
      </c>
      <c r="G207" s="8">
        <v>3.1</v>
      </c>
      <c r="H207" s="82">
        <f>IF(MONTH(TABLE_PIVOT[[#This Row],[Date of Call]])&lt;=6,YEAR(TABLE_PIVOT[[#This Row],[Date of Call]]),YEAR(TABLE_PIVOT[[#This Row],[Date of Call]])+1)</f>
        <v>2023</v>
      </c>
      <c r="I207" s="82" t="str">
        <f>TEXT(TABLE_PIVOT[[#This Row],[Date of Call]],"DDDD")</f>
        <v>Saturday</v>
      </c>
      <c r="J207" s="82" t="str" cm="1">
        <f t="array" ref="J207">_xlfn.IFS(TABLE_PIVOT[[#This Row],[Duration]]&lt;=10,"Under 10 Mins",TABLE_PIVOT[[#This Row],[Duration]]&lt;=30,"10 to 30 Mins",TABLE_PIVOT[[#This Row],[Duration]]&lt;=60,"30 to 60 Mins",TABLE_PIVOT[[#This Row],[Duration]]&lt;=120,"1 to 2 Hours",TRUE,"More Than 2 Hours")</f>
        <v>More Than 2 Hours</v>
      </c>
      <c r="K207" s="82">
        <f>ROUND(TABLE_PIVOT[[#This Row],[Satisfaction Rating]],0)</f>
        <v>3</v>
      </c>
    </row>
    <row r="208" spans="1:11" x14ac:dyDescent="0.3">
      <c r="A208" s="8" t="s">
        <v>1834</v>
      </c>
      <c r="B208" s="8" t="s">
        <v>1620</v>
      </c>
      <c r="C208" s="8">
        <v>73</v>
      </c>
      <c r="D208" s="120" t="s">
        <v>1626</v>
      </c>
      <c r="E208" s="121">
        <v>44997</v>
      </c>
      <c r="F208" s="8">
        <v>34</v>
      </c>
      <c r="G208" s="8">
        <v>4.8</v>
      </c>
      <c r="H208" s="82">
        <f>IF(MONTH(TABLE_PIVOT[[#This Row],[Date of Call]])&lt;=6,YEAR(TABLE_PIVOT[[#This Row],[Date of Call]]),YEAR(TABLE_PIVOT[[#This Row],[Date of Call]])+1)</f>
        <v>2023</v>
      </c>
      <c r="I208" s="82" t="str">
        <f>TEXT(TABLE_PIVOT[[#This Row],[Date of Call]],"DDDD")</f>
        <v>Sunday</v>
      </c>
      <c r="J208" s="82" t="str" cm="1">
        <f t="array" ref="J208">_xlfn.IFS(TABLE_PIVOT[[#This Row],[Duration]]&lt;=10,"Under 10 Mins",TABLE_PIVOT[[#This Row],[Duration]]&lt;=30,"10 to 30 Mins",TABLE_PIVOT[[#This Row],[Duration]]&lt;=60,"30 to 60 Mins",TABLE_PIVOT[[#This Row],[Duration]]&lt;=120,"1 to 2 Hours",TRUE,"More Than 2 Hours")</f>
        <v>1 to 2 Hours</v>
      </c>
      <c r="K208" s="82">
        <f>ROUND(TABLE_PIVOT[[#This Row],[Satisfaction Rating]],0)</f>
        <v>5</v>
      </c>
    </row>
    <row r="209" spans="1:11" x14ac:dyDescent="0.3">
      <c r="A209" s="8" t="s">
        <v>1835</v>
      </c>
      <c r="B209" s="8" t="s">
        <v>1682</v>
      </c>
      <c r="C209" s="8">
        <v>6</v>
      </c>
      <c r="D209" s="120" t="s">
        <v>1630</v>
      </c>
      <c r="E209" s="121">
        <v>44997</v>
      </c>
      <c r="F209" s="8">
        <v>29</v>
      </c>
      <c r="G209" s="8">
        <v>4.7</v>
      </c>
      <c r="H209" s="82">
        <f>IF(MONTH(TABLE_PIVOT[[#This Row],[Date of Call]])&lt;=6,YEAR(TABLE_PIVOT[[#This Row],[Date of Call]]),YEAR(TABLE_PIVOT[[#This Row],[Date of Call]])+1)</f>
        <v>2023</v>
      </c>
      <c r="I209" s="82" t="str">
        <f>TEXT(TABLE_PIVOT[[#This Row],[Date of Call]],"DDDD")</f>
        <v>Sunday</v>
      </c>
      <c r="J209" s="82" t="str" cm="1">
        <f t="array" ref="J209">_xlfn.IFS(TABLE_PIVOT[[#This Row],[Duration]]&lt;=10,"Under 10 Mins",TABLE_PIVOT[[#This Row],[Duration]]&lt;=30,"10 to 30 Mins",TABLE_PIVOT[[#This Row],[Duration]]&lt;=60,"30 to 60 Mins",TABLE_PIVOT[[#This Row],[Duration]]&lt;=120,"1 to 2 Hours",TRUE,"More Than 2 Hours")</f>
        <v>Under 10 Mins</v>
      </c>
      <c r="K209" s="82">
        <f>ROUND(TABLE_PIVOT[[#This Row],[Satisfaction Rating]],0)</f>
        <v>5</v>
      </c>
    </row>
    <row r="210" spans="1:11" x14ac:dyDescent="0.3">
      <c r="A210" s="8" t="s">
        <v>1836</v>
      </c>
      <c r="B210" s="8" t="s">
        <v>1652</v>
      </c>
      <c r="C210" s="8">
        <v>46</v>
      </c>
      <c r="D210" s="120" t="s">
        <v>1616</v>
      </c>
      <c r="E210" s="121">
        <v>44997</v>
      </c>
      <c r="F210" s="8">
        <v>165</v>
      </c>
      <c r="G210" s="8">
        <v>3.3</v>
      </c>
      <c r="H210" s="82">
        <f>IF(MONTH(TABLE_PIVOT[[#This Row],[Date of Call]])&lt;=6,YEAR(TABLE_PIVOT[[#This Row],[Date of Call]]),YEAR(TABLE_PIVOT[[#This Row],[Date of Call]])+1)</f>
        <v>2023</v>
      </c>
      <c r="I210" s="82" t="str">
        <f>TEXT(TABLE_PIVOT[[#This Row],[Date of Call]],"DDDD")</f>
        <v>Sunday</v>
      </c>
      <c r="J210" s="82" t="str" cm="1">
        <f t="array" ref="J210">_xlfn.IFS(TABLE_PIVOT[[#This Row],[Duration]]&lt;=10,"Under 10 Mins",TABLE_PIVOT[[#This Row],[Duration]]&lt;=30,"10 to 30 Mins",TABLE_PIVOT[[#This Row],[Duration]]&lt;=60,"30 to 60 Mins",TABLE_PIVOT[[#This Row],[Duration]]&lt;=120,"1 to 2 Hours",TRUE,"More Than 2 Hours")</f>
        <v>30 to 60 Mins</v>
      </c>
      <c r="K210" s="82">
        <f>ROUND(TABLE_PIVOT[[#This Row],[Satisfaction Rating]],0)</f>
        <v>3</v>
      </c>
    </row>
    <row r="211" spans="1:11" x14ac:dyDescent="0.3">
      <c r="A211" s="8" t="s">
        <v>1837</v>
      </c>
      <c r="B211" s="8" t="s">
        <v>1682</v>
      </c>
      <c r="C211" s="8">
        <v>121</v>
      </c>
      <c r="D211" s="120" t="s">
        <v>1626</v>
      </c>
      <c r="E211" s="121">
        <v>44998</v>
      </c>
      <c r="F211" s="8">
        <v>32</v>
      </c>
      <c r="G211" s="8">
        <v>3.7</v>
      </c>
      <c r="H211" s="82">
        <f>IF(MONTH(TABLE_PIVOT[[#This Row],[Date of Call]])&lt;=6,YEAR(TABLE_PIVOT[[#This Row],[Date of Call]]),YEAR(TABLE_PIVOT[[#This Row],[Date of Call]])+1)</f>
        <v>2023</v>
      </c>
      <c r="I211" s="82" t="str">
        <f>TEXT(TABLE_PIVOT[[#This Row],[Date of Call]],"DDDD")</f>
        <v>Monday</v>
      </c>
      <c r="J211" s="82" t="str" cm="1">
        <f t="array" ref="J211">_xlfn.IFS(TABLE_PIVOT[[#This Row],[Duration]]&lt;=10,"Under 10 Mins",TABLE_PIVOT[[#This Row],[Duration]]&lt;=30,"10 to 30 Mins",TABLE_PIVOT[[#This Row],[Duration]]&lt;=60,"30 to 60 Mins",TABLE_PIVOT[[#This Row],[Duration]]&lt;=120,"1 to 2 Hours",TRUE,"More Than 2 Hours")</f>
        <v>More Than 2 Hours</v>
      </c>
      <c r="K211" s="82">
        <f>ROUND(TABLE_PIVOT[[#This Row],[Satisfaction Rating]],0)</f>
        <v>4</v>
      </c>
    </row>
    <row r="212" spans="1:11" x14ac:dyDescent="0.3">
      <c r="A212" s="8" t="s">
        <v>1838</v>
      </c>
      <c r="B212" s="8" t="s">
        <v>1662</v>
      </c>
      <c r="C212" s="8">
        <v>61</v>
      </c>
      <c r="D212" s="120" t="s">
        <v>1621</v>
      </c>
      <c r="E212" s="121">
        <v>44998</v>
      </c>
      <c r="F212" s="8">
        <v>160</v>
      </c>
      <c r="G212" s="8">
        <v>4.9000000000000004</v>
      </c>
      <c r="H212" s="82">
        <f>IF(MONTH(TABLE_PIVOT[[#This Row],[Date of Call]])&lt;=6,YEAR(TABLE_PIVOT[[#This Row],[Date of Call]]),YEAR(TABLE_PIVOT[[#This Row],[Date of Call]])+1)</f>
        <v>2023</v>
      </c>
      <c r="I212" s="82" t="str">
        <f>TEXT(TABLE_PIVOT[[#This Row],[Date of Call]],"DDDD")</f>
        <v>Monday</v>
      </c>
      <c r="J212" s="82" t="str" cm="1">
        <f t="array" ref="J212">_xlfn.IFS(TABLE_PIVOT[[#This Row],[Duration]]&lt;=10,"Under 10 Mins",TABLE_PIVOT[[#This Row],[Duration]]&lt;=30,"10 to 30 Mins",TABLE_PIVOT[[#This Row],[Duration]]&lt;=60,"30 to 60 Mins",TABLE_PIVOT[[#This Row],[Duration]]&lt;=120,"1 to 2 Hours",TRUE,"More Than 2 Hours")</f>
        <v>1 to 2 Hours</v>
      </c>
      <c r="K212" s="82">
        <f>ROUND(TABLE_PIVOT[[#This Row],[Satisfaction Rating]],0)</f>
        <v>5</v>
      </c>
    </row>
    <row r="213" spans="1:11" x14ac:dyDescent="0.3">
      <c r="A213" s="8" t="s">
        <v>1839</v>
      </c>
      <c r="B213" s="8" t="s">
        <v>1633</v>
      </c>
      <c r="C213" s="8">
        <v>144</v>
      </c>
      <c r="D213" s="120" t="s">
        <v>1611</v>
      </c>
      <c r="E213" s="121">
        <v>44998</v>
      </c>
      <c r="F213" s="8">
        <v>140</v>
      </c>
      <c r="G213" s="8">
        <v>3.5</v>
      </c>
      <c r="H213" s="82">
        <f>IF(MONTH(TABLE_PIVOT[[#This Row],[Date of Call]])&lt;=6,YEAR(TABLE_PIVOT[[#This Row],[Date of Call]]),YEAR(TABLE_PIVOT[[#This Row],[Date of Call]])+1)</f>
        <v>2023</v>
      </c>
      <c r="I213" s="82" t="str">
        <f>TEXT(TABLE_PIVOT[[#This Row],[Date of Call]],"DDDD")</f>
        <v>Monday</v>
      </c>
      <c r="J213" s="82" t="str" cm="1">
        <f t="array" ref="J213">_xlfn.IFS(TABLE_PIVOT[[#This Row],[Duration]]&lt;=10,"Under 10 Mins",TABLE_PIVOT[[#This Row],[Duration]]&lt;=30,"10 to 30 Mins",TABLE_PIVOT[[#This Row],[Duration]]&lt;=60,"30 to 60 Mins",TABLE_PIVOT[[#This Row],[Duration]]&lt;=120,"1 to 2 Hours",TRUE,"More Than 2 Hours")</f>
        <v>More Than 2 Hours</v>
      </c>
      <c r="K213" s="82">
        <f>ROUND(TABLE_PIVOT[[#This Row],[Satisfaction Rating]],0)</f>
        <v>4</v>
      </c>
    </row>
    <row r="214" spans="1:11" x14ac:dyDescent="0.3">
      <c r="A214" s="8" t="s">
        <v>1840</v>
      </c>
      <c r="B214" s="8" t="s">
        <v>1652</v>
      </c>
      <c r="C214" s="8">
        <v>145</v>
      </c>
      <c r="D214" s="120" t="s">
        <v>1611</v>
      </c>
      <c r="E214" s="121">
        <v>44998</v>
      </c>
      <c r="F214" s="8">
        <v>136</v>
      </c>
      <c r="G214" s="8">
        <v>4.4000000000000004</v>
      </c>
      <c r="H214" s="82">
        <f>IF(MONTH(TABLE_PIVOT[[#This Row],[Date of Call]])&lt;=6,YEAR(TABLE_PIVOT[[#This Row],[Date of Call]]),YEAR(TABLE_PIVOT[[#This Row],[Date of Call]])+1)</f>
        <v>2023</v>
      </c>
      <c r="I214" s="82" t="str">
        <f>TEXT(TABLE_PIVOT[[#This Row],[Date of Call]],"DDDD")</f>
        <v>Monday</v>
      </c>
      <c r="J214" s="82" t="str" cm="1">
        <f t="array" ref="J214">_xlfn.IFS(TABLE_PIVOT[[#This Row],[Duration]]&lt;=10,"Under 10 Mins",TABLE_PIVOT[[#This Row],[Duration]]&lt;=30,"10 to 30 Mins",TABLE_PIVOT[[#This Row],[Duration]]&lt;=60,"30 to 60 Mins",TABLE_PIVOT[[#This Row],[Duration]]&lt;=120,"1 to 2 Hours",TRUE,"More Than 2 Hours")</f>
        <v>More Than 2 Hours</v>
      </c>
      <c r="K214" s="82">
        <f>ROUND(TABLE_PIVOT[[#This Row],[Satisfaction Rating]],0)</f>
        <v>4</v>
      </c>
    </row>
    <row r="215" spans="1:11" x14ac:dyDescent="0.3">
      <c r="A215" s="8" t="s">
        <v>1841</v>
      </c>
      <c r="B215" s="8" t="s">
        <v>1615</v>
      </c>
      <c r="C215" s="8">
        <v>85</v>
      </c>
      <c r="D215" s="120" t="s">
        <v>1630</v>
      </c>
      <c r="E215" s="121">
        <v>44998</v>
      </c>
      <c r="F215" s="8">
        <v>66</v>
      </c>
      <c r="G215" s="8">
        <v>2.8</v>
      </c>
      <c r="H215" s="82">
        <f>IF(MONTH(TABLE_PIVOT[[#This Row],[Date of Call]])&lt;=6,YEAR(TABLE_PIVOT[[#This Row],[Date of Call]]),YEAR(TABLE_PIVOT[[#This Row],[Date of Call]])+1)</f>
        <v>2023</v>
      </c>
      <c r="I215" s="82" t="str">
        <f>TEXT(TABLE_PIVOT[[#This Row],[Date of Call]],"DDDD")</f>
        <v>Monday</v>
      </c>
      <c r="J215" s="82" t="str" cm="1">
        <f t="array" ref="J215">_xlfn.IFS(TABLE_PIVOT[[#This Row],[Duration]]&lt;=10,"Under 10 Mins",TABLE_PIVOT[[#This Row],[Duration]]&lt;=30,"10 to 30 Mins",TABLE_PIVOT[[#This Row],[Duration]]&lt;=60,"30 to 60 Mins",TABLE_PIVOT[[#This Row],[Duration]]&lt;=120,"1 to 2 Hours",TRUE,"More Than 2 Hours")</f>
        <v>1 to 2 Hours</v>
      </c>
      <c r="K215" s="82">
        <f>ROUND(TABLE_PIVOT[[#This Row],[Satisfaction Rating]],0)</f>
        <v>3</v>
      </c>
    </row>
    <row r="216" spans="1:11" x14ac:dyDescent="0.3">
      <c r="A216" s="8" t="s">
        <v>1842</v>
      </c>
      <c r="B216" s="8" t="s">
        <v>1652</v>
      </c>
      <c r="C216" s="8">
        <v>13</v>
      </c>
      <c r="D216" s="120" t="s">
        <v>1621</v>
      </c>
      <c r="E216" s="121">
        <v>44999</v>
      </c>
      <c r="F216" s="8">
        <v>63</v>
      </c>
      <c r="G216" s="8">
        <v>4.0999999999999996</v>
      </c>
      <c r="H216" s="82">
        <f>IF(MONTH(TABLE_PIVOT[[#This Row],[Date of Call]])&lt;=6,YEAR(TABLE_PIVOT[[#This Row],[Date of Call]]),YEAR(TABLE_PIVOT[[#This Row],[Date of Call]])+1)</f>
        <v>2023</v>
      </c>
      <c r="I216" s="82" t="str">
        <f>TEXT(TABLE_PIVOT[[#This Row],[Date of Call]],"DDDD")</f>
        <v>Tuesday</v>
      </c>
      <c r="J216" s="82" t="str" cm="1">
        <f t="array" ref="J216">_xlfn.IFS(TABLE_PIVOT[[#This Row],[Duration]]&lt;=10,"Under 10 Mins",TABLE_PIVOT[[#This Row],[Duration]]&lt;=30,"10 to 30 Mins",TABLE_PIVOT[[#This Row],[Duration]]&lt;=60,"30 to 60 Mins",TABLE_PIVOT[[#This Row],[Duration]]&lt;=120,"1 to 2 Hours",TRUE,"More Than 2 Hours")</f>
        <v>10 to 30 Mins</v>
      </c>
      <c r="K216" s="82">
        <f>ROUND(TABLE_PIVOT[[#This Row],[Satisfaction Rating]],0)</f>
        <v>4</v>
      </c>
    </row>
    <row r="217" spans="1:11" x14ac:dyDescent="0.3">
      <c r="A217" s="8" t="s">
        <v>1843</v>
      </c>
      <c r="B217" s="8" t="s">
        <v>1610</v>
      </c>
      <c r="C217" s="8">
        <v>142</v>
      </c>
      <c r="D217" s="120" t="s">
        <v>1626</v>
      </c>
      <c r="E217" s="121">
        <v>44999</v>
      </c>
      <c r="F217" s="8">
        <v>44</v>
      </c>
      <c r="G217" s="8">
        <v>3.5</v>
      </c>
      <c r="H217" s="82">
        <f>IF(MONTH(TABLE_PIVOT[[#This Row],[Date of Call]])&lt;=6,YEAR(TABLE_PIVOT[[#This Row],[Date of Call]]),YEAR(TABLE_PIVOT[[#This Row],[Date of Call]])+1)</f>
        <v>2023</v>
      </c>
      <c r="I217" s="82" t="str">
        <f>TEXT(TABLE_PIVOT[[#This Row],[Date of Call]],"DDDD")</f>
        <v>Tuesday</v>
      </c>
      <c r="J217" s="82" t="str" cm="1">
        <f t="array" ref="J217">_xlfn.IFS(TABLE_PIVOT[[#This Row],[Duration]]&lt;=10,"Under 10 Mins",TABLE_PIVOT[[#This Row],[Duration]]&lt;=30,"10 to 30 Mins",TABLE_PIVOT[[#This Row],[Duration]]&lt;=60,"30 to 60 Mins",TABLE_PIVOT[[#This Row],[Duration]]&lt;=120,"1 to 2 Hours",TRUE,"More Than 2 Hours")</f>
        <v>More Than 2 Hours</v>
      </c>
      <c r="K217" s="82">
        <f>ROUND(TABLE_PIVOT[[#This Row],[Satisfaction Rating]],0)</f>
        <v>4</v>
      </c>
    </row>
    <row r="218" spans="1:11" x14ac:dyDescent="0.3">
      <c r="A218" s="8" t="s">
        <v>1844</v>
      </c>
      <c r="B218" s="8" t="s">
        <v>1633</v>
      </c>
      <c r="C218" s="8">
        <v>28</v>
      </c>
      <c r="D218" s="120" t="s">
        <v>1616</v>
      </c>
      <c r="E218" s="121">
        <v>44999</v>
      </c>
      <c r="F218" s="8">
        <v>78</v>
      </c>
      <c r="G218" s="8">
        <v>3.8</v>
      </c>
      <c r="H218" s="82">
        <f>IF(MONTH(TABLE_PIVOT[[#This Row],[Date of Call]])&lt;=6,YEAR(TABLE_PIVOT[[#This Row],[Date of Call]]),YEAR(TABLE_PIVOT[[#This Row],[Date of Call]])+1)</f>
        <v>2023</v>
      </c>
      <c r="I218" s="82" t="str">
        <f>TEXT(TABLE_PIVOT[[#This Row],[Date of Call]],"DDDD")</f>
        <v>Tuesday</v>
      </c>
      <c r="J218" s="82" t="str" cm="1">
        <f t="array" ref="J218">_xlfn.IFS(TABLE_PIVOT[[#This Row],[Duration]]&lt;=10,"Under 10 Mins",TABLE_PIVOT[[#This Row],[Duration]]&lt;=30,"10 to 30 Mins",TABLE_PIVOT[[#This Row],[Duration]]&lt;=60,"30 to 60 Mins",TABLE_PIVOT[[#This Row],[Duration]]&lt;=120,"1 to 2 Hours",TRUE,"More Than 2 Hours")</f>
        <v>10 to 30 Mins</v>
      </c>
      <c r="K218" s="82">
        <f>ROUND(TABLE_PIVOT[[#This Row],[Satisfaction Rating]],0)</f>
        <v>4</v>
      </c>
    </row>
    <row r="219" spans="1:11" x14ac:dyDescent="0.3">
      <c r="A219" s="8" t="s">
        <v>1845</v>
      </c>
      <c r="B219" s="8" t="s">
        <v>1633</v>
      </c>
      <c r="C219" s="8">
        <v>119</v>
      </c>
      <c r="D219" s="120" t="s">
        <v>1626</v>
      </c>
      <c r="E219" s="121">
        <v>44999</v>
      </c>
      <c r="F219" s="8">
        <v>20</v>
      </c>
      <c r="G219" s="8">
        <v>3.9</v>
      </c>
      <c r="H219" s="82">
        <f>IF(MONTH(TABLE_PIVOT[[#This Row],[Date of Call]])&lt;=6,YEAR(TABLE_PIVOT[[#This Row],[Date of Call]]),YEAR(TABLE_PIVOT[[#This Row],[Date of Call]])+1)</f>
        <v>2023</v>
      </c>
      <c r="I219" s="82" t="str">
        <f>TEXT(TABLE_PIVOT[[#This Row],[Date of Call]],"DDDD")</f>
        <v>Tuesday</v>
      </c>
      <c r="J219" s="82" t="str" cm="1">
        <f t="array" ref="J219">_xlfn.IFS(TABLE_PIVOT[[#This Row],[Duration]]&lt;=10,"Under 10 Mins",TABLE_PIVOT[[#This Row],[Duration]]&lt;=30,"10 to 30 Mins",TABLE_PIVOT[[#This Row],[Duration]]&lt;=60,"30 to 60 Mins",TABLE_PIVOT[[#This Row],[Duration]]&lt;=120,"1 to 2 Hours",TRUE,"More Than 2 Hours")</f>
        <v>1 to 2 Hours</v>
      </c>
      <c r="K219" s="82">
        <f>ROUND(TABLE_PIVOT[[#This Row],[Satisfaction Rating]],0)</f>
        <v>4</v>
      </c>
    </row>
    <row r="220" spans="1:11" x14ac:dyDescent="0.3">
      <c r="A220" s="8" t="s">
        <v>1846</v>
      </c>
      <c r="B220" s="8" t="s">
        <v>1682</v>
      </c>
      <c r="C220" s="8">
        <v>65</v>
      </c>
      <c r="D220" s="120" t="s">
        <v>1630</v>
      </c>
      <c r="E220" s="121">
        <v>44999</v>
      </c>
      <c r="F220" s="8">
        <v>84</v>
      </c>
      <c r="G220" s="8">
        <v>2.5</v>
      </c>
      <c r="H220" s="82">
        <f>IF(MONTH(TABLE_PIVOT[[#This Row],[Date of Call]])&lt;=6,YEAR(TABLE_PIVOT[[#This Row],[Date of Call]]),YEAR(TABLE_PIVOT[[#This Row],[Date of Call]])+1)</f>
        <v>2023</v>
      </c>
      <c r="I220" s="82" t="str">
        <f>TEXT(TABLE_PIVOT[[#This Row],[Date of Call]],"DDDD")</f>
        <v>Tuesday</v>
      </c>
      <c r="J220" s="82" t="str" cm="1">
        <f t="array" ref="J220">_xlfn.IFS(TABLE_PIVOT[[#This Row],[Duration]]&lt;=10,"Under 10 Mins",TABLE_PIVOT[[#This Row],[Duration]]&lt;=30,"10 to 30 Mins",TABLE_PIVOT[[#This Row],[Duration]]&lt;=60,"30 to 60 Mins",TABLE_PIVOT[[#This Row],[Duration]]&lt;=120,"1 to 2 Hours",TRUE,"More Than 2 Hours")</f>
        <v>1 to 2 Hours</v>
      </c>
      <c r="K220" s="82">
        <f>ROUND(TABLE_PIVOT[[#This Row],[Satisfaction Rating]],0)</f>
        <v>3</v>
      </c>
    </row>
    <row r="221" spans="1:11" x14ac:dyDescent="0.3">
      <c r="A221" s="8" t="s">
        <v>1847</v>
      </c>
      <c r="B221" s="8" t="s">
        <v>1635</v>
      </c>
      <c r="C221" s="8">
        <v>68</v>
      </c>
      <c r="D221" s="120" t="s">
        <v>1630</v>
      </c>
      <c r="E221" s="121">
        <v>44999</v>
      </c>
      <c r="F221" s="8">
        <v>32</v>
      </c>
      <c r="G221" s="8">
        <v>4.9000000000000004</v>
      </c>
      <c r="H221" s="82">
        <f>IF(MONTH(TABLE_PIVOT[[#This Row],[Date of Call]])&lt;=6,YEAR(TABLE_PIVOT[[#This Row],[Date of Call]]),YEAR(TABLE_PIVOT[[#This Row],[Date of Call]])+1)</f>
        <v>2023</v>
      </c>
      <c r="I221" s="82" t="str">
        <f>TEXT(TABLE_PIVOT[[#This Row],[Date of Call]],"DDDD")</f>
        <v>Tuesday</v>
      </c>
      <c r="J221" s="82" t="str" cm="1">
        <f t="array" ref="J221">_xlfn.IFS(TABLE_PIVOT[[#This Row],[Duration]]&lt;=10,"Under 10 Mins",TABLE_PIVOT[[#This Row],[Duration]]&lt;=30,"10 to 30 Mins",TABLE_PIVOT[[#This Row],[Duration]]&lt;=60,"30 to 60 Mins",TABLE_PIVOT[[#This Row],[Duration]]&lt;=120,"1 to 2 Hours",TRUE,"More Than 2 Hours")</f>
        <v>1 to 2 Hours</v>
      </c>
      <c r="K221" s="82">
        <f>ROUND(TABLE_PIVOT[[#This Row],[Satisfaction Rating]],0)</f>
        <v>5</v>
      </c>
    </row>
    <row r="222" spans="1:11" x14ac:dyDescent="0.3">
      <c r="A222" s="8" t="s">
        <v>1848</v>
      </c>
      <c r="B222" s="8" t="s">
        <v>1641</v>
      </c>
      <c r="C222" s="8">
        <v>72</v>
      </c>
      <c r="D222" s="120" t="s">
        <v>1616</v>
      </c>
      <c r="E222" s="121">
        <v>44999</v>
      </c>
      <c r="F222" s="8">
        <v>132</v>
      </c>
      <c r="G222" s="8">
        <v>3.4</v>
      </c>
      <c r="H222" s="82">
        <f>IF(MONTH(TABLE_PIVOT[[#This Row],[Date of Call]])&lt;=6,YEAR(TABLE_PIVOT[[#This Row],[Date of Call]]),YEAR(TABLE_PIVOT[[#This Row],[Date of Call]])+1)</f>
        <v>2023</v>
      </c>
      <c r="I222" s="82" t="str">
        <f>TEXT(TABLE_PIVOT[[#This Row],[Date of Call]],"DDDD")</f>
        <v>Tuesday</v>
      </c>
      <c r="J222" s="82" t="str" cm="1">
        <f t="array" ref="J222">_xlfn.IFS(TABLE_PIVOT[[#This Row],[Duration]]&lt;=10,"Under 10 Mins",TABLE_PIVOT[[#This Row],[Duration]]&lt;=30,"10 to 30 Mins",TABLE_PIVOT[[#This Row],[Duration]]&lt;=60,"30 to 60 Mins",TABLE_PIVOT[[#This Row],[Duration]]&lt;=120,"1 to 2 Hours",TRUE,"More Than 2 Hours")</f>
        <v>1 to 2 Hours</v>
      </c>
      <c r="K222" s="82">
        <f>ROUND(TABLE_PIVOT[[#This Row],[Satisfaction Rating]],0)</f>
        <v>3</v>
      </c>
    </row>
    <row r="223" spans="1:11" x14ac:dyDescent="0.3">
      <c r="A223" s="8" t="s">
        <v>1849</v>
      </c>
      <c r="B223" s="8" t="s">
        <v>1641</v>
      </c>
      <c r="C223" s="8">
        <v>63</v>
      </c>
      <c r="D223" s="120" t="s">
        <v>1611</v>
      </c>
      <c r="E223" s="121">
        <v>44999</v>
      </c>
      <c r="F223" s="8">
        <v>105</v>
      </c>
      <c r="G223" s="8">
        <v>3.3</v>
      </c>
      <c r="H223" s="82">
        <f>IF(MONTH(TABLE_PIVOT[[#This Row],[Date of Call]])&lt;=6,YEAR(TABLE_PIVOT[[#This Row],[Date of Call]]),YEAR(TABLE_PIVOT[[#This Row],[Date of Call]])+1)</f>
        <v>2023</v>
      </c>
      <c r="I223" s="82" t="str">
        <f>TEXT(TABLE_PIVOT[[#This Row],[Date of Call]],"DDDD")</f>
        <v>Tuesday</v>
      </c>
      <c r="J223" s="82" t="str" cm="1">
        <f t="array" ref="J223">_xlfn.IFS(TABLE_PIVOT[[#This Row],[Duration]]&lt;=10,"Under 10 Mins",TABLE_PIVOT[[#This Row],[Duration]]&lt;=30,"10 to 30 Mins",TABLE_PIVOT[[#This Row],[Duration]]&lt;=60,"30 to 60 Mins",TABLE_PIVOT[[#This Row],[Duration]]&lt;=120,"1 to 2 Hours",TRUE,"More Than 2 Hours")</f>
        <v>1 to 2 Hours</v>
      </c>
      <c r="K223" s="82">
        <f>ROUND(TABLE_PIVOT[[#This Row],[Satisfaction Rating]],0)</f>
        <v>3</v>
      </c>
    </row>
    <row r="224" spans="1:11" x14ac:dyDescent="0.3">
      <c r="A224" s="8" t="s">
        <v>1850</v>
      </c>
      <c r="B224" s="8" t="s">
        <v>1613</v>
      </c>
      <c r="C224" s="8">
        <v>139</v>
      </c>
      <c r="D224" s="120" t="s">
        <v>1626</v>
      </c>
      <c r="E224" s="121">
        <v>45000</v>
      </c>
      <c r="F224" s="8">
        <v>48</v>
      </c>
      <c r="G224" s="8">
        <v>4.7</v>
      </c>
      <c r="H224" s="82">
        <f>IF(MONTH(TABLE_PIVOT[[#This Row],[Date of Call]])&lt;=6,YEAR(TABLE_PIVOT[[#This Row],[Date of Call]]),YEAR(TABLE_PIVOT[[#This Row],[Date of Call]])+1)</f>
        <v>2023</v>
      </c>
      <c r="I224" s="82" t="str">
        <f>TEXT(TABLE_PIVOT[[#This Row],[Date of Call]],"DDDD")</f>
        <v>Wednesday</v>
      </c>
      <c r="J224" s="82" t="str" cm="1">
        <f t="array" ref="J224">_xlfn.IFS(TABLE_PIVOT[[#This Row],[Duration]]&lt;=10,"Under 10 Mins",TABLE_PIVOT[[#This Row],[Duration]]&lt;=30,"10 to 30 Mins",TABLE_PIVOT[[#This Row],[Duration]]&lt;=60,"30 to 60 Mins",TABLE_PIVOT[[#This Row],[Duration]]&lt;=120,"1 to 2 Hours",TRUE,"More Than 2 Hours")</f>
        <v>More Than 2 Hours</v>
      </c>
      <c r="K224" s="82">
        <f>ROUND(TABLE_PIVOT[[#This Row],[Satisfaction Rating]],0)</f>
        <v>5</v>
      </c>
    </row>
    <row r="225" spans="1:11" x14ac:dyDescent="0.3">
      <c r="A225" s="8" t="s">
        <v>1851</v>
      </c>
      <c r="B225" s="8" t="s">
        <v>1633</v>
      </c>
      <c r="C225" s="8">
        <v>59</v>
      </c>
      <c r="D225" s="120" t="s">
        <v>1626</v>
      </c>
      <c r="E225" s="121">
        <v>45000</v>
      </c>
      <c r="F225" s="8">
        <v>64</v>
      </c>
      <c r="G225" s="8">
        <v>4</v>
      </c>
      <c r="H225" s="82">
        <f>IF(MONTH(TABLE_PIVOT[[#This Row],[Date of Call]])&lt;=6,YEAR(TABLE_PIVOT[[#This Row],[Date of Call]]),YEAR(TABLE_PIVOT[[#This Row],[Date of Call]])+1)</f>
        <v>2023</v>
      </c>
      <c r="I225" s="82" t="str">
        <f>TEXT(TABLE_PIVOT[[#This Row],[Date of Call]],"DDDD")</f>
        <v>Wednesday</v>
      </c>
      <c r="J225" s="82" t="str" cm="1">
        <f t="array" ref="J225">_xlfn.IFS(TABLE_PIVOT[[#This Row],[Duration]]&lt;=10,"Under 10 Mins",TABLE_PIVOT[[#This Row],[Duration]]&lt;=30,"10 to 30 Mins",TABLE_PIVOT[[#This Row],[Duration]]&lt;=60,"30 to 60 Mins",TABLE_PIVOT[[#This Row],[Duration]]&lt;=120,"1 to 2 Hours",TRUE,"More Than 2 Hours")</f>
        <v>30 to 60 Mins</v>
      </c>
      <c r="K225" s="82">
        <f>ROUND(TABLE_PIVOT[[#This Row],[Satisfaction Rating]],0)</f>
        <v>4</v>
      </c>
    </row>
    <row r="226" spans="1:11" x14ac:dyDescent="0.3">
      <c r="A226" s="8" t="s">
        <v>1852</v>
      </c>
      <c r="B226" s="8" t="s">
        <v>1644</v>
      </c>
      <c r="C226" s="8">
        <v>138</v>
      </c>
      <c r="D226" s="120" t="s">
        <v>1611</v>
      </c>
      <c r="E226" s="121">
        <v>45000</v>
      </c>
      <c r="F226" s="8">
        <v>44</v>
      </c>
      <c r="G226" s="8">
        <v>3.8</v>
      </c>
      <c r="H226" s="82">
        <f>IF(MONTH(TABLE_PIVOT[[#This Row],[Date of Call]])&lt;=6,YEAR(TABLE_PIVOT[[#This Row],[Date of Call]]),YEAR(TABLE_PIVOT[[#This Row],[Date of Call]])+1)</f>
        <v>2023</v>
      </c>
      <c r="I226" s="82" t="str">
        <f>TEXT(TABLE_PIVOT[[#This Row],[Date of Call]],"DDDD")</f>
        <v>Wednesday</v>
      </c>
      <c r="J226" s="82" t="str" cm="1">
        <f t="array" ref="J226">_xlfn.IFS(TABLE_PIVOT[[#This Row],[Duration]]&lt;=10,"Under 10 Mins",TABLE_PIVOT[[#This Row],[Duration]]&lt;=30,"10 to 30 Mins",TABLE_PIVOT[[#This Row],[Duration]]&lt;=60,"30 to 60 Mins",TABLE_PIVOT[[#This Row],[Duration]]&lt;=120,"1 to 2 Hours",TRUE,"More Than 2 Hours")</f>
        <v>More Than 2 Hours</v>
      </c>
      <c r="K226" s="82">
        <f>ROUND(TABLE_PIVOT[[#This Row],[Satisfaction Rating]],0)</f>
        <v>4</v>
      </c>
    </row>
    <row r="227" spans="1:11" x14ac:dyDescent="0.3">
      <c r="A227" s="8" t="s">
        <v>1853</v>
      </c>
      <c r="B227" s="8" t="s">
        <v>1613</v>
      </c>
      <c r="C227" s="8">
        <v>47</v>
      </c>
      <c r="D227" s="120" t="s">
        <v>1616</v>
      </c>
      <c r="E227" s="121">
        <v>45000</v>
      </c>
      <c r="F227" s="8">
        <v>120</v>
      </c>
      <c r="G227" s="8">
        <v>3.1</v>
      </c>
      <c r="H227" s="82">
        <f>IF(MONTH(TABLE_PIVOT[[#This Row],[Date of Call]])&lt;=6,YEAR(TABLE_PIVOT[[#This Row],[Date of Call]]),YEAR(TABLE_PIVOT[[#This Row],[Date of Call]])+1)</f>
        <v>2023</v>
      </c>
      <c r="I227" s="82" t="str">
        <f>TEXT(TABLE_PIVOT[[#This Row],[Date of Call]],"DDDD")</f>
        <v>Wednesday</v>
      </c>
      <c r="J227" s="82" t="str" cm="1">
        <f t="array" ref="J227">_xlfn.IFS(TABLE_PIVOT[[#This Row],[Duration]]&lt;=10,"Under 10 Mins",TABLE_PIVOT[[#This Row],[Duration]]&lt;=30,"10 to 30 Mins",TABLE_PIVOT[[#This Row],[Duration]]&lt;=60,"30 to 60 Mins",TABLE_PIVOT[[#This Row],[Duration]]&lt;=120,"1 to 2 Hours",TRUE,"More Than 2 Hours")</f>
        <v>30 to 60 Mins</v>
      </c>
      <c r="K227" s="82">
        <f>ROUND(TABLE_PIVOT[[#This Row],[Satisfaction Rating]],0)</f>
        <v>3</v>
      </c>
    </row>
    <row r="228" spans="1:11" x14ac:dyDescent="0.3">
      <c r="A228" s="8" t="s">
        <v>1854</v>
      </c>
      <c r="B228" s="8" t="s">
        <v>1644</v>
      </c>
      <c r="C228" s="8">
        <v>74</v>
      </c>
      <c r="D228" s="120" t="s">
        <v>1616</v>
      </c>
      <c r="E228" s="121">
        <v>45000</v>
      </c>
      <c r="F228" s="8">
        <v>144</v>
      </c>
      <c r="G228" s="8">
        <v>4.8</v>
      </c>
      <c r="H228" s="82">
        <f>IF(MONTH(TABLE_PIVOT[[#This Row],[Date of Call]])&lt;=6,YEAR(TABLE_PIVOT[[#This Row],[Date of Call]]),YEAR(TABLE_PIVOT[[#This Row],[Date of Call]])+1)</f>
        <v>2023</v>
      </c>
      <c r="I228" s="82" t="str">
        <f>TEXT(TABLE_PIVOT[[#This Row],[Date of Call]],"DDDD")</f>
        <v>Wednesday</v>
      </c>
      <c r="J228" s="82" t="str" cm="1">
        <f t="array" ref="J228">_xlfn.IFS(TABLE_PIVOT[[#This Row],[Duration]]&lt;=10,"Under 10 Mins",TABLE_PIVOT[[#This Row],[Duration]]&lt;=30,"10 to 30 Mins",TABLE_PIVOT[[#This Row],[Duration]]&lt;=60,"30 to 60 Mins",TABLE_PIVOT[[#This Row],[Duration]]&lt;=120,"1 to 2 Hours",TRUE,"More Than 2 Hours")</f>
        <v>1 to 2 Hours</v>
      </c>
      <c r="K228" s="82">
        <f>ROUND(TABLE_PIVOT[[#This Row],[Satisfaction Rating]],0)</f>
        <v>5</v>
      </c>
    </row>
    <row r="229" spans="1:11" x14ac:dyDescent="0.3">
      <c r="A229" s="8" t="s">
        <v>1855</v>
      </c>
      <c r="B229" s="8" t="s">
        <v>1641</v>
      </c>
      <c r="C229" s="8">
        <v>65</v>
      </c>
      <c r="D229" s="120" t="s">
        <v>1616</v>
      </c>
      <c r="E229" s="121">
        <v>45000</v>
      </c>
      <c r="F229" s="8">
        <v>87</v>
      </c>
      <c r="G229" s="8">
        <v>2.7</v>
      </c>
      <c r="H229" s="82">
        <f>IF(MONTH(TABLE_PIVOT[[#This Row],[Date of Call]])&lt;=6,YEAR(TABLE_PIVOT[[#This Row],[Date of Call]]),YEAR(TABLE_PIVOT[[#This Row],[Date of Call]])+1)</f>
        <v>2023</v>
      </c>
      <c r="I229" s="82" t="str">
        <f>TEXT(TABLE_PIVOT[[#This Row],[Date of Call]],"DDDD")</f>
        <v>Wednesday</v>
      </c>
      <c r="J229" s="82" t="str" cm="1">
        <f t="array" ref="J229">_xlfn.IFS(TABLE_PIVOT[[#This Row],[Duration]]&lt;=10,"Under 10 Mins",TABLE_PIVOT[[#This Row],[Duration]]&lt;=30,"10 to 30 Mins",TABLE_PIVOT[[#This Row],[Duration]]&lt;=60,"30 to 60 Mins",TABLE_PIVOT[[#This Row],[Duration]]&lt;=120,"1 to 2 Hours",TRUE,"More Than 2 Hours")</f>
        <v>1 to 2 Hours</v>
      </c>
      <c r="K229" s="82">
        <f>ROUND(TABLE_PIVOT[[#This Row],[Satisfaction Rating]],0)</f>
        <v>3</v>
      </c>
    </row>
    <row r="230" spans="1:11" x14ac:dyDescent="0.3">
      <c r="A230" s="8" t="s">
        <v>1856</v>
      </c>
      <c r="B230" s="8" t="s">
        <v>1620</v>
      </c>
      <c r="C230" s="8">
        <v>123</v>
      </c>
      <c r="D230" s="120" t="s">
        <v>1630</v>
      </c>
      <c r="E230" s="121">
        <v>45000</v>
      </c>
      <c r="F230" s="8">
        <v>36</v>
      </c>
      <c r="G230" s="8">
        <v>3.6</v>
      </c>
      <c r="H230" s="82">
        <f>IF(MONTH(TABLE_PIVOT[[#This Row],[Date of Call]])&lt;=6,YEAR(TABLE_PIVOT[[#This Row],[Date of Call]]),YEAR(TABLE_PIVOT[[#This Row],[Date of Call]])+1)</f>
        <v>2023</v>
      </c>
      <c r="I230" s="82" t="str">
        <f>TEXT(TABLE_PIVOT[[#This Row],[Date of Call]],"DDDD")</f>
        <v>Wednesday</v>
      </c>
      <c r="J230" s="82" t="str" cm="1">
        <f t="array" ref="J230">_xlfn.IFS(TABLE_PIVOT[[#This Row],[Duration]]&lt;=10,"Under 10 Mins",TABLE_PIVOT[[#This Row],[Duration]]&lt;=30,"10 to 30 Mins",TABLE_PIVOT[[#This Row],[Duration]]&lt;=60,"30 to 60 Mins",TABLE_PIVOT[[#This Row],[Duration]]&lt;=120,"1 to 2 Hours",TRUE,"More Than 2 Hours")</f>
        <v>More Than 2 Hours</v>
      </c>
      <c r="K230" s="82">
        <f>ROUND(TABLE_PIVOT[[#This Row],[Satisfaction Rating]],0)</f>
        <v>4</v>
      </c>
    </row>
    <row r="231" spans="1:11" x14ac:dyDescent="0.3">
      <c r="A231" s="8" t="s">
        <v>1857</v>
      </c>
      <c r="B231" s="8" t="s">
        <v>1641</v>
      </c>
      <c r="C231" s="8">
        <v>90</v>
      </c>
      <c r="D231" s="120" t="s">
        <v>1626</v>
      </c>
      <c r="E231" s="121">
        <v>45001</v>
      </c>
      <c r="F231" s="8">
        <v>72</v>
      </c>
      <c r="G231" s="8">
        <v>4.7</v>
      </c>
      <c r="H231" s="82">
        <f>IF(MONTH(TABLE_PIVOT[[#This Row],[Date of Call]])&lt;=6,YEAR(TABLE_PIVOT[[#This Row],[Date of Call]]),YEAR(TABLE_PIVOT[[#This Row],[Date of Call]])+1)</f>
        <v>2023</v>
      </c>
      <c r="I231" s="82" t="str">
        <f>TEXT(TABLE_PIVOT[[#This Row],[Date of Call]],"DDDD")</f>
        <v>Thursday</v>
      </c>
      <c r="J231" s="82" t="str" cm="1">
        <f t="array" ref="J231">_xlfn.IFS(TABLE_PIVOT[[#This Row],[Duration]]&lt;=10,"Under 10 Mins",TABLE_PIVOT[[#This Row],[Duration]]&lt;=30,"10 to 30 Mins",TABLE_PIVOT[[#This Row],[Duration]]&lt;=60,"30 to 60 Mins",TABLE_PIVOT[[#This Row],[Duration]]&lt;=120,"1 to 2 Hours",TRUE,"More Than 2 Hours")</f>
        <v>1 to 2 Hours</v>
      </c>
      <c r="K231" s="82">
        <f>ROUND(TABLE_PIVOT[[#This Row],[Satisfaction Rating]],0)</f>
        <v>5</v>
      </c>
    </row>
    <row r="232" spans="1:11" x14ac:dyDescent="0.3">
      <c r="A232" s="8" t="s">
        <v>1858</v>
      </c>
      <c r="B232" s="8" t="s">
        <v>1662</v>
      </c>
      <c r="C232" s="8">
        <v>127</v>
      </c>
      <c r="D232" s="120" t="s">
        <v>1611</v>
      </c>
      <c r="E232" s="121">
        <v>45001</v>
      </c>
      <c r="F232" s="8">
        <v>150</v>
      </c>
      <c r="G232" s="8">
        <v>4.4000000000000004</v>
      </c>
      <c r="H232" s="82">
        <f>IF(MONTH(TABLE_PIVOT[[#This Row],[Date of Call]])&lt;=6,YEAR(TABLE_PIVOT[[#This Row],[Date of Call]]),YEAR(TABLE_PIVOT[[#This Row],[Date of Call]])+1)</f>
        <v>2023</v>
      </c>
      <c r="I232" s="82" t="str">
        <f>TEXT(TABLE_PIVOT[[#This Row],[Date of Call]],"DDDD")</f>
        <v>Thursday</v>
      </c>
      <c r="J232" s="82" t="str" cm="1">
        <f t="array" ref="J232">_xlfn.IFS(TABLE_PIVOT[[#This Row],[Duration]]&lt;=10,"Under 10 Mins",TABLE_PIVOT[[#This Row],[Duration]]&lt;=30,"10 to 30 Mins",TABLE_PIVOT[[#This Row],[Duration]]&lt;=60,"30 to 60 Mins",TABLE_PIVOT[[#This Row],[Duration]]&lt;=120,"1 to 2 Hours",TRUE,"More Than 2 Hours")</f>
        <v>More Than 2 Hours</v>
      </c>
      <c r="K232" s="82">
        <f>ROUND(TABLE_PIVOT[[#This Row],[Satisfaction Rating]],0)</f>
        <v>4</v>
      </c>
    </row>
    <row r="233" spans="1:11" x14ac:dyDescent="0.3">
      <c r="A233" s="8" t="s">
        <v>1859</v>
      </c>
      <c r="B233" s="8" t="s">
        <v>1618</v>
      </c>
      <c r="C233" s="8">
        <v>60</v>
      </c>
      <c r="D233" s="120" t="s">
        <v>1616</v>
      </c>
      <c r="E233" s="121">
        <v>45001</v>
      </c>
      <c r="F233" s="8">
        <v>68</v>
      </c>
      <c r="G233" s="8">
        <v>4.3</v>
      </c>
      <c r="H233" s="82">
        <f>IF(MONTH(TABLE_PIVOT[[#This Row],[Date of Call]])&lt;=6,YEAR(TABLE_PIVOT[[#This Row],[Date of Call]]),YEAR(TABLE_PIVOT[[#This Row],[Date of Call]])+1)</f>
        <v>2023</v>
      </c>
      <c r="I233" s="82" t="str">
        <f>TEXT(TABLE_PIVOT[[#This Row],[Date of Call]],"DDDD")</f>
        <v>Thursday</v>
      </c>
      <c r="J233" s="82" t="str" cm="1">
        <f t="array" ref="J233">_xlfn.IFS(TABLE_PIVOT[[#This Row],[Duration]]&lt;=10,"Under 10 Mins",TABLE_PIVOT[[#This Row],[Duration]]&lt;=30,"10 to 30 Mins",TABLE_PIVOT[[#This Row],[Duration]]&lt;=60,"30 to 60 Mins",TABLE_PIVOT[[#This Row],[Duration]]&lt;=120,"1 to 2 Hours",TRUE,"More Than 2 Hours")</f>
        <v>30 to 60 Mins</v>
      </c>
      <c r="K233" s="82">
        <f>ROUND(TABLE_PIVOT[[#This Row],[Satisfaction Rating]],0)</f>
        <v>4</v>
      </c>
    </row>
    <row r="234" spans="1:11" x14ac:dyDescent="0.3">
      <c r="A234" s="8" t="s">
        <v>1860</v>
      </c>
      <c r="B234" s="8" t="s">
        <v>1613</v>
      </c>
      <c r="C234" s="8">
        <v>94</v>
      </c>
      <c r="D234" s="120" t="s">
        <v>1611</v>
      </c>
      <c r="E234" s="121">
        <v>45001</v>
      </c>
      <c r="F234" s="8">
        <v>99</v>
      </c>
      <c r="G234" s="8">
        <v>4.9000000000000004</v>
      </c>
      <c r="H234" s="82">
        <f>IF(MONTH(TABLE_PIVOT[[#This Row],[Date of Call]])&lt;=6,YEAR(TABLE_PIVOT[[#This Row],[Date of Call]]),YEAR(TABLE_PIVOT[[#This Row],[Date of Call]])+1)</f>
        <v>2023</v>
      </c>
      <c r="I234" s="82" t="str">
        <f>TEXT(TABLE_PIVOT[[#This Row],[Date of Call]],"DDDD")</f>
        <v>Thursday</v>
      </c>
      <c r="J234" s="82" t="str" cm="1">
        <f t="array" ref="J234">_xlfn.IFS(TABLE_PIVOT[[#This Row],[Duration]]&lt;=10,"Under 10 Mins",TABLE_PIVOT[[#This Row],[Duration]]&lt;=30,"10 to 30 Mins",TABLE_PIVOT[[#This Row],[Duration]]&lt;=60,"30 to 60 Mins",TABLE_PIVOT[[#This Row],[Duration]]&lt;=120,"1 to 2 Hours",TRUE,"More Than 2 Hours")</f>
        <v>1 to 2 Hours</v>
      </c>
      <c r="K234" s="82">
        <f>ROUND(TABLE_PIVOT[[#This Row],[Satisfaction Rating]],0)</f>
        <v>5</v>
      </c>
    </row>
    <row r="235" spans="1:11" x14ac:dyDescent="0.3">
      <c r="A235" s="8" t="s">
        <v>1861</v>
      </c>
      <c r="B235" s="8" t="s">
        <v>1620</v>
      </c>
      <c r="C235" s="8">
        <v>54</v>
      </c>
      <c r="D235" s="120" t="s">
        <v>1616</v>
      </c>
      <c r="E235" s="121">
        <v>45001</v>
      </c>
      <c r="F235" s="8">
        <v>26</v>
      </c>
      <c r="G235" s="8">
        <v>4.8</v>
      </c>
      <c r="H235" s="82">
        <f>IF(MONTH(TABLE_PIVOT[[#This Row],[Date of Call]])&lt;=6,YEAR(TABLE_PIVOT[[#This Row],[Date of Call]]),YEAR(TABLE_PIVOT[[#This Row],[Date of Call]])+1)</f>
        <v>2023</v>
      </c>
      <c r="I235" s="82" t="str">
        <f>TEXT(TABLE_PIVOT[[#This Row],[Date of Call]],"DDDD")</f>
        <v>Thursday</v>
      </c>
      <c r="J235" s="82" t="str" cm="1">
        <f t="array" ref="J235">_xlfn.IFS(TABLE_PIVOT[[#This Row],[Duration]]&lt;=10,"Under 10 Mins",TABLE_PIVOT[[#This Row],[Duration]]&lt;=30,"10 to 30 Mins",TABLE_PIVOT[[#This Row],[Duration]]&lt;=60,"30 to 60 Mins",TABLE_PIVOT[[#This Row],[Duration]]&lt;=120,"1 to 2 Hours",TRUE,"More Than 2 Hours")</f>
        <v>30 to 60 Mins</v>
      </c>
      <c r="K235" s="82">
        <f>ROUND(TABLE_PIVOT[[#This Row],[Satisfaction Rating]],0)</f>
        <v>5</v>
      </c>
    </row>
    <row r="236" spans="1:11" x14ac:dyDescent="0.3">
      <c r="A236" s="8" t="s">
        <v>1862</v>
      </c>
      <c r="B236" s="8" t="s">
        <v>1641</v>
      </c>
      <c r="C236" s="8">
        <v>104</v>
      </c>
      <c r="D236" s="120" t="s">
        <v>1616</v>
      </c>
      <c r="E236" s="121">
        <v>45001</v>
      </c>
      <c r="F236" s="8">
        <v>88</v>
      </c>
      <c r="G236" s="8">
        <v>3.2</v>
      </c>
      <c r="H236" s="82">
        <f>IF(MONTH(TABLE_PIVOT[[#This Row],[Date of Call]])&lt;=6,YEAR(TABLE_PIVOT[[#This Row],[Date of Call]]),YEAR(TABLE_PIVOT[[#This Row],[Date of Call]])+1)</f>
        <v>2023</v>
      </c>
      <c r="I236" s="82" t="str">
        <f>TEXT(TABLE_PIVOT[[#This Row],[Date of Call]],"DDDD")</f>
        <v>Thursday</v>
      </c>
      <c r="J236" s="82" t="str" cm="1">
        <f t="array" ref="J236">_xlfn.IFS(TABLE_PIVOT[[#This Row],[Duration]]&lt;=10,"Under 10 Mins",TABLE_PIVOT[[#This Row],[Duration]]&lt;=30,"10 to 30 Mins",TABLE_PIVOT[[#This Row],[Duration]]&lt;=60,"30 to 60 Mins",TABLE_PIVOT[[#This Row],[Duration]]&lt;=120,"1 to 2 Hours",TRUE,"More Than 2 Hours")</f>
        <v>1 to 2 Hours</v>
      </c>
      <c r="K236" s="82">
        <f>ROUND(TABLE_PIVOT[[#This Row],[Satisfaction Rating]],0)</f>
        <v>3</v>
      </c>
    </row>
    <row r="237" spans="1:11" x14ac:dyDescent="0.3">
      <c r="A237" s="8" t="s">
        <v>1863</v>
      </c>
      <c r="B237" s="8" t="s">
        <v>1624</v>
      </c>
      <c r="C237" s="8">
        <v>100</v>
      </c>
      <c r="D237" s="120" t="s">
        <v>1616</v>
      </c>
      <c r="E237" s="121">
        <v>45001</v>
      </c>
      <c r="F237" s="8">
        <v>124</v>
      </c>
      <c r="G237" s="8">
        <v>3.4</v>
      </c>
      <c r="H237" s="82">
        <f>IF(MONTH(TABLE_PIVOT[[#This Row],[Date of Call]])&lt;=6,YEAR(TABLE_PIVOT[[#This Row],[Date of Call]]),YEAR(TABLE_PIVOT[[#This Row],[Date of Call]])+1)</f>
        <v>2023</v>
      </c>
      <c r="I237" s="82" t="str">
        <f>TEXT(TABLE_PIVOT[[#This Row],[Date of Call]],"DDDD")</f>
        <v>Thursday</v>
      </c>
      <c r="J237" s="82" t="str" cm="1">
        <f t="array" ref="J237">_xlfn.IFS(TABLE_PIVOT[[#This Row],[Duration]]&lt;=10,"Under 10 Mins",TABLE_PIVOT[[#This Row],[Duration]]&lt;=30,"10 to 30 Mins",TABLE_PIVOT[[#This Row],[Duration]]&lt;=60,"30 to 60 Mins",TABLE_PIVOT[[#This Row],[Duration]]&lt;=120,"1 to 2 Hours",TRUE,"More Than 2 Hours")</f>
        <v>1 to 2 Hours</v>
      </c>
      <c r="K237" s="82">
        <f>ROUND(TABLE_PIVOT[[#This Row],[Satisfaction Rating]],0)</f>
        <v>3</v>
      </c>
    </row>
    <row r="238" spans="1:11" x14ac:dyDescent="0.3">
      <c r="A238" s="8" t="s">
        <v>1864</v>
      </c>
      <c r="B238" s="8" t="s">
        <v>1644</v>
      </c>
      <c r="C238" s="8">
        <v>84</v>
      </c>
      <c r="D238" s="120" t="s">
        <v>1616</v>
      </c>
      <c r="E238" s="121">
        <v>45001</v>
      </c>
      <c r="F238" s="8">
        <v>72</v>
      </c>
      <c r="G238" s="8">
        <v>3.5</v>
      </c>
      <c r="H238" s="82">
        <f>IF(MONTH(TABLE_PIVOT[[#This Row],[Date of Call]])&lt;=6,YEAR(TABLE_PIVOT[[#This Row],[Date of Call]]),YEAR(TABLE_PIVOT[[#This Row],[Date of Call]])+1)</f>
        <v>2023</v>
      </c>
      <c r="I238" s="82" t="str">
        <f>TEXT(TABLE_PIVOT[[#This Row],[Date of Call]],"DDDD")</f>
        <v>Thursday</v>
      </c>
      <c r="J238" s="82" t="str" cm="1">
        <f t="array" ref="J238">_xlfn.IFS(TABLE_PIVOT[[#This Row],[Duration]]&lt;=10,"Under 10 Mins",TABLE_PIVOT[[#This Row],[Duration]]&lt;=30,"10 to 30 Mins",TABLE_PIVOT[[#This Row],[Duration]]&lt;=60,"30 to 60 Mins",TABLE_PIVOT[[#This Row],[Duration]]&lt;=120,"1 to 2 Hours",TRUE,"More Than 2 Hours")</f>
        <v>1 to 2 Hours</v>
      </c>
      <c r="K238" s="82">
        <f>ROUND(TABLE_PIVOT[[#This Row],[Satisfaction Rating]],0)</f>
        <v>4</v>
      </c>
    </row>
    <row r="239" spans="1:11" x14ac:dyDescent="0.3">
      <c r="A239" s="8" t="s">
        <v>1865</v>
      </c>
      <c r="B239" s="8" t="s">
        <v>1610</v>
      </c>
      <c r="C239" s="8">
        <v>92</v>
      </c>
      <c r="D239" s="120" t="s">
        <v>1621</v>
      </c>
      <c r="E239" s="121">
        <v>45002</v>
      </c>
      <c r="F239" s="8">
        <v>125</v>
      </c>
      <c r="G239" s="8">
        <v>4.9000000000000004</v>
      </c>
      <c r="H239" s="82">
        <f>IF(MONTH(TABLE_PIVOT[[#This Row],[Date of Call]])&lt;=6,YEAR(TABLE_PIVOT[[#This Row],[Date of Call]]),YEAR(TABLE_PIVOT[[#This Row],[Date of Call]])+1)</f>
        <v>2023</v>
      </c>
      <c r="I239" s="82" t="str">
        <f>TEXT(TABLE_PIVOT[[#This Row],[Date of Call]],"DDDD")</f>
        <v>Friday</v>
      </c>
      <c r="J239" s="82" t="str" cm="1">
        <f t="array" ref="J239">_xlfn.IFS(TABLE_PIVOT[[#This Row],[Duration]]&lt;=10,"Under 10 Mins",TABLE_PIVOT[[#This Row],[Duration]]&lt;=30,"10 to 30 Mins",TABLE_PIVOT[[#This Row],[Duration]]&lt;=60,"30 to 60 Mins",TABLE_PIVOT[[#This Row],[Duration]]&lt;=120,"1 to 2 Hours",TRUE,"More Than 2 Hours")</f>
        <v>1 to 2 Hours</v>
      </c>
      <c r="K239" s="82">
        <f>ROUND(TABLE_PIVOT[[#This Row],[Satisfaction Rating]],0)</f>
        <v>5</v>
      </c>
    </row>
    <row r="240" spans="1:11" x14ac:dyDescent="0.3">
      <c r="A240" s="8" t="s">
        <v>1866</v>
      </c>
      <c r="B240" s="8" t="s">
        <v>1629</v>
      </c>
      <c r="C240" s="8">
        <v>64</v>
      </c>
      <c r="D240" s="120" t="s">
        <v>1611</v>
      </c>
      <c r="E240" s="121">
        <v>45002</v>
      </c>
      <c r="F240" s="8">
        <v>22</v>
      </c>
      <c r="G240" s="8">
        <v>4.0999999999999996</v>
      </c>
      <c r="H240" s="82">
        <f>IF(MONTH(TABLE_PIVOT[[#This Row],[Date of Call]])&lt;=6,YEAR(TABLE_PIVOT[[#This Row],[Date of Call]]),YEAR(TABLE_PIVOT[[#This Row],[Date of Call]])+1)</f>
        <v>2023</v>
      </c>
      <c r="I240" s="82" t="str">
        <f>TEXT(TABLE_PIVOT[[#This Row],[Date of Call]],"DDDD")</f>
        <v>Friday</v>
      </c>
      <c r="J240" s="82" t="str" cm="1">
        <f t="array" ref="J240">_xlfn.IFS(TABLE_PIVOT[[#This Row],[Duration]]&lt;=10,"Under 10 Mins",TABLE_PIVOT[[#This Row],[Duration]]&lt;=30,"10 to 30 Mins",TABLE_PIVOT[[#This Row],[Duration]]&lt;=60,"30 to 60 Mins",TABLE_PIVOT[[#This Row],[Duration]]&lt;=120,"1 to 2 Hours",TRUE,"More Than 2 Hours")</f>
        <v>1 to 2 Hours</v>
      </c>
      <c r="K240" s="82">
        <f>ROUND(TABLE_PIVOT[[#This Row],[Satisfaction Rating]],0)</f>
        <v>4</v>
      </c>
    </row>
    <row r="241" spans="1:11" x14ac:dyDescent="0.3">
      <c r="A241" s="8" t="s">
        <v>1867</v>
      </c>
      <c r="B241" s="8" t="s">
        <v>1615</v>
      </c>
      <c r="C241" s="8">
        <v>89</v>
      </c>
      <c r="D241" s="120" t="s">
        <v>1626</v>
      </c>
      <c r="E241" s="121">
        <v>45003</v>
      </c>
      <c r="F241" s="8">
        <v>70</v>
      </c>
      <c r="G241" s="8">
        <v>4.9000000000000004</v>
      </c>
      <c r="H241" s="82">
        <f>IF(MONTH(TABLE_PIVOT[[#This Row],[Date of Call]])&lt;=6,YEAR(TABLE_PIVOT[[#This Row],[Date of Call]]),YEAR(TABLE_PIVOT[[#This Row],[Date of Call]])+1)</f>
        <v>2023</v>
      </c>
      <c r="I241" s="82" t="str">
        <f>TEXT(TABLE_PIVOT[[#This Row],[Date of Call]],"DDDD")</f>
        <v>Saturday</v>
      </c>
      <c r="J241" s="82" t="str" cm="1">
        <f t="array" ref="J241">_xlfn.IFS(TABLE_PIVOT[[#This Row],[Duration]]&lt;=10,"Under 10 Mins",TABLE_PIVOT[[#This Row],[Duration]]&lt;=30,"10 to 30 Mins",TABLE_PIVOT[[#This Row],[Duration]]&lt;=60,"30 to 60 Mins",TABLE_PIVOT[[#This Row],[Duration]]&lt;=120,"1 to 2 Hours",TRUE,"More Than 2 Hours")</f>
        <v>1 to 2 Hours</v>
      </c>
      <c r="K241" s="82">
        <f>ROUND(TABLE_PIVOT[[#This Row],[Satisfaction Rating]],0)</f>
        <v>5</v>
      </c>
    </row>
    <row r="242" spans="1:11" x14ac:dyDescent="0.3">
      <c r="A242" s="8" t="s">
        <v>1868</v>
      </c>
      <c r="B242" s="8" t="s">
        <v>1649</v>
      </c>
      <c r="C242" s="8">
        <v>40</v>
      </c>
      <c r="D242" s="120" t="s">
        <v>1616</v>
      </c>
      <c r="E242" s="121">
        <v>45003</v>
      </c>
      <c r="F242" s="8">
        <v>24</v>
      </c>
      <c r="G242" s="8">
        <v>4.3</v>
      </c>
      <c r="H242" s="82">
        <f>IF(MONTH(TABLE_PIVOT[[#This Row],[Date of Call]])&lt;=6,YEAR(TABLE_PIVOT[[#This Row],[Date of Call]]),YEAR(TABLE_PIVOT[[#This Row],[Date of Call]])+1)</f>
        <v>2023</v>
      </c>
      <c r="I242" s="82" t="str">
        <f>TEXT(TABLE_PIVOT[[#This Row],[Date of Call]],"DDDD")</f>
        <v>Saturday</v>
      </c>
      <c r="J242" s="82" t="str" cm="1">
        <f t="array" ref="J242">_xlfn.IFS(TABLE_PIVOT[[#This Row],[Duration]]&lt;=10,"Under 10 Mins",TABLE_PIVOT[[#This Row],[Duration]]&lt;=30,"10 to 30 Mins",TABLE_PIVOT[[#This Row],[Duration]]&lt;=60,"30 to 60 Mins",TABLE_PIVOT[[#This Row],[Duration]]&lt;=120,"1 to 2 Hours",TRUE,"More Than 2 Hours")</f>
        <v>30 to 60 Mins</v>
      </c>
      <c r="K242" s="82">
        <f>ROUND(TABLE_PIVOT[[#This Row],[Satisfaction Rating]],0)</f>
        <v>4</v>
      </c>
    </row>
    <row r="243" spans="1:11" x14ac:dyDescent="0.3">
      <c r="A243" s="8" t="s">
        <v>1869</v>
      </c>
      <c r="B243" s="8" t="s">
        <v>1633</v>
      </c>
      <c r="C243" s="8">
        <v>75</v>
      </c>
      <c r="D243" s="120" t="s">
        <v>1630</v>
      </c>
      <c r="E243" s="121">
        <v>45003</v>
      </c>
      <c r="F243" s="8">
        <v>32</v>
      </c>
      <c r="G243" s="8">
        <v>4.0999999999999996</v>
      </c>
      <c r="H243" s="82">
        <f>IF(MONTH(TABLE_PIVOT[[#This Row],[Date of Call]])&lt;=6,YEAR(TABLE_PIVOT[[#This Row],[Date of Call]]),YEAR(TABLE_PIVOT[[#This Row],[Date of Call]])+1)</f>
        <v>2023</v>
      </c>
      <c r="I243" s="82" t="str">
        <f>TEXT(TABLE_PIVOT[[#This Row],[Date of Call]],"DDDD")</f>
        <v>Saturday</v>
      </c>
      <c r="J243" s="82" t="str" cm="1">
        <f t="array" ref="J243">_xlfn.IFS(TABLE_PIVOT[[#This Row],[Duration]]&lt;=10,"Under 10 Mins",TABLE_PIVOT[[#This Row],[Duration]]&lt;=30,"10 to 30 Mins",TABLE_PIVOT[[#This Row],[Duration]]&lt;=60,"30 to 60 Mins",TABLE_PIVOT[[#This Row],[Duration]]&lt;=120,"1 to 2 Hours",TRUE,"More Than 2 Hours")</f>
        <v>1 to 2 Hours</v>
      </c>
      <c r="K243" s="82">
        <f>ROUND(TABLE_PIVOT[[#This Row],[Satisfaction Rating]],0)</f>
        <v>4</v>
      </c>
    </row>
    <row r="244" spans="1:11" x14ac:dyDescent="0.3">
      <c r="A244" s="8" t="s">
        <v>1870</v>
      </c>
      <c r="B244" s="8" t="s">
        <v>1662</v>
      </c>
      <c r="C244" s="8">
        <v>106</v>
      </c>
      <c r="D244" s="120" t="s">
        <v>1621</v>
      </c>
      <c r="E244" s="121">
        <v>45003</v>
      </c>
      <c r="F244" s="8">
        <v>112</v>
      </c>
      <c r="G244" s="8">
        <v>4.4000000000000004</v>
      </c>
      <c r="H244" s="82">
        <f>IF(MONTH(TABLE_PIVOT[[#This Row],[Date of Call]])&lt;=6,YEAR(TABLE_PIVOT[[#This Row],[Date of Call]]),YEAR(TABLE_PIVOT[[#This Row],[Date of Call]])+1)</f>
        <v>2023</v>
      </c>
      <c r="I244" s="82" t="str">
        <f>TEXT(TABLE_PIVOT[[#This Row],[Date of Call]],"DDDD")</f>
        <v>Saturday</v>
      </c>
      <c r="J244" s="82" t="str" cm="1">
        <f t="array" ref="J244">_xlfn.IFS(TABLE_PIVOT[[#This Row],[Duration]]&lt;=10,"Under 10 Mins",TABLE_PIVOT[[#This Row],[Duration]]&lt;=30,"10 to 30 Mins",TABLE_PIVOT[[#This Row],[Duration]]&lt;=60,"30 to 60 Mins",TABLE_PIVOT[[#This Row],[Duration]]&lt;=120,"1 to 2 Hours",TRUE,"More Than 2 Hours")</f>
        <v>1 to 2 Hours</v>
      </c>
      <c r="K244" s="82">
        <f>ROUND(TABLE_PIVOT[[#This Row],[Satisfaction Rating]],0)</f>
        <v>4</v>
      </c>
    </row>
    <row r="245" spans="1:11" x14ac:dyDescent="0.3">
      <c r="A245" s="8" t="s">
        <v>1871</v>
      </c>
      <c r="B245" s="8" t="s">
        <v>1629</v>
      </c>
      <c r="C245" s="8">
        <v>58</v>
      </c>
      <c r="D245" s="120" t="s">
        <v>1616</v>
      </c>
      <c r="E245" s="121">
        <v>45004</v>
      </c>
      <c r="F245" s="8">
        <v>43</v>
      </c>
      <c r="G245" s="8">
        <v>4.5</v>
      </c>
      <c r="H245" s="82">
        <f>IF(MONTH(TABLE_PIVOT[[#This Row],[Date of Call]])&lt;=6,YEAR(TABLE_PIVOT[[#This Row],[Date of Call]]),YEAR(TABLE_PIVOT[[#This Row],[Date of Call]])+1)</f>
        <v>2023</v>
      </c>
      <c r="I245" s="82" t="str">
        <f>TEXT(TABLE_PIVOT[[#This Row],[Date of Call]],"DDDD")</f>
        <v>Sunday</v>
      </c>
      <c r="J245" s="82" t="str" cm="1">
        <f t="array" ref="J245">_xlfn.IFS(TABLE_PIVOT[[#This Row],[Duration]]&lt;=10,"Under 10 Mins",TABLE_PIVOT[[#This Row],[Duration]]&lt;=30,"10 to 30 Mins",TABLE_PIVOT[[#This Row],[Duration]]&lt;=60,"30 to 60 Mins",TABLE_PIVOT[[#This Row],[Duration]]&lt;=120,"1 to 2 Hours",TRUE,"More Than 2 Hours")</f>
        <v>30 to 60 Mins</v>
      </c>
      <c r="K245" s="82">
        <f>ROUND(TABLE_PIVOT[[#This Row],[Satisfaction Rating]],0)</f>
        <v>5</v>
      </c>
    </row>
    <row r="246" spans="1:11" x14ac:dyDescent="0.3">
      <c r="A246" s="8" t="s">
        <v>1872</v>
      </c>
      <c r="B246" s="8" t="s">
        <v>1644</v>
      </c>
      <c r="C246" s="8">
        <v>84</v>
      </c>
      <c r="D246" s="120" t="s">
        <v>1621</v>
      </c>
      <c r="E246" s="121">
        <v>45004</v>
      </c>
      <c r="F246" s="8">
        <v>22</v>
      </c>
      <c r="G246" s="8">
        <v>3.5</v>
      </c>
      <c r="H246" s="82">
        <f>IF(MONTH(TABLE_PIVOT[[#This Row],[Date of Call]])&lt;=6,YEAR(TABLE_PIVOT[[#This Row],[Date of Call]]),YEAR(TABLE_PIVOT[[#This Row],[Date of Call]])+1)</f>
        <v>2023</v>
      </c>
      <c r="I246" s="82" t="str">
        <f>TEXT(TABLE_PIVOT[[#This Row],[Date of Call]],"DDDD")</f>
        <v>Sunday</v>
      </c>
      <c r="J246" s="82" t="str" cm="1">
        <f t="array" ref="J246">_xlfn.IFS(TABLE_PIVOT[[#This Row],[Duration]]&lt;=10,"Under 10 Mins",TABLE_PIVOT[[#This Row],[Duration]]&lt;=30,"10 to 30 Mins",TABLE_PIVOT[[#This Row],[Duration]]&lt;=60,"30 to 60 Mins",TABLE_PIVOT[[#This Row],[Duration]]&lt;=120,"1 to 2 Hours",TRUE,"More Than 2 Hours")</f>
        <v>1 to 2 Hours</v>
      </c>
      <c r="K246" s="82">
        <f>ROUND(TABLE_PIVOT[[#This Row],[Satisfaction Rating]],0)</f>
        <v>4</v>
      </c>
    </row>
    <row r="247" spans="1:11" x14ac:dyDescent="0.3">
      <c r="A247" s="8" t="s">
        <v>1873</v>
      </c>
      <c r="B247" s="8" t="s">
        <v>1641</v>
      </c>
      <c r="C247" s="8">
        <v>140</v>
      </c>
      <c r="D247" s="120" t="s">
        <v>1621</v>
      </c>
      <c r="E247" s="121">
        <v>45004</v>
      </c>
      <c r="F247" s="8">
        <v>93</v>
      </c>
      <c r="G247" s="8">
        <v>4.4000000000000004</v>
      </c>
      <c r="H247" s="82">
        <f>IF(MONTH(TABLE_PIVOT[[#This Row],[Date of Call]])&lt;=6,YEAR(TABLE_PIVOT[[#This Row],[Date of Call]]),YEAR(TABLE_PIVOT[[#This Row],[Date of Call]])+1)</f>
        <v>2023</v>
      </c>
      <c r="I247" s="82" t="str">
        <f>TEXT(TABLE_PIVOT[[#This Row],[Date of Call]],"DDDD")</f>
        <v>Sunday</v>
      </c>
      <c r="J247" s="82" t="str" cm="1">
        <f t="array" ref="J247">_xlfn.IFS(TABLE_PIVOT[[#This Row],[Duration]]&lt;=10,"Under 10 Mins",TABLE_PIVOT[[#This Row],[Duration]]&lt;=30,"10 to 30 Mins",TABLE_PIVOT[[#This Row],[Duration]]&lt;=60,"30 to 60 Mins",TABLE_PIVOT[[#This Row],[Duration]]&lt;=120,"1 to 2 Hours",TRUE,"More Than 2 Hours")</f>
        <v>More Than 2 Hours</v>
      </c>
      <c r="K247" s="82">
        <f>ROUND(TABLE_PIVOT[[#This Row],[Satisfaction Rating]],0)</f>
        <v>4</v>
      </c>
    </row>
    <row r="248" spans="1:11" x14ac:dyDescent="0.3">
      <c r="A248" s="8" t="s">
        <v>1874</v>
      </c>
      <c r="B248" s="8" t="s">
        <v>1629</v>
      </c>
      <c r="C248" s="8">
        <v>67</v>
      </c>
      <c r="D248" s="120" t="s">
        <v>1621</v>
      </c>
      <c r="E248" s="121">
        <v>45004</v>
      </c>
      <c r="F248" s="8">
        <v>45</v>
      </c>
      <c r="G248" s="8">
        <v>3.5</v>
      </c>
      <c r="H248" s="82">
        <f>IF(MONTH(TABLE_PIVOT[[#This Row],[Date of Call]])&lt;=6,YEAR(TABLE_PIVOT[[#This Row],[Date of Call]]),YEAR(TABLE_PIVOT[[#This Row],[Date of Call]])+1)</f>
        <v>2023</v>
      </c>
      <c r="I248" s="82" t="str">
        <f>TEXT(TABLE_PIVOT[[#This Row],[Date of Call]],"DDDD")</f>
        <v>Sunday</v>
      </c>
      <c r="J248" s="82" t="str" cm="1">
        <f t="array" ref="J248">_xlfn.IFS(TABLE_PIVOT[[#This Row],[Duration]]&lt;=10,"Under 10 Mins",TABLE_PIVOT[[#This Row],[Duration]]&lt;=30,"10 to 30 Mins",TABLE_PIVOT[[#This Row],[Duration]]&lt;=60,"30 to 60 Mins",TABLE_PIVOT[[#This Row],[Duration]]&lt;=120,"1 to 2 Hours",TRUE,"More Than 2 Hours")</f>
        <v>1 to 2 Hours</v>
      </c>
      <c r="K248" s="82">
        <f>ROUND(TABLE_PIVOT[[#This Row],[Satisfaction Rating]],0)</f>
        <v>4</v>
      </c>
    </row>
    <row r="249" spans="1:11" x14ac:dyDescent="0.3">
      <c r="A249" s="8" t="s">
        <v>1875</v>
      </c>
      <c r="B249" s="8" t="s">
        <v>1613</v>
      </c>
      <c r="C249" s="8">
        <v>126</v>
      </c>
      <c r="D249" s="120" t="s">
        <v>1621</v>
      </c>
      <c r="E249" s="121">
        <v>45005</v>
      </c>
      <c r="F249" s="8">
        <v>96</v>
      </c>
      <c r="G249" s="8">
        <v>3.8</v>
      </c>
      <c r="H249" s="82">
        <f>IF(MONTH(TABLE_PIVOT[[#This Row],[Date of Call]])&lt;=6,YEAR(TABLE_PIVOT[[#This Row],[Date of Call]]),YEAR(TABLE_PIVOT[[#This Row],[Date of Call]])+1)</f>
        <v>2023</v>
      </c>
      <c r="I249" s="82" t="str">
        <f>TEXT(TABLE_PIVOT[[#This Row],[Date of Call]],"DDDD")</f>
        <v>Monday</v>
      </c>
      <c r="J249" s="82" t="str" cm="1">
        <f t="array" ref="J249">_xlfn.IFS(TABLE_PIVOT[[#This Row],[Duration]]&lt;=10,"Under 10 Mins",TABLE_PIVOT[[#This Row],[Duration]]&lt;=30,"10 to 30 Mins",TABLE_PIVOT[[#This Row],[Duration]]&lt;=60,"30 to 60 Mins",TABLE_PIVOT[[#This Row],[Duration]]&lt;=120,"1 to 2 Hours",TRUE,"More Than 2 Hours")</f>
        <v>More Than 2 Hours</v>
      </c>
      <c r="K249" s="82">
        <f>ROUND(TABLE_PIVOT[[#This Row],[Satisfaction Rating]],0)</f>
        <v>4</v>
      </c>
    </row>
    <row r="250" spans="1:11" x14ac:dyDescent="0.3">
      <c r="A250" s="8" t="s">
        <v>1876</v>
      </c>
      <c r="B250" s="8" t="s">
        <v>1613</v>
      </c>
      <c r="C250" s="8">
        <v>89</v>
      </c>
      <c r="D250" s="120" t="s">
        <v>1616</v>
      </c>
      <c r="E250" s="121">
        <v>45005</v>
      </c>
      <c r="F250" s="8">
        <v>96</v>
      </c>
      <c r="G250" s="8">
        <v>3.3</v>
      </c>
      <c r="H250" s="82">
        <f>IF(MONTH(TABLE_PIVOT[[#This Row],[Date of Call]])&lt;=6,YEAR(TABLE_PIVOT[[#This Row],[Date of Call]]),YEAR(TABLE_PIVOT[[#This Row],[Date of Call]])+1)</f>
        <v>2023</v>
      </c>
      <c r="I250" s="82" t="str">
        <f>TEXT(TABLE_PIVOT[[#This Row],[Date of Call]],"DDDD")</f>
        <v>Monday</v>
      </c>
      <c r="J250" s="82" t="str" cm="1">
        <f t="array" ref="J250">_xlfn.IFS(TABLE_PIVOT[[#This Row],[Duration]]&lt;=10,"Under 10 Mins",TABLE_PIVOT[[#This Row],[Duration]]&lt;=30,"10 to 30 Mins",TABLE_PIVOT[[#This Row],[Duration]]&lt;=60,"30 to 60 Mins",TABLE_PIVOT[[#This Row],[Duration]]&lt;=120,"1 to 2 Hours",TRUE,"More Than 2 Hours")</f>
        <v>1 to 2 Hours</v>
      </c>
      <c r="K250" s="82">
        <f>ROUND(TABLE_PIVOT[[#This Row],[Satisfaction Rating]],0)</f>
        <v>3</v>
      </c>
    </row>
    <row r="251" spans="1:11" x14ac:dyDescent="0.3">
      <c r="A251" s="8" t="s">
        <v>1877</v>
      </c>
      <c r="B251" s="8" t="s">
        <v>1615</v>
      </c>
      <c r="C251" s="8">
        <v>56</v>
      </c>
      <c r="D251" s="120" t="s">
        <v>1611</v>
      </c>
      <c r="E251" s="121">
        <v>45005</v>
      </c>
      <c r="F251" s="8">
        <v>31</v>
      </c>
      <c r="G251" s="8">
        <v>4.4000000000000004</v>
      </c>
      <c r="H251" s="82">
        <f>IF(MONTH(TABLE_PIVOT[[#This Row],[Date of Call]])&lt;=6,YEAR(TABLE_PIVOT[[#This Row],[Date of Call]]),YEAR(TABLE_PIVOT[[#This Row],[Date of Call]])+1)</f>
        <v>2023</v>
      </c>
      <c r="I251" s="82" t="str">
        <f>TEXT(TABLE_PIVOT[[#This Row],[Date of Call]],"DDDD")</f>
        <v>Monday</v>
      </c>
      <c r="J251" s="82" t="str" cm="1">
        <f t="array" ref="J251">_xlfn.IFS(TABLE_PIVOT[[#This Row],[Duration]]&lt;=10,"Under 10 Mins",TABLE_PIVOT[[#This Row],[Duration]]&lt;=30,"10 to 30 Mins",TABLE_PIVOT[[#This Row],[Duration]]&lt;=60,"30 to 60 Mins",TABLE_PIVOT[[#This Row],[Duration]]&lt;=120,"1 to 2 Hours",TRUE,"More Than 2 Hours")</f>
        <v>30 to 60 Mins</v>
      </c>
      <c r="K251" s="82">
        <f>ROUND(TABLE_PIVOT[[#This Row],[Satisfaction Rating]],0)</f>
        <v>4</v>
      </c>
    </row>
    <row r="252" spans="1:11" x14ac:dyDescent="0.3">
      <c r="A252" s="8" t="s">
        <v>1878</v>
      </c>
      <c r="B252" s="8" t="s">
        <v>1620</v>
      </c>
      <c r="C252" s="8">
        <v>48</v>
      </c>
      <c r="D252" s="120" t="s">
        <v>1616</v>
      </c>
      <c r="E252" s="121">
        <v>45005</v>
      </c>
      <c r="F252" s="8">
        <v>200</v>
      </c>
      <c r="G252" s="8">
        <v>3.9</v>
      </c>
      <c r="H252" s="82">
        <f>IF(MONTH(TABLE_PIVOT[[#This Row],[Date of Call]])&lt;=6,YEAR(TABLE_PIVOT[[#This Row],[Date of Call]]),YEAR(TABLE_PIVOT[[#This Row],[Date of Call]])+1)</f>
        <v>2023</v>
      </c>
      <c r="I252" s="82" t="str">
        <f>TEXT(TABLE_PIVOT[[#This Row],[Date of Call]],"DDDD")</f>
        <v>Monday</v>
      </c>
      <c r="J252" s="82" t="str" cm="1">
        <f t="array" ref="J252">_xlfn.IFS(TABLE_PIVOT[[#This Row],[Duration]]&lt;=10,"Under 10 Mins",TABLE_PIVOT[[#This Row],[Duration]]&lt;=30,"10 to 30 Mins",TABLE_PIVOT[[#This Row],[Duration]]&lt;=60,"30 to 60 Mins",TABLE_PIVOT[[#This Row],[Duration]]&lt;=120,"1 to 2 Hours",TRUE,"More Than 2 Hours")</f>
        <v>30 to 60 Mins</v>
      </c>
      <c r="K252" s="82">
        <f>ROUND(TABLE_PIVOT[[#This Row],[Satisfaction Rating]],0)</f>
        <v>4</v>
      </c>
    </row>
    <row r="253" spans="1:11" x14ac:dyDescent="0.3">
      <c r="A253" s="8" t="s">
        <v>1879</v>
      </c>
      <c r="B253" s="8" t="s">
        <v>1613</v>
      </c>
      <c r="C253" s="8">
        <v>55</v>
      </c>
      <c r="D253" s="120" t="s">
        <v>1611</v>
      </c>
      <c r="E253" s="121">
        <v>45005</v>
      </c>
      <c r="F253" s="8">
        <v>99</v>
      </c>
      <c r="G253" s="8">
        <v>2.7</v>
      </c>
      <c r="H253" s="82">
        <f>IF(MONTH(TABLE_PIVOT[[#This Row],[Date of Call]])&lt;=6,YEAR(TABLE_PIVOT[[#This Row],[Date of Call]]),YEAR(TABLE_PIVOT[[#This Row],[Date of Call]])+1)</f>
        <v>2023</v>
      </c>
      <c r="I253" s="82" t="str">
        <f>TEXT(TABLE_PIVOT[[#This Row],[Date of Call]],"DDDD")</f>
        <v>Monday</v>
      </c>
      <c r="J253" s="82" t="str" cm="1">
        <f t="array" ref="J253">_xlfn.IFS(TABLE_PIVOT[[#This Row],[Duration]]&lt;=10,"Under 10 Mins",TABLE_PIVOT[[#This Row],[Duration]]&lt;=30,"10 to 30 Mins",TABLE_PIVOT[[#This Row],[Duration]]&lt;=60,"30 to 60 Mins",TABLE_PIVOT[[#This Row],[Duration]]&lt;=120,"1 to 2 Hours",TRUE,"More Than 2 Hours")</f>
        <v>30 to 60 Mins</v>
      </c>
      <c r="K253" s="82">
        <f>ROUND(TABLE_PIVOT[[#This Row],[Satisfaction Rating]],0)</f>
        <v>3</v>
      </c>
    </row>
    <row r="254" spans="1:11" x14ac:dyDescent="0.3">
      <c r="A254" s="8" t="s">
        <v>1880</v>
      </c>
      <c r="B254" s="8" t="s">
        <v>1618</v>
      </c>
      <c r="C254" s="8">
        <v>88</v>
      </c>
      <c r="D254" s="120" t="s">
        <v>1630</v>
      </c>
      <c r="E254" s="121">
        <v>45005</v>
      </c>
      <c r="F254" s="8">
        <v>144</v>
      </c>
      <c r="G254" s="8">
        <v>2.9</v>
      </c>
      <c r="H254" s="82">
        <f>IF(MONTH(TABLE_PIVOT[[#This Row],[Date of Call]])&lt;=6,YEAR(TABLE_PIVOT[[#This Row],[Date of Call]]),YEAR(TABLE_PIVOT[[#This Row],[Date of Call]])+1)</f>
        <v>2023</v>
      </c>
      <c r="I254" s="82" t="str">
        <f>TEXT(TABLE_PIVOT[[#This Row],[Date of Call]],"DDDD")</f>
        <v>Monday</v>
      </c>
      <c r="J254" s="82" t="str" cm="1">
        <f t="array" ref="J254">_xlfn.IFS(TABLE_PIVOT[[#This Row],[Duration]]&lt;=10,"Under 10 Mins",TABLE_PIVOT[[#This Row],[Duration]]&lt;=30,"10 to 30 Mins",TABLE_PIVOT[[#This Row],[Duration]]&lt;=60,"30 to 60 Mins",TABLE_PIVOT[[#This Row],[Duration]]&lt;=120,"1 to 2 Hours",TRUE,"More Than 2 Hours")</f>
        <v>1 to 2 Hours</v>
      </c>
      <c r="K254" s="82">
        <f>ROUND(TABLE_PIVOT[[#This Row],[Satisfaction Rating]],0)</f>
        <v>3</v>
      </c>
    </row>
    <row r="255" spans="1:11" x14ac:dyDescent="0.3">
      <c r="A255" s="8" t="s">
        <v>1881</v>
      </c>
      <c r="B255" s="8" t="s">
        <v>1615</v>
      </c>
      <c r="C255" s="8">
        <v>102</v>
      </c>
      <c r="D255" s="120" t="s">
        <v>1621</v>
      </c>
      <c r="E255" s="121">
        <v>45006</v>
      </c>
      <c r="F255" s="8">
        <v>81</v>
      </c>
      <c r="G255" s="8">
        <v>4</v>
      </c>
      <c r="H255" s="82">
        <f>IF(MONTH(TABLE_PIVOT[[#This Row],[Date of Call]])&lt;=6,YEAR(TABLE_PIVOT[[#This Row],[Date of Call]]),YEAR(TABLE_PIVOT[[#This Row],[Date of Call]])+1)</f>
        <v>2023</v>
      </c>
      <c r="I255" s="82" t="str">
        <f>TEXT(TABLE_PIVOT[[#This Row],[Date of Call]],"DDDD")</f>
        <v>Tuesday</v>
      </c>
      <c r="J255" s="82" t="str" cm="1">
        <f t="array" ref="J255">_xlfn.IFS(TABLE_PIVOT[[#This Row],[Duration]]&lt;=10,"Under 10 Mins",TABLE_PIVOT[[#This Row],[Duration]]&lt;=30,"10 to 30 Mins",TABLE_PIVOT[[#This Row],[Duration]]&lt;=60,"30 to 60 Mins",TABLE_PIVOT[[#This Row],[Duration]]&lt;=120,"1 to 2 Hours",TRUE,"More Than 2 Hours")</f>
        <v>1 to 2 Hours</v>
      </c>
      <c r="K255" s="82">
        <f>ROUND(TABLE_PIVOT[[#This Row],[Satisfaction Rating]],0)</f>
        <v>4</v>
      </c>
    </row>
    <row r="256" spans="1:11" x14ac:dyDescent="0.3">
      <c r="A256" s="8" t="s">
        <v>1882</v>
      </c>
      <c r="B256" s="8" t="s">
        <v>1618</v>
      </c>
      <c r="C256" s="8">
        <v>155</v>
      </c>
      <c r="D256" s="120" t="s">
        <v>1630</v>
      </c>
      <c r="E256" s="121">
        <v>45006</v>
      </c>
      <c r="F256" s="8">
        <v>70</v>
      </c>
      <c r="G256" s="8">
        <v>4.4000000000000004</v>
      </c>
      <c r="H256" s="82">
        <f>IF(MONTH(TABLE_PIVOT[[#This Row],[Date of Call]])&lt;=6,YEAR(TABLE_PIVOT[[#This Row],[Date of Call]]),YEAR(TABLE_PIVOT[[#This Row],[Date of Call]])+1)</f>
        <v>2023</v>
      </c>
      <c r="I256" s="82" t="str">
        <f>TEXT(TABLE_PIVOT[[#This Row],[Date of Call]],"DDDD")</f>
        <v>Tuesday</v>
      </c>
      <c r="J256" s="82" t="str" cm="1">
        <f t="array" ref="J256">_xlfn.IFS(TABLE_PIVOT[[#This Row],[Duration]]&lt;=10,"Under 10 Mins",TABLE_PIVOT[[#This Row],[Duration]]&lt;=30,"10 to 30 Mins",TABLE_PIVOT[[#This Row],[Duration]]&lt;=60,"30 to 60 Mins",TABLE_PIVOT[[#This Row],[Duration]]&lt;=120,"1 to 2 Hours",TRUE,"More Than 2 Hours")</f>
        <v>More Than 2 Hours</v>
      </c>
      <c r="K256" s="82">
        <f>ROUND(TABLE_PIVOT[[#This Row],[Satisfaction Rating]],0)</f>
        <v>4</v>
      </c>
    </row>
    <row r="257" spans="1:11" x14ac:dyDescent="0.3">
      <c r="A257" s="8" t="s">
        <v>1883</v>
      </c>
      <c r="B257" s="8" t="s">
        <v>1613</v>
      </c>
      <c r="C257" s="8">
        <v>63</v>
      </c>
      <c r="D257" s="120" t="s">
        <v>1630</v>
      </c>
      <c r="E257" s="121">
        <v>45006</v>
      </c>
      <c r="F257" s="8">
        <v>148</v>
      </c>
      <c r="G257" s="8">
        <v>5</v>
      </c>
      <c r="H257" s="82">
        <f>IF(MONTH(TABLE_PIVOT[[#This Row],[Date of Call]])&lt;=6,YEAR(TABLE_PIVOT[[#This Row],[Date of Call]]),YEAR(TABLE_PIVOT[[#This Row],[Date of Call]])+1)</f>
        <v>2023</v>
      </c>
      <c r="I257" s="82" t="str">
        <f>TEXT(TABLE_PIVOT[[#This Row],[Date of Call]],"DDDD")</f>
        <v>Tuesday</v>
      </c>
      <c r="J257" s="82" t="str" cm="1">
        <f t="array" ref="J257">_xlfn.IFS(TABLE_PIVOT[[#This Row],[Duration]]&lt;=10,"Under 10 Mins",TABLE_PIVOT[[#This Row],[Duration]]&lt;=30,"10 to 30 Mins",TABLE_PIVOT[[#This Row],[Duration]]&lt;=60,"30 to 60 Mins",TABLE_PIVOT[[#This Row],[Duration]]&lt;=120,"1 to 2 Hours",TRUE,"More Than 2 Hours")</f>
        <v>1 to 2 Hours</v>
      </c>
      <c r="K257" s="82">
        <f>ROUND(TABLE_PIVOT[[#This Row],[Satisfaction Rating]],0)</f>
        <v>5</v>
      </c>
    </row>
    <row r="258" spans="1:11" x14ac:dyDescent="0.3">
      <c r="A258" s="8" t="s">
        <v>1884</v>
      </c>
      <c r="B258" s="8" t="s">
        <v>1624</v>
      </c>
      <c r="C258" s="8">
        <v>59</v>
      </c>
      <c r="D258" s="120" t="s">
        <v>1621</v>
      </c>
      <c r="E258" s="121">
        <v>45006</v>
      </c>
      <c r="F258" s="8">
        <v>215</v>
      </c>
      <c r="G258" s="8">
        <v>4.0999999999999996</v>
      </c>
      <c r="H258" s="82">
        <f>IF(MONTH(TABLE_PIVOT[[#This Row],[Date of Call]])&lt;=6,YEAR(TABLE_PIVOT[[#This Row],[Date of Call]]),YEAR(TABLE_PIVOT[[#This Row],[Date of Call]])+1)</f>
        <v>2023</v>
      </c>
      <c r="I258" s="82" t="str">
        <f>TEXT(TABLE_PIVOT[[#This Row],[Date of Call]],"DDDD")</f>
        <v>Tuesday</v>
      </c>
      <c r="J258" s="82" t="str" cm="1">
        <f t="array" ref="J258">_xlfn.IFS(TABLE_PIVOT[[#This Row],[Duration]]&lt;=10,"Under 10 Mins",TABLE_PIVOT[[#This Row],[Duration]]&lt;=30,"10 to 30 Mins",TABLE_PIVOT[[#This Row],[Duration]]&lt;=60,"30 to 60 Mins",TABLE_PIVOT[[#This Row],[Duration]]&lt;=120,"1 to 2 Hours",TRUE,"More Than 2 Hours")</f>
        <v>30 to 60 Mins</v>
      </c>
      <c r="K258" s="82">
        <f>ROUND(TABLE_PIVOT[[#This Row],[Satisfaction Rating]],0)</f>
        <v>4</v>
      </c>
    </row>
    <row r="259" spans="1:11" x14ac:dyDescent="0.3">
      <c r="A259" s="8" t="s">
        <v>1885</v>
      </c>
      <c r="B259" s="8" t="s">
        <v>1624</v>
      </c>
      <c r="C259" s="8">
        <v>144</v>
      </c>
      <c r="D259" s="120" t="s">
        <v>1616</v>
      </c>
      <c r="E259" s="121">
        <v>45006</v>
      </c>
      <c r="F259" s="8">
        <v>124</v>
      </c>
      <c r="G259" s="8">
        <v>4.4000000000000004</v>
      </c>
      <c r="H259" s="82">
        <f>IF(MONTH(TABLE_PIVOT[[#This Row],[Date of Call]])&lt;=6,YEAR(TABLE_PIVOT[[#This Row],[Date of Call]]),YEAR(TABLE_PIVOT[[#This Row],[Date of Call]])+1)</f>
        <v>2023</v>
      </c>
      <c r="I259" s="82" t="str">
        <f>TEXT(TABLE_PIVOT[[#This Row],[Date of Call]],"DDDD")</f>
        <v>Tuesday</v>
      </c>
      <c r="J259" s="82" t="str" cm="1">
        <f t="array" ref="J259">_xlfn.IFS(TABLE_PIVOT[[#This Row],[Duration]]&lt;=10,"Under 10 Mins",TABLE_PIVOT[[#This Row],[Duration]]&lt;=30,"10 to 30 Mins",TABLE_PIVOT[[#This Row],[Duration]]&lt;=60,"30 to 60 Mins",TABLE_PIVOT[[#This Row],[Duration]]&lt;=120,"1 to 2 Hours",TRUE,"More Than 2 Hours")</f>
        <v>More Than 2 Hours</v>
      </c>
      <c r="K259" s="82">
        <f>ROUND(TABLE_PIVOT[[#This Row],[Satisfaction Rating]],0)</f>
        <v>4</v>
      </c>
    </row>
    <row r="260" spans="1:11" x14ac:dyDescent="0.3">
      <c r="A260" s="8" t="s">
        <v>1886</v>
      </c>
      <c r="B260" s="8" t="s">
        <v>1644</v>
      </c>
      <c r="C260" s="8">
        <v>113</v>
      </c>
      <c r="D260" s="120" t="s">
        <v>1626</v>
      </c>
      <c r="E260" s="121">
        <v>45006</v>
      </c>
      <c r="F260" s="8">
        <v>168</v>
      </c>
      <c r="G260" s="8">
        <v>4.0999999999999996</v>
      </c>
      <c r="H260" s="82">
        <f>IF(MONTH(TABLE_PIVOT[[#This Row],[Date of Call]])&lt;=6,YEAR(TABLE_PIVOT[[#This Row],[Date of Call]]),YEAR(TABLE_PIVOT[[#This Row],[Date of Call]])+1)</f>
        <v>2023</v>
      </c>
      <c r="I260" s="82" t="str">
        <f>TEXT(TABLE_PIVOT[[#This Row],[Date of Call]],"DDDD")</f>
        <v>Tuesday</v>
      </c>
      <c r="J260" s="82" t="str" cm="1">
        <f t="array" ref="J260">_xlfn.IFS(TABLE_PIVOT[[#This Row],[Duration]]&lt;=10,"Under 10 Mins",TABLE_PIVOT[[#This Row],[Duration]]&lt;=30,"10 to 30 Mins",TABLE_PIVOT[[#This Row],[Duration]]&lt;=60,"30 to 60 Mins",TABLE_PIVOT[[#This Row],[Duration]]&lt;=120,"1 to 2 Hours",TRUE,"More Than 2 Hours")</f>
        <v>1 to 2 Hours</v>
      </c>
      <c r="K260" s="82">
        <f>ROUND(TABLE_PIVOT[[#This Row],[Satisfaction Rating]],0)</f>
        <v>4</v>
      </c>
    </row>
    <row r="261" spans="1:11" x14ac:dyDescent="0.3">
      <c r="A261" s="8" t="s">
        <v>1887</v>
      </c>
      <c r="B261" s="8" t="s">
        <v>1652</v>
      </c>
      <c r="C261" s="8">
        <v>154</v>
      </c>
      <c r="D261" s="120" t="s">
        <v>1611</v>
      </c>
      <c r="E261" s="121">
        <v>45006</v>
      </c>
      <c r="F261" s="8">
        <v>90</v>
      </c>
      <c r="G261" s="8">
        <v>4.5</v>
      </c>
      <c r="H261" s="82">
        <f>IF(MONTH(TABLE_PIVOT[[#This Row],[Date of Call]])&lt;=6,YEAR(TABLE_PIVOT[[#This Row],[Date of Call]]),YEAR(TABLE_PIVOT[[#This Row],[Date of Call]])+1)</f>
        <v>2023</v>
      </c>
      <c r="I261" s="82" t="str">
        <f>TEXT(TABLE_PIVOT[[#This Row],[Date of Call]],"DDDD")</f>
        <v>Tuesday</v>
      </c>
      <c r="J261" s="82" t="str" cm="1">
        <f t="array" ref="J261">_xlfn.IFS(TABLE_PIVOT[[#This Row],[Duration]]&lt;=10,"Under 10 Mins",TABLE_PIVOT[[#This Row],[Duration]]&lt;=30,"10 to 30 Mins",TABLE_PIVOT[[#This Row],[Duration]]&lt;=60,"30 to 60 Mins",TABLE_PIVOT[[#This Row],[Duration]]&lt;=120,"1 to 2 Hours",TRUE,"More Than 2 Hours")</f>
        <v>More Than 2 Hours</v>
      </c>
      <c r="K261" s="82">
        <f>ROUND(TABLE_PIVOT[[#This Row],[Satisfaction Rating]],0)</f>
        <v>5</v>
      </c>
    </row>
    <row r="262" spans="1:11" x14ac:dyDescent="0.3">
      <c r="A262" s="8" t="s">
        <v>1888</v>
      </c>
      <c r="B262" s="8" t="s">
        <v>1652</v>
      </c>
      <c r="C262" s="8">
        <v>58</v>
      </c>
      <c r="D262" s="120" t="s">
        <v>1621</v>
      </c>
      <c r="E262" s="121">
        <v>45007</v>
      </c>
      <c r="F262" s="8">
        <v>176</v>
      </c>
      <c r="G262" s="8">
        <v>4.2</v>
      </c>
      <c r="H262" s="82">
        <f>IF(MONTH(TABLE_PIVOT[[#This Row],[Date of Call]])&lt;=6,YEAR(TABLE_PIVOT[[#This Row],[Date of Call]]),YEAR(TABLE_PIVOT[[#This Row],[Date of Call]])+1)</f>
        <v>2023</v>
      </c>
      <c r="I262" s="82" t="str">
        <f>TEXT(TABLE_PIVOT[[#This Row],[Date of Call]],"DDDD")</f>
        <v>Wednesday</v>
      </c>
      <c r="J262" s="82" t="str" cm="1">
        <f t="array" ref="J262">_xlfn.IFS(TABLE_PIVOT[[#This Row],[Duration]]&lt;=10,"Under 10 Mins",TABLE_PIVOT[[#This Row],[Duration]]&lt;=30,"10 to 30 Mins",TABLE_PIVOT[[#This Row],[Duration]]&lt;=60,"30 to 60 Mins",TABLE_PIVOT[[#This Row],[Duration]]&lt;=120,"1 to 2 Hours",TRUE,"More Than 2 Hours")</f>
        <v>30 to 60 Mins</v>
      </c>
      <c r="K262" s="82">
        <f>ROUND(TABLE_PIVOT[[#This Row],[Satisfaction Rating]],0)</f>
        <v>4</v>
      </c>
    </row>
    <row r="263" spans="1:11" x14ac:dyDescent="0.3">
      <c r="A263" s="8" t="s">
        <v>1889</v>
      </c>
      <c r="B263" s="8" t="s">
        <v>1620</v>
      </c>
      <c r="C263" s="8">
        <v>63</v>
      </c>
      <c r="D263" s="120" t="s">
        <v>1630</v>
      </c>
      <c r="E263" s="121">
        <v>45007</v>
      </c>
      <c r="F263" s="8">
        <v>87</v>
      </c>
      <c r="G263" s="8">
        <v>4.5999999999999996</v>
      </c>
      <c r="H263" s="82">
        <f>IF(MONTH(TABLE_PIVOT[[#This Row],[Date of Call]])&lt;=6,YEAR(TABLE_PIVOT[[#This Row],[Date of Call]]),YEAR(TABLE_PIVOT[[#This Row],[Date of Call]])+1)</f>
        <v>2023</v>
      </c>
      <c r="I263" s="82" t="str">
        <f>TEXT(TABLE_PIVOT[[#This Row],[Date of Call]],"DDDD")</f>
        <v>Wednesday</v>
      </c>
      <c r="J263" s="82" t="str" cm="1">
        <f t="array" ref="J263">_xlfn.IFS(TABLE_PIVOT[[#This Row],[Duration]]&lt;=10,"Under 10 Mins",TABLE_PIVOT[[#This Row],[Duration]]&lt;=30,"10 to 30 Mins",TABLE_PIVOT[[#This Row],[Duration]]&lt;=60,"30 to 60 Mins",TABLE_PIVOT[[#This Row],[Duration]]&lt;=120,"1 to 2 Hours",TRUE,"More Than 2 Hours")</f>
        <v>1 to 2 Hours</v>
      </c>
      <c r="K263" s="82">
        <f>ROUND(TABLE_PIVOT[[#This Row],[Satisfaction Rating]],0)</f>
        <v>5</v>
      </c>
    </row>
    <row r="264" spans="1:11" x14ac:dyDescent="0.3">
      <c r="A264" s="8" t="s">
        <v>1890</v>
      </c>
      <c r="B264" s="8" t="s">
        <v>1641</v>
      </c>
      <c r="C264" s="8">
        <v>59</v>
      </c>
      <c r="D264" s="120" t="s">
        <v>1616</v>
      </c>
      <c r="E264" s="121">
        <v>45007</v>
      </c>
      <c r="F264" s="8">
        <v>128</v>
      </c>
      <c r="G264" s="8">
        <v>4.5</v>
      </c>
      <c r="H264" s="82">
        <f>IF(MONTH(TABLE_PIVOT[[#This Row],[Date of Call]])&lt;=6,YEAR(TABLE_PIVOT[[#This Row],[Date of Call]]),YEAR(TABLE_PIVOT[[#This Row],[Date of Call]])+1)</f>
        <v>2023</v>
      </c>
      <c r="I264" s="82" t="str">
        <f>TEXT(TABLE_PIVOT[[#This Row],[Date of Call]],"DDDD")</f>
        <v>Wednesday</v>
      </c>
      <c r="J264" s="82" t="str" cm="1">
        <f t="array" ref="J264">_xlfn.IFS(TABLE_PIVOT[[#This Row],[Duration]]&lt;=10,"Under 10 Mins",TABLE_PIVOT[[#This Row],[Duration]]&lt;=30,"10 to 30 Mins",TABLE_PIVOT[[#This Row],[Duration]]&lt;=60,"30 to 60 Mins",TABLE_PIVOT[[#This Row],[Duration]]&lt;=120,"1 to 2 Hours",TRUE,"More Than 2 Hours")</f>
        <v>30 to 60 Mins</v>
      </c>
      <c r="K264" s="82">
        <f>ROUND(TABLE_PIVOT[[#This Row],[Satisfaction Rating]],0)</f>
        <v>5</v>
      </c>
    </row>
    <row r="265" spans="1:11" x14ac:dyDescent="0.3">
      <c r="A265" s="8" t="s">
        <v>1891</v>
      </c>
      <c r="B265" s="8" t="s">
        <v>1682</v>
      </c>
      <c r="C265" s="8">
        <v>129</v>
      </c>
      <c r="D265" s="120" t="s">
        <v>1630</v>
      </c>
      <c r="E265" s="121">
        <v>45007</v>
      </c>
      <c r="F265" s="8">
        <v>120</v>
      </c>
      <c r="G265" s="8">
        <v>4.0999999999999996</v>
      </c>
      <c r="H265" s="82">
        <f>IF(MONTH(TABLE_PIVOT[[#This Row],[Date of Call]])&lt;=6,YEAR(TABLE_PIVOT[[#This Row],[Date of Call]]),YEAR(TABLE_PIVOT[[#This Row],[Date of Call]])+1)</f>
        <v>2023</v>
      </c>
      <c r="I265" s="82" t="str">
        <f>TEXT(TABLE_PIVOT[[#This Row],[Date of Call]],"DDDD")</f>
        <v>Wednesday</v>
      </c>
      <c r="J265" s="82" t="str" cm="1">
        <f t="array" ref="J265">_xlfn.IFS(TABLE_PIVOT[[#This Row],[Duration]]&lt;=10,"Under 10 Mins",TABLE_PIVOT[[#This Row],[Duration]]&lt;=30,"10 to 30 Mins",TABLE_PIVOT[[#This Row],[Duration]]&lt;=60,"30 to 60 Mins",TABLE_PIVOT[[#This Row],[Duration]]&lt;=120,"1 to 2 Hours",TRUE,"More Than 2 Hours")</f>
        <v>More Than 2 Hours</v>
      </c>
      <c r="K265" s="82">
        <f>ROUND(TABLE_PIVOT[[#This Row],[Satisfaction Rating]],0)</f>
        <v>4</v>
      </c>
    </row>
    <row r="266" spans="1:11" x14ac:dyDescent="0.3">
      <c r="A266" s="8" t="s">
        <v>1892</v>
      </c>
      <c r="B266" s="8" t="s">
        <v>1635</v>
      </c>
      <c r="C266" s="8">
        <v>101</v>
      </c>
      <c r="D266" s="120" t="s">
        <v>1626</v>
      </c>
      <c r="E266" s="121">
        <v>45007</v>
      </c>
      <c r="F266" s="8">
        <v>130</v>
      </c>
      <c r="G266" s="8">
        <v>4.8</v>
      </c>
      <c r="H266" s="82">
        <f>IF(MONTH(TABLE_PIVOT[[#This Row],[Date of Call]])&lt;=6,YEAR(TABLE_PIVOT[[#This Row],[Date of Call]]),YEAR(TABLE_PIVOT[[#This Row],[Date of Call]])+1)</f>
        <v>2023</v>
      </c>
      <c r="I266" s="82" t="str">
        <f>TEXT(TABLE_PIVOT[[#This Row],[Date of Call]],"DDDD")</f>
        <v>Wednesday</v>
      </c>
      <c r="J266" s="82" t="str" cm="1">
        <f t="array" ref="J266">_xlfn.IFS(TABLE_PIVOT[[#This Row],[Duration]]&lt;=10,"Under 10 Mins",TABLE_PIVOT[[#This Row],[Duration]]&lt;=30,"10 to 30 Mins",TABLE_PIVOT[[#This Row],[Duration]]&lt;=60,"30 to 60 Mins",TABLE_PIVOT[[#This Row],[Duration]]&lt;=120,"1 to 2 Hours",TRUE,"More Than 2 Hours")</f>
        <v>1 to 2 Hours</v>
      </c>
      <c r="K266" s="82">
        <f>ROUND(TABLE_PIVOT[[#This Row],[Satisfaction Rating]],0)</f>
        <v>5</v>
      </c>
    </row>
    <row r="267" spans="1:11" x14ac:dyDescent="0.3">
      <c r="A267" s="8" t="s">
        <v>1893</v>
      </c>
      <c r="B267" s="8" t="s">
        <v>1649</v>
      </c>
      <c r="C267" s="8">
        <v>154</v>
      </c>
      <c r="D267" s="120" t="s">
        <v>1616</v>
      </c>
      <c r="E267" s="121">
        <v>45007</v>
      </c>
      <c r="F267" s="8">
        <v>172</v>
      </c>
      <c r="G267" s="8">
        <v>3.1</v>
      </c>
      <c r="H267" s="82">
        <f>IF(MONTH(TABLE_PIVOT[[#This Row],[Date of Call]])&lt;=6,YEAR(TABLE_PIVOT[[#This Row],[Date of Call]]),YEAR(TABLE_PIVOT[[#This Row],[Date of Call]])+1)</f>
        <v>2023</v>
      </c>
      <c r="I267" s="82" t="str">
        <f>TEXT(TABLE_PIVOT[[#This Row],[Date of Call]],"DDDD")</f>
        <v>Wednesday</v>
      </c>
      <c r="J267" s="82" t="str" cm="1">
        <f t="array" ref="J267">_xlfn.IFS(TABLE_PIVOT[[#This Row],[Duration]]&lt;=10,"Under 10 Mins",TABLE_PIVOT[[#This Row],[Duration]]&lt;=30,"10 to 30 Mins",TABLE_PIVOT[[#This Row],[Duration]]&lt;=60,"30 to 60 Mins",TABLE_PIVOT[[#This Row],[Duration]]&lt;=120,"1 to 2 Hours",TRUE,"More Than 2 Hours")</f>
        <v>More Than 2 Hours</v>
      </c>
      <c r="K267" s="82">
        <f>ROUND(TABLE_PIVOT[[#This Row],[Satisfaction Rating]],0)</f>
        <v>3</v>
      </c>
    </row>
    <row r="268" spans="1:11" x14ac:dyDescent="0.3">
      <c r="A268" s="8" t="s">
        <v>1894</v>
      </c>
      <c r="B268" s="8" t="s">
        <v>1629</v>
      </c>
      <c r="C268" s="8">
        <v>131</v>
      </c>
      <c r="D268" s="120" t="s">
        <v>1616</v>
      </c>
      <c r="E268" s="121">
        <v>45007</v>
      </c>
      <c r="F268" s="8">
        <v>58</v>
      </c>
      <c r="G268" s="8">
        <v>4.9000000000000004</v>
      </c>
      <c r="H268" s="82">
        <f>IF(MONTH(TABLE_PIVOT[[#This Row],[Date of Call]])&lt;=6,YEAR(TABLE_PIVOT[[#This Row],[Date of Call]]),YEAR(TABLE_PIVOT[[#This Row],[Date of Call]])+1)</f>
        <v>2023</v>
      </c>
      <c r="I268" s="82" t="str">
        <f>TEXT(TABLE_PIVOT[[#This Row],[Date of Call]],"DDDD")</f>
        <v>Wednesday</v>
      </c>
      <c r="J268" s="82" t="str" cm="1">
        <f t="array" ref="J268">_xlfn.IFS(TABLE_PIVOT[[#This Row],[Duration]]&lt;=10,"Under 10 Mins",TABLE_PIVOT[[#This Row],[Duration]]&lt;=30,"10 to 30 Mins",TABLE_PIVOT[[#This Row],[Duration]]&lt;=60,"30 to 60 Mins",TABLE_PIVOT[[#This Row],[Duration]]&lt;=120,"1 to 2 Hours",TRUE,"More Than 2 Hours")</f>
        <v>More Than 2 Hours</v>
      </c>
      <c r="K268" s="82">
        <f>ROUND(TABLE_PIVOT[[#This Row],[Satisfaction Rating]],0)</f>
        <v>5</v>
      </c>
    </row>
    <row r="269" spans="1:11" x14ac:dyDescent="0.3">
      <c r="A269" s="8" t="s">
        <v>1895</v>
      </c>
      <c r="B269" s="8" t="s">
        <v>1624</v>
      </c>
      <c r="C269" s="8">
        <v>111</v>
      </c>
      <c r="D269" s="120" t="s">
        <v>1626</v>
      </c>
      <c r="E269" s="121">
        <v>45008</v>
      </c>
      <c r="F269" s="8">
        <v>86</v>
      </c>
      <c r="G269" s="8">
        <v>4.0999999999999996</v>
      </c>
      <c r="H269" s="82">
        <f>IF(MONTH(TABLE_PIVOT[[#This Row],[Date of Call]])&lt;=6,YEAR(TABLE_PIVOT[[#This Row],[Date of Call]]),YEAR(TABLE_PIVOT[[#This Row],[Date of Call]])+1)</f>
        <v>2023</v>
      </c>
      <c r="I269" s="82" t="str">
        <f>TEXT(TABLE_PIVOT[[#This Row],[Date of Call]],"DDDD")</f>
        <v>Thursday</v>
      </c>
      <c r="J269" s="82" t="str" cm="1">
        <f t="array" ref="J269">_xlfn.IFS(TABLE_PIVOT[[#This Row],[Duration]]&lt;=10,"Under 10 Mins",TABLE_PIVOT[[#This Row],[Duration]]&lt;=30,"10 to 30 Mins",TABLE_PIVOT[[#This Row],[Duration]]&lt;=60,"30 to 60 Mins",TABLE_PIVOT[[#This Row],[Duration]]&lt;=120,"1 to 2 Hours",TRUE,"More Than 2 Hours")</f>
        <v>1 to 2 Hours</v>
      </c>
      <c r="K269" s="82">
        <f>ROUND(TABLE_PIVOT[[#This Row],[Satisfaction Rating]],0)</f>
        <v>4</v>
      </c>
    </row>
    <row r="270" spans="1:11" x14ac:dyDescent="0.3">
      <c r="A270" s="8" t="s">
        <v>1896</v>
      </c>
      <c r="B270" s="8" t="s">
        <v>1652</v>
      </c>
      <c r="C270" s="8">
        <v>142</v>
      </c>
      <c r="D270" s="120" t="s">
        <v>1626</v>
      </c>
      <c r="E270" s="121">
        <v>45009</v>
      </c>
      <c r="F270" s="8">
        <v>31</v>
      </c>
      <c r="G270" s="8">
        <v>4.4000000000000004</v>
      </c>
      <c r="H270" s="82">
        <f>IF(MONTH(TABLE_PIVOT[[#This Row],[Date of Call]])&lt;=6,YEAR(TABLE_PIVOT[[#This Row],[Date of Call]]),YEAR(TABLE_PIVOT[[#This Row],[Date of Call]])+1)</f>
        <v>2023</v>
      </c>
      <c r="I270" s="82" t="str">
        <f>TEXT(TABLE_PIVOT[[#This Row],[Date of Call]],"DDDD")</f>
        <v>Friday</v>
      </c>
      <c r="J270" s="82" t="str" cm="1">
        <f t="array" ref="J270">_xlfn.IFS(TABLE_PIVOT[[#This Row],[Duration]]&lt;=10,"Under 10 Mins",TABLE_PIVOT[[#This Row],[Duration]]&lt;=30,"10 to 30 Mins",TABLE_PIVOT[[#This Row],[Duration]]&lt;=60,"30 to 60 Mins",TABLE_PIVOT[[#This Row],[Duration]]&lt;=120,"1 to 2 Hours",TRUE,"More Than 2 Hours")</f>
        <v>More Than 2 Hours</v>
      </c>
      <c r="K270" s="82">
        <f>ROUND(TABLE_PIVOT[[#This Row],[Satisfaction Rating]],0)</f>
        <v>4</v>
      </c>
    </row>
    <row r="271" spans="1:11" x14ac:dyDescent="0.3">
      <c r="A271" s="8" t="s">
        <v>1897</v>
      </c>
      <c r="B271" s="8" t="s">
        <v>1615</v>
      </c>
      <c r="C271" s="8">
        <v>93</v>
      </c>
      <c r="D271" s="120" t="s">
        <v>1630</v>
      </c>
      <c r="E271" s="121">
        <v>45009</v>
      </c>
      <c r="F271" s="8">
        <v>72</v>
      </c>
      <c r="G271" s="8">
        <v>4.4000000000000004</v>
      </c>
      <c r="H271" s="82">
        <f>IF(MONTH(TABLE_PIVOT[[#This Row],[Date of Call]])&lt;=6,YEAR(TABLE_PIVOT[[#This Row],[Date of Call]]),YEAR(TABLE_PIVOT[[#This Row],[Date of Call]])+1)</f>
        <v>2023</v>
      </c>
      <c r="I271" s="82" t="str">
        <f>TEXT(TABLE_PIVOT[[#This Row],[Date of Call]],"DDDD")</f>
        <v>Friday</v>
      </c>
      <c r="J271" s="82" t="str" cm="1">
        <f t="array" ref="J271">_xlfn.IFS(TABLE_PIVOT[[#This Row],[Duration]]&lt;=10,"Under 10 Mins",TABLE_PIVOT[[#This Row],[Duration]]&lt;=30,"10 to 30 Mins",TABLE_PIVOT[[#This Row],[Duration]]&lt;=60,"30 to 60 Mins",TABLE_PIVOT[[#This Row],[Duration]]&lt;=120,"1 to 2 Hours",TRUE,"More Than 2 Hours")</f>
        <v>1 to 2 Hours</v>
      </c>
      <c r="K271" s="82">
        <f>ROUND(TABLE_PIVOT[[#This Row],[Satisfaction Rating]],0)</f>
        <v>4</v>
      </c>
    </row>
    <row r="272" spans="1:11" x14ac:dyDescent="0.3">
      <c r="A272" s="8" t="s">
        <v>1898</v>
      </c>
      <c r="B272" s="8" t="s">
        <v>1652</v>
      </c>
      <c r="C272" s="8">
        <v>125</v>
      </c>
      <c r="D272" s="120" t="s">
        <v>1611</v>
      </c>
      <c r="E272" s="121">
        <v>45010</v>
      </c>
      <c r="F272" s="8">
        <v>27</v>
      </c>
      <c r="G272" s="8">
        <v>3</v>
      </c>
      <c r="H272" s="82">
        <f>IF(MONTH(TABLE_PIVOT[[#This Row],[Date of Call]])&lt;=6,YEAR(TABLE_PIVOT[[#This Row],[Date of Call]]),YEAR(TABLE_PIVOT[[#This Row],[Date of Call]])+1)</f>
        <v>2023</v>
      </c>
      <c r="I272" s="82" t="str">
        <f>TEXT(TABLE_PIVOT[[#This Row],[Date of Call]],"DDDD")</f>
        <v>Saturday</v>
      </c>
      <c r="J272" s="82" t="str" cm="1">
        <f t="array" ref="J272">_xlfn.IFS(TABLE_PIVOT[[#This Row],[Duration]]&lt;=10,"Under 10 Mins",TABLE_PIVOT[[#This Row],[Duration]]&lt;=30,"10 to 30 Mins",TABLE_PIVOT[[#This Row],[Duration]]&lt;=60,"30 to 60 Mins",TABLE_PIVOT[[#This Row],[Duration]]&lt;=120,"1 to 2 Hours",TRUE,"More Than 2 Hours")</f>
        <v>More Than 2 Hours</v>
      </c>
      <c r="K272" s="82">
        <f>ROUND(TABLE_PIVOT[[#This Row],[Satisfaction Rating]],0)</f>
        <v>3</v>
      </c>
    </row>
    <row r="273" spans="1:11" x14ac:dyDescent="0.3">
      <c r="A273" s="8" t="s">
        <v>1899</v>
      </c>
      <c r="B273" s="8" t="s">
        <v>1682</v>
      </c>
      <c r="C273" s="8">
        <v>76</v>
      </c>
      <c r="D273" s="120" t="s">
        <v>1616</v>
      </c>
      <c r="E273" s="121">
        <v>45010</v>
      </c>
      <c r="F273" s="8">
        <v>110</v>
      </c>
      <c r="G273" s="8">
        <v>4.4000000000000004</v>
      </c>
      <c r="H273" s="82">
        <f>IF(MONTH(TABLE_PIVOT[[#This Row],[Date of Call]])&lt;=6,YEAR(TABLE_PIVOT[[#This Row],[Date of Call]]),YEAR(TABLE_PIVOT[[#This Row],[Date of Call]])+1)</f>
        <v>2023</v>
      </c>
      <c r="I273" s="82" t="str">
        <f>TEXT(TABLE_PIVOT[[#This Row],[Date of Call]],"DDDD")</f>
        <v>Saturday</v>
      </c>
      <c r="J273" s="82" t="str" cm="1">
        <f t="array" ref="J273">_xlfn.IFS(TABLE_PIVOT[[#This Row],[Duration]]&lt;=10,"Under 10 Mins",TABLE_PIVOT[[#This Row],[Duration]]&lt;=30,"10 to 30 Mins",TABLE_PIVOT[[#This Row],[Duration]]&lt;=60,"30 to 60 Mins",TABLE_PIVOT[[#This Row],[Duration]]&lt;=120,"1 to 2 Hours",TRUE,"More Than 2 Hours")</f>
        <v>1 to 2 Hours</v>
      </c>
      <c r="K273" s="82">
        <f>ROUND(TABLE_PIVOT[[#This Row],[Satisfaction Rating]],0)</f>
        <v>4</v>
      </c>
    </row>
    <row r="274" spans="1:11" x14ac:dyDescent="0.3">
      <c r="A274" s="8" t="s">
        <v>1900</v>
      </c>
      <c r="B274" s="8" t="s">
        <v>1644</v>
      </c>
      <c r="C274" s="8">
        <v>69</v>
      </c>
      <c r="D274" s="120" t="s">
        <v>1630</v>
      </c>
      <c r="E274" s="121">
        <v>45010</v>
      </c>
      <c r="F274" s="8">
        <v>126</v>
      </c>
      <c r="G274" s="8">
        <v>3.7</v>
      </c>
      <c r="H274" s="82">
        <f>IF(MONTH(TABLE_PIVOT[[#This Row],[Date of Call]])&lt;=6,YEAR(TABLE_PIVOT[[#This Row],[Date of Call]]),YEAR(TABLE_PIVOT[[#This Row],[Date of Call]])+1)</f>
        <v>2023</v>
      </c>
      <c r="I274" s="82" t="str">
        <f>TEXT(TABLE_PIVOT[[#This Row],[Date of Call]],"DDDD")</f>
        <v>Saturday</v>
      </c>
      <c r="J274" s="82" t="str" cm="1">
        <f t="array" ref="J274">_xlfn.IFS(TABLE_PIVOT[[#This Row],[Duration]]&lt;=10,"Under 10 Mins",TABLE_PIVOT[[#This Row],[Duration]]&lt;=30,"10 to 30 Mins",TABLE_PIVOT[[#This Row],[Duration]]&lt;=60,"30 to 60 Mins",TABLE_PIVOT[[#This Row],[Duration]]&lt;=120,"1 to 2 Hours",TRUE,"More Than 2 Hours")</f>
        <v>1 to 2 Hours</v>
      </c>
      <c r="K274" s="82">
        <f>ROUND(TABLE_PIVOT[[#This Row],[Satisfaction Rating]],0)</f>
        <v>4</v>
      </c>
    </row>
    <row r="275" spans="1:11" x14ac:dyDescent="0.3">
      <c r="A275" s="8" t="s">
        <v>1901</v>
      </c>
      <c r="B275" s="8" t="s">
        <v>1641</v>
      </c>
      <c r="C275" s="8">
        <v>149</v>
      </c>
      <c r="D275" s="120" t="s">
        <v>1611</v>
      </c>
      <c r="E275" s="121">
        <v>45010</v>
      </c>
      <c r="F275" s="8">
        <v>60</v>
      </c>
      <c r="G275" s="8">
        <v>3.9</v>
      </c>
      <c r="H275" s="82">
        <f>IF(MONTH(TABLE_PIVOT[[#This Row],[Date of Call]])&lt;=6,YEAR(TABLE_PIVOT[[#This Row],[Date of Call]]),YEAR(TABLE_PIVOT[[#This Row],[Date of Call]])+1)</f>
        <v>2023</v>
      </c>
      <c r="I275" s="82" t="str">
        <f>TEXT(TABLE_PIVOT[[#This Row],[Date of Call]],"DDDD")</f>
        <v>Saturday</v>
      </c>
      <c r="J275" s="82" t="str" cm="1">
        <f t="array" ref="J275">_xlfn.IFS(TABLE_PIVOT[[#This Row],[Duration]]&lt;=10,"Under 10 Mins",TABLE_PIVOT[[#This Row],[Duration]]&lt;=30,"10 to 30 Mins",TABLE_PIVOT[[#This Row],[Duration]]&lt;=60,"30 to 60 Mins",TABLE_PIVOT[[#This Row],[Duration]]&lt;=120,"1 to 2 Hours",TRUE,"More Than 2 Hours")</f>
        <v>More Than 2 Hours</v>
      </c>
      <c r="K275" s="82">
        <f>ROUND(TABLE_PIVOT[[#This Row],[Satisfaction Rating]],0)</f>
        <v>4</v>
      </c>
    </row>
    <row r="276" spans="1:11" x14ac:dyDescent="0.3">
      <c r="A276" s="8" t="s">
        <v>1902</v>
      </c>
      <c r="B276" s="8" t="s">
        <v>1652</v>
      </c>
      <c r="C276" s="8">
        <v>57</v>
      </c>
      <c r="D276" s="120" t="s">
        <v>1630</v>
      </c>
      <c r="E276" s="121">
        <v>45010</v>
      </c>
      <c r="F276" s="8">
        <v>35</v>
      </c>
      <c r="G276" s="8">
        <v>3.5</v>
      </c>
      <c r="H276" s="82">
        <f>IF(MONTH(TABLE_PIVOT[[#This Row],[Date of Call]])&lt;=6,YEAR(TABLE_PIVOT[[#This Row],[Date of Call]]),YEAR(TABLE_PIVOT[[#This Row],[Date of Call]])+1)</f>
        <v>2023</v>
      </c>
      <c r="I276" s="82" t="str">
        <f>TEXT(TABLE_PIVOT[[#This Row],[Date of Call]],"DDDD")</f>
        <v>Saturday</v>
      </c>
      <c r="J276" s="82" t="str" cm="1">
        <f t="array" ref="J276">_xlfn.IFS(TABLE_PIVOT[[#This Row],[Duration]]&lt;=10,"Under 10 Mins",TABLE_PIVOT[[#This Row],[Duration]]&lt;=30,"10 to 30 Mins",TABLE_PIVOT[[#This Row],[Duration]]&lt;=60,"30 to 60 Mins",TABLE_PIVOT[[#This Row],[Duration]]&lt;=120,"1 to 2 Hours",TRUE,"More Than 2 Hours")</f>
        <v>30 to 60 Mins</v>
      </c>
      <c r="K276" s="82">
        <f>ROUND(TABLE_PIVOT[[#This Row],[Satisfaction Rating]],0)</f>
        <v>4</v>
      </c>
    </row>
    <row r="277" spans="1:11" x14ac:dyDescent="0.3">
      <c r="A277" s="8" t="s">
        <v>1903</v>
      </c>
      <c r="B277" s="8" t="s">
        <v>1613</v>
      </c>
      <c r="C277" s="8">
        <v>113</v>
      </c>
      <c r="D277" s="120" t="s">
        <v>1616</v>
      </c>
      <c r="E277" s="121">
        <v>45010</v>
      </c>
      <c r="F277" s="8">
        <v>81</v>
      </c>
      <c r="G277" s="8">
        <v>3.5</v>
      </c>
      <c r="H277" s="82">
        <f>IF(MONTH(TABLE_PIVOT[[#This Row],[Date of Call]])&lt;=6,YEAR(TABLE_PIVOT[[#This Row],[Date of Call]]),YEAR(TABLE_PIVOT[[#This Row],[Date of Call]])+1)</f>
        <v>2023</v>
      </c>
      <c r="I277" s="82" t="str">
        <f>TEXT(TABLE_PIVOT[[#This Row],[Date of Call]],"DDDD")</f>
        <v>Saturday</v>
      </c>
      <c r="J277" s="82" t="str" cm="1">
        <f t="array" ref="J277">_xlfn.IFS(TABLE_PIVOT[[#This Row],[Duration]]&lt;=10,"Under 10 Mins",TABLE_PIVOT[[#This Row],[Duration]]&lt;=30,"10 to 30 Mins",TABLE_PIVOT[[#This Row],[Duration]]&lt;=60,"30 to 60 Mins",TABLE_PIVOT[[#This Row],[Duration]]&lt;=120,"1 to 2 Hours",TRUE,"More Than 2 Hours")</f>
        <v>1 to 2 Hours</v>
      </c>
      <c r="K277" s="82">
        <f>ROUND(TABLE_PIVOT[[#This Row],[Satisfaction Rating]],0)</f>
        <v>4</v>
      </c>
    </row>
    <row r="278" spans="1:11" x14ac:dyDescent="0.3">
      <c r="A278" s="8" t="s">
        <v>1904</v>
      </c>
      <c r="B278" s="8" t="s">
        <v>1610</v>
      </c>
      <c r="C278" s="8">
        <v>160</v>
      </c>
      <c r="D278" s="120" t="s">
        <v>1611</v>
      </c>
      <c r="E278" s="121">
        <v>45010</v>
      </c>
      <c r="F278" s="8">
        <v>116</v>
      </c>
      <c r="G278" s="8">
        <v>3.4</v>
      </c>
      <c r="H278" s="82">
        <f>IF(MONTH(TABLE_PIVOT[[#This Row],[Date of Call]])&lt;=6,YEAR(TABLE_PIVOT[[#This Row],[Date of Call]]),YEAR(TABLE_PIVOT[[#This Row],[Date of Call]])+1)</f>
        <v>2023</v>
      </c>
      <c r="I278" s="82" t="str">
        <f>TEXT(TABLE_PIVOT[[#This Row],[Date of Call]],"DDDD")</f>
        <v>Saturday</v>
      </c>
      <c r="J278" s="82" t="str" cm="1">
        <f t="array" ref="J278">_xlfn.IFS(TABLE_PIVOT[[#This Row],[Duration]]&lt;=10,"Under 10 Mins",TABLE_PIVOT[[#This Row],[Duration]]&lt;=30,"10 to 30 Mins",TABLE_PIVOT[[#This Row],[Duration]]&lt;=60,"30 to 60 Mins",TABLE_PIVOT[[#This Row],[Duration]]&lt;=120,"1 to 2 Hours",TRUE,"More Than 2 Hours")</f>
        <v>More Than 2 Hours</v>
      </c>
      <c r="K278" s="82">
        <f>ROUND(TABLE_PIVOT[[#This Row],[Satisfaction Rating]],0)</f>
        <v>3</v>
      </c>
    </row>
    <row r="279" spans="1:11" x14ac:dyDescent="0.3">
      <c r="A279" s="8" t="s">
        <v>1905</v>
      </c>
      <c r="B279" s="8" t="s">
        <v>1620</v>
      </c>
      <c r="C279" s="8">
        <v>158</v>
      </c>
      <c r="D279" s="120" t="s">
        <v>1621</v>
      </c>
      <c r="E279" s="121">
        <v>45010</v>
      </c>
      <c r="F279" s="8">
        <v>60</v>
      </c>
      <c r="G279" s="8">
        <v>4.5</v>
      </c>
      <c r="H279" s="82">
        <f>IF(MONTH(TABLE_PIVOT[[#This Row],[Date of Call]])&lt;=6,YEAR(TABLE_PIVOT[[#This Row],[Date of Call]]),YEAR(TABLE_PIVOT[[#This Row],[Date of Call]])+1)</f>
        <v>2023</v>
      </c>
      <c r="I279" s="82" t="str">
        <f>TEXT(TABLE_PIVOT[[#This Row],[Date of Call]],"DDDD")</f>
        <v>Saturday</v>
      </c>
      <c r="J279" s="82" t="str" cm="1">
        <f t="array" ref="J279">_xlfn.IFS(TABLE_PIVOT[[#This Row],[Duration]]&lt;=10,"Under 10 Mins",TABLE_PIVOT[[#This Row],[Duration]]&lt;=30,"10 to 30 Mins",TABLE_PIVOT[[#This Row],[Duration]]&lt;=60,"30 to 60 Mins",TABLE_PIVOT[[#This Row],[Duration]]&lt;=120,"1 to 2 Hours",TRUE,"More Than 2 Hours")</f>
        <v>More Than 2 Hours</v>
      </c>
      <c r="K279" s="82">
        <f>ROUND(TABLE_PIVOT[[#This Row],[Satisfaction Rating]],0)</f>
        <v>5</v>
      </c>
    </row>
    <row r="280" spans="1:11" x14ac:dyDescent="0.3">
      <c r="A280" s="8" t="s">
        <v>1906</v>
      </c>
      <c r="B280" s="8" t="s">
        <v>1644</v>
      </c>
      <c r="C280" s="8">
        <v>77</v>
      </c>
      <c r="D280" s="120" t="s">
        <v>1611</v>
      </c>
      <c r="E280" s="121">
        <v>45011</v>
      </c>
      <c r="F280" s="8">
        <v>130</v>
      </c>
      <c r="G280" s="8">
        <v>4.2</v>
      </c>
      <c r="H280" s="82">
        <f>IF(MONTH(TABLE_PIVOT[[#This Row],[Date of Call]])&lt;=6,YEAR(TABLE_PIVOT[[#This Row],[Date of Call]]),YEAR(TABLE_PIVOT[[#This Row],[Date of Call]])+1)</f>
        <v>2023</v>
      </c>
      <c r="I280" s="82" t="str">
        <f>TEXT(TABLE_PIVOT[[#This Row],[Date of Call]],"DDDD")</f>
        <v>Sunday</v>
      </c>
      <c r="J280" s="82" t="str" cm="1">
        <f t="array" ref="J280">_xlfn.IFS(TABLE_PIVOT[[#This Row],[Duration]]&lt;=10,"Under 10 Mins",TABLE_PIVOT[[#This Row],[Duration]]&lt;=30,"10 to 30 Mins",TABLE_PIVOT[[#This Row],[Duration]]&lt;=60,"30 to 60 Mins",TABLE_PIVOT[[#This Row],[Duration]]&lt;=120,"1 to 2 Hours",TRUE,"More Than 2 Hours")</f>
        <v>1 to 2 Hours</v>
      </c>
      <c r="K280" s="82">
        <f>ROUND(TABLE_PIVOT[[#This Row],[Satisfaction Rating]],0)</f>
        <v>4</v>
      </c>
    </row>
    <row r="281" spans="1:11" x14ac:dyDescent="0.3">
      <c r="A281" s="8" t="s">
        <v>1907</v>
      </c>
      <c r="B281" s="8" t="s">
        <v>1633</v>
      </c>
      <c r="C281" s="8">
        <v>118</v>
      </c>
      <c r="D281" s="120" t="s">
        <v>1626</v>
      </c>
      <c r="E281" s="121">
        <v>45011</v>
      </c>
      <c r="F281" s="8">
        <v>99</v>
      </c>
      <c r="G281" s="8">
        <v>5</v>
      </c>
      <c r="H281" s="82">
        <f>IF(MONTH(TABLE_PIVOT[[#This Row],[Date of Call]])&lt;=6,YEAR(TABLE_PIVOT[[#This Row],[Date of Call]]),YEAR(TABLE_PIVOT[[#This Row],[Date of Call]])+1)</f>
        <v>2023</v>
      </c>
      <c r="I281" s="82" t="str">
        <f>TEXT(TABLE_PIVOT[[#This Row],[Date of Call]],"DDDD")</f>
        <v>Sunday</v>
      </c>
      <c r="J281" s="82" t="str" cm="1">
        <f t="array" ref="J281">_xlfn.IFS(TABLE_PIVOT[[#This Row],[Duration]]&lt;=10,"Under 10 Mins",TABLE_PIVOT[[#This Row],[Duration]]&lt;=30,"10 to 30 Mins",TABLE_PIVOT[[#This Row],[Duration]]&lt;=60,"30 to 60 Mins",TABLE_PIVOT[[#This Row],[Duration]]&lt;=120,"1 to 2 Hours",TRUE,"More Than 2 Hours")</f>
        <v>1 to 2 Hours</v>
      </c>
      <c r="K281" s="82">
        <f>ROUND(TABLE_PIVOT[[#This Row],[Satisfaction Rating]],0)</f>
        <v>5</v>
      </c>
    </row>
    <row r="282" spans="1:11" x14ac:dyDescent="0.3">
      <c r="A282" s="8" t="s">
        <v>1908</v>
      </c>
      <c r="B282" s="8" t="s">
        <v>1649</v>
      </c>
      <c r="C282" s="8">
        <v>75</v>
      </c>
      <c r="D282" s="120" t="s">
        <v>1616</v>
      </c>
      <c r="E282" s="121">
        <v>45011</v>
      </c>
      <c r="F282" s="8">
        <v>135</v>
      </c>
      <c r="G282" s="8">
        <v>4.7</v>
      </c>
      <c r="H282" s="82">
        <f>IF(MONTH(TABLE_PIVOT[[#This Row],[Date of Call]])&lt;=6,YEAR(TABLE_PIVOT[[#This Row],[Date of Call]]),YEAR(TABLE_PIVOT[[#This Row],[Date of Call]])+1)</f>
        <v>2023</v>
      </c>
      <c r="I282" s="82" t="str">
        <f>TEXT(TABLE_PIVOT[[#This Row],[Date of Call]],"DDDD")</f>
        <v>Sunday</v>
      </c>
      <c r="J282" s="82" t="str" cm="1">
        <f t="array" ref="J282">_xlfn.IFS(TABLE_PIVOT[[#This Row],[Duration]]&lt;=10,"Under 10 Mins",TABLE_PIVOT[[#This Row],[Duration]]&lt;=30,"10 to 30 Mins",TABLE_PIVOT[[#This Row],[Duration]]&lt;=60,"30 to 60 Mins",TABLE_PIVOT[[#This Row],[Duration]]&lt;=120,"1 to 2 Hours",TRUE,"More Than 2 Hours")</f>
        <v>1 to 2 Hours</v>
      </c>
      <c r="K282" s="82">
        <f>ROUND(TABLE_PIVOT[[#This Row],[Satisfaction Rating]],0)</f>
        <v>5</v>
      </c>
    </row>
    <row r="283" spans="1:11" x14ac:dyDescent="0.3">
      <c r="A283" s="8" t="s">
        <v>1909</v>
      </c>
      <c r="B283" s="8" t="s">
        <v>1613</v>
      </c>
      <c r="C283" s="8">
        <v>103</v>
      </c>
      <c r="D283" s="120" t="s">
        <v>1611</v>
      </c>
      <c r="E283" s="121">
        <v>45011</v>
      </c>
      <c r="F283" s="8">
        <v>42</v>
      </c>
      <c r="G283" s="8">
        <v>2.8</v>
      </c>
      <c r="H283" s="82">
        <f>IF(MONTH(TABLE_PIVOT[[#This Row],[Date of Call]])&lt;=6,YEAR(TABLE_PIVOT[[#This Row],[Date of Call]]),YEAR(TABLE_PIVOT[[#This Row],[Date of Call]])+1)</f>
        <v>2023</v>
      </c>
      <c r="I283" s="82" t="str">
        <f>TEXT(TABLE_PIVOT[[#This Row],[Date of Call]],"DDDD")</f>
        <v>Sunday</v>
      </c>
      <c r="J283" s="82" t="str" cm="1">
        <f t="array" ref="J283">_xlfn.IFS(TABLE_PIVOT[[#This Row],[Duration]]&lt;=10,"Under 10 Mins",TABLE_PIVOT[[#This Row],[Duration]]&lt;=30,"10 to 30 Mins",TABLE_PIVOT[[#This Row],[Duration]]&lt;=60,"30 to 60 Mins",TABLE_PIVOT[[#This Row],[Duration]]&lt;=120,"1 to 2 Hours",TRUE,"More Than 2 Hours")</f>
        <v>1 to 2 Hours</v>
      </c>
      <c r="K283" s="82">
        <f>ROUND(TABLE_PIVOT[[#This Row],[Satisfaction Rating]],0)</f>
        <v>3</v>
      </c>
    </row>
    <row r="284" spans="1:11" x14ac:dyDescent="0.3">
      <c r="A284" s="8" t="s">
        <v>1910</v>
      </c>
      <c r="B284" s="8" t="s">
        <v>1644</v>
      </c>
      <c r="C284" s="8">
        <v>116</v>
      </c>
      <c r="D284" s="120" t="s">
        <v>1626</v>
      </c>
      <c r="E284" s="121">
        <v>45012</v>
      </c>
      <c r="F284" s="8">
        <v>63</v>
      </c>
      <c r="G284" s="8">
        <v>3.4</v>
      </c>
      <c r="H284" s="82">
        <f>IF(MONTH(TABLE_PIVOT[[#This Row],[Date of Call]])&lt;=6,YEAR(TABLE_PIVOT[[#This Row],[Date of Call]]),YEAR(TABLE_PIVOT[[#This Row],[Date of Call]])+1)</f>
        <v>2023</v>
      </c>
      <c r="I284" s="82" t="str">
        <f>TEXT(TABLE_PIVOT[[#This Row],[Date of Call]],"DDDD")</f>
        <v>Monday</v>
      </c>
      <c r="J284" s="82" t="str" cm="1">
        <f t="array" ref="J284">_xlfn.IFS(TABLE_PIVOT[[#This Row],[Duration]]&lt;=10,"Under 10 Mins",TABLE_PIVOT[[#This Row],[Duration]]&lt;=30,"10 to 30 Mins",TABLE_PIVOT[[#This Row],[Duration]]&lt;=60,"30 to 60 Mins",TABLE_PIVOT[[#This Row],[Duration]]&lt;=120,"1 to 2 Hours",TRUE,"More Than 2 Hours")</f>
        <v>1 to 2 Hours</v>
      </c>
      <c r="K284" s="82">
        <f>ROUND(TABLE_PIVOT[[#This Row],[Satisfaction Rating]],0)</f>
        <v>3</v>
      </c>
    </row>
    <row r="285" spans="1:11" x14ac:dyDescent="0.3">
      <c r="A285" s="8" t="s">
        <v>1911</v>
      </c>
      <c r="B285" s="8" t="s">
        <v>1624</v>
      </c>
      <c r="C285" s="8">
        <v>61</v>
      </c>
      <c r="D285" s="120" t="s">
        <v>1621</v>
      </c>
      <c r="E285" s="121">
        <v>45012</v>
      </c>
      <c r="F285" s="8">
        <v>140</v>
      </c>
      <c r="G285" s="8">
        <v>1.8</v>
      </c>
      <c r="H285" s="82">
        <f>IF(MONTH(TABLE_PIVOT[[#This Row],[Date of Call]])&lt;=6,YEAR(TABLE_PIVOT[[#This Row],[Date of Call]]),YEAR(TABLE_PIVOT[[#This Row],[Date of Call]])+1)</f>
        <v>2023</v>
      </c>
      <c r="I285" s="82" t="str">
        <f>TEXT(TABLE_PIVOT[[#This Row],[Date of Call]],"DDDD")</f>
        <v>Monday</v>
      </c>
      <c r="J285" s="82" t="str" cm="1">
        <f t="array" ref="J285">_xlfn.IFS(TABLE_PIVOT[[#This Row],[Duration]]&lt;=10,"Under 10 Mins",TABLE_PIVOT[[#This Row],[Duration]]&lt;=30,"10 to 30 Mins",TABLE_PIVOT[[#This Row],[Duration]]&lt;=60,"30 to 60 Mins",TABLE_PIVOT[[#This Row],[Duration]]&lt;=120,"1 to 2 Hours",TRUE,"More Than 2 Hours")</f>
        <v>1 to 2 Hours</v>
      </c>
      <c r="K285" s="82">
        <f>ROUND(TABLE_PIVOT[[#This Row],[Satisfaction Rating]],0)</f>
        <v>2</v>
      </c>
    </row>
    <row r="286" spans="1:11" x14ac:dyDescent="0.3">
      <c r="A286" s="8" t="s">
        <v>1912</v>
      </c>
      <c r="B286" s="8" t="s">
        <v>1652</v>
      </c>
      <c r="C286" s="8">
        <v>126</v>
      </c>
      <c r="D286" s="120" t="s">
        <v>1616</v>
      </c>
      <c r="E286" s="121">
        <v>45012</v>
      </c>
      <c r="F286" s="8">
        <v>128</v>
      </c>
      <c r="G286" s="8">
        <v>4.2</v>
      </c>
      <c r="H286" s="82">
        <f>IF(MONTH(TABLE_PIVOT[[#This Row],[Date of Call]])&lt;=6,YEAR(TABLE_PIVOT[[#This Row],[Date of Call]]),YEAR(TABLE_PIVOT[[#This Row],[Date of Call]])+1)</f>
        <v>2023</v>
      </c>
      <c r="I286" s="82" t="str">
        <f>TEXT(TABLE_PIVOT[[#This Row],[Date of Call]],"DDDD")</f>
        <v>Monday</v>
      </c>
      <c r="J286" s="82" t="str" cm="1">
        <f t="array" ref="J286">_xlfn.IFS(TABLE_PIVOT[[#This Row],[Duration]]&lt;=10,"Under 10 Mins",TABLE_PIVOT[[#This Row],[Duration]]&lt;=30,"10 to 30 Mins",TABLE_PIVOT[[#This Row],[Duration]]&lt;=60,"30 to 60 Mins",TABLE_PIVOT[[#This Row],[Duration]]&lt;=120,"1 to 2 Hours",TRUE,"More Than 2 Hours")</f>
        <v>More Than 2 Hours</v>
      </c>
      <c r="K286" s="82">
        <f>ROUND(TABLE_PIVOT[[#This Row],[Satisfaction Rating]],0)</f>
        <v>4</v>
      </c>
    </row>
    <row r="287" spans="1:11" x14ac:dyDescent="0.3">
      <c r="A287" s="8" t="s">
        <v>1913</v>
      </c>
      <c r="B287" s="8" t="s">
        <v>1635</v>
      </c>
      <c r="C287" s="8">
        <v>141</v>
      </c>
      <c r="D287" s="120" t="s">
        <v>1630</v>
      </c>
      <c r="E287" s="121">
        <v>45012</v>
      </c>
      <c r="F287" s="8">
        <v>80</v>
      </c>
      <c r="G287" s="8">
        <v>4.4000000000000004</v>
      </c>
      <c r="H287" s="82">
        <f>IF(MONTH(TABLE_PIVOT[[#This Row],[Date of Call]])&lt;=6,YEAR(TABLE_PIVOT[[#This Row],[Date of Call]]),YEAR(TABLE_PIVOT[[#This Row],[Date of Call]])+1)</f>
        <v>2023</v>
      </c>
      <c r="I287" s="82" t="str">
        <f>TEXT(TABLE_PIVOT[[#This Row],[Date of Call]],"DDDD")</f>
        <v>Monday</v>
      </c>
      <c r="J287" s="82" t="str" cm="1">
        <f t="array" ref="J287">_xlfn.IFS(TABLE_PIVOT[[#This Row],[Duration]]&lt;=10,"Under 10 Mins",TABLE_PIVOT[[#This Row],[Duration]]&lt;=30,"10 to 30 Mins",TABLE_PIVOT[[#This Row],[Duration]]&lt;=60,"30 to 60 Mins",TABLE_PIVOT[[#This Row],[Duration]]&lt;=120,"1 to 2 Hours",TRUE,"More Than 2 Hours")</f>
        <v>More Than 2 Hours</v>
      </c>
      <c r="K287" s="82">
        <f>ROUND(TABLE_PIVOT[[#This Row],[Satisfaction Rating]],0)</f>
        <v>4</v>
      </c>
    </row>
    <row r="288" spans="1:11" x14ac:dyDescent="0.3">
      <c r="A288" s="8" t="s">
        <v>1914</v>
      </c>
      <c r="B288" s="8" t="s">
        <v>1620</v>
      </c>
      <c r="C288" s="8">
        <v>95</v>
      </c>
      <c r="D288" s="120" t="s">
        <v>1626</v>
      </c>
      <c r="E288" s="121">
        <v>45012</v>
      </c>
      <c r="F288" s="8">
        <v>28</v>
      </c>
      <c r="G288" s="8">
        <v>2.7</v>
      </c>
      <c r="H288" s="82">
        <f>IF(MONTH(TABLE_PIVOT[[#This Row],[Date of Call]])&lt;=6,YEAR(TABLE_PIVOT[[#This Row],[Date of Call]]),YEAR(TABLE_PIVOT[[#This Row],[Date of Call]])+1)</f>
        <v>2023</v>
      </c>
      <c r="I288" s="82" t="str">
        <f>TEXT(TABLE_PIVOT[[#This Row],[Date of Call]],"DDDD")</f>
        <v>Monday</v>
      </c>
      <c r="J288" s="82" t="str" cm="1">
        <f t="array" ref="J288">_xlfn.IFS(TABLE_PIVOT[[#This Row],[Duration]]&lt;=10,"Under 10 Mins",TABLE_PIVOT[[#This Row],[Duration]]&lt;=30,"10 to 30 Mins",TABLE_PIVOT[[#This Row],[Duration]]&lt;=60,"30 to 60 Mins",TABLE_PIVOT[[#This Row],[Duration]]&lt;=120,"1 to 2 Hours",TRUE,"More Than 2 Hours")</f>
        <v>1 to 2 Hours</v>
      </c>
      <c r="K288" s="82">
        <f>ROUND(TABLE_PIVOT[[#This Row],[Satisfaction Rating]],0)</f>
        <v>3</v>
      </c>
    </row>
    <row r="289" spans="1:11" x14ac:dyDescent="0.3">
      <c r="A289" s="8" t="s">
        <v>1915</v>
      </c>
      <c r="B289" s="8" t="s">
        <v>1649</v>
      </c>
      <c r="C289" s="8">
        <v>39</v>
      </c>
      <c r="D289" s="120" t="s">
        <v>1621</v>
      </c>
      <c r="E289" s="121">
        <v>45013</v>
      </c>
      <c r="F289" s="8">
        <v>81</v>
      </c>
      <c r="G289" s="8">
        <v>5</v>
      </c>
      <c r="H289" s="82">
        <f>IF(MONTH(TABLE_PIVOT[[#This Row],[Date of Call]])&lt;=6,YEAR(TABLE_PIVOT[[#This Row],[Date of Call]]),YEAR(TABLE_PIVOT[[#This Row],[Date of Call]])+1)</f>
        <v>2023</v>
      </c>
      <c r="I289" s="82" t="str">
        <f>TEXT(TABLE_PIVOT[[#This Row],[Date of Call]],"DDDD")</f>
        <v>Tuesday</v>
      </c>
      <c r="J289" s="82" t="str" cm="1">
        <f t="array" ref="J289">_xlfn.IFS(TABLE_PIVOT[[#This Row],[Duration]]&lt;=10,"Under 10 Mins",TABLE_PIVOT[[#This Row],[Duration]]&lt;=30,"10 to 30 Mins",TABLE_PIVOT[[#This Row],[Duration]]&lt;=60,"30 to 60 Mins",TABLE_PIVOT[[#This Row],[Duration]]&lt;=120,"1 to 2 Hours",TRUE,"More Than 2 Hours")</f>
        <v>30 to 60 Mins</v>
      </c>
      <c r="K289" s="82">
        <f>ROUND(TABLE_PIVOT[[#This Row],[Satisfaction Rating]],0)</f>
        <v>5</v>
      </c>
    </row>
    <row r="290" spans="1:11" x14ac:dyDescent="0.3">
      <c r="A290" s="8" t="s">
        <v>1916</v>
      </c>
      <c r="B290" s="8" t="s">
        <v>1613</v>
      </c>
      <c r="C290" s="8">
        <v>127</v>
      </c>
      <c r="D290" s="120" t="s">
        <v>1616</v>
      </c>
      <c r="E290" s="121">
        <v>45013</v>
      </c>
      <c r="F290" s="8">
        <v>99</v>
      </c>
      <c r="G290" s="8">
        <v>3.9</v>
      </c>
      <c r="H290" s="82">
        <f>IF(MONTH(TABLE_PIVOT[[#This Row],[Date of Call]])&lt;=6,YEAR(TABLE_PIVOT[[#This Row],[Date of Call]]),YEAR(TABLE_PIVOT[[#This Row],[Date of Call]])+1)</f>
        <v>2023</v>
      </c>
      <c r="I290" s="82" t="str">
        <f>TEXT(TABLE_PIVOT[[#This Row],[Date of Call]],"DDDD")</f>
        <v>Tuesday</v>
      </c>
      <c r="J290" s="82" t="str" cm="1">
        <f t="array" ref="J290">_xlfn.IFS(TABLE_PIVOT[[#This Row],[Duration]]&lt;=10,"Under 10 Mins",TABLE_PIVOT[[#This Row],[Duration]]&lt;=30,"10 to 30 Mins",TABLE_PIVOT[[#This Row],[Duration]]&lt;=60,"30 to 60 Mins",TABLE_PIVOT[[#This Row],[Duration]]&lt;=120,"1 to 2 Hours",TRUE,"More Than 2 Hours")</f>
        <v>More Than 2 Hours</v>
      </c>
      <c r="K290" s="82">
        <f>ROUND(TABLE_PIVOT[[#This Row],[Satisfaction Rating]],0)</f>
        <v>4</v>
      </c>
    </row>
    <row r="291" spans="1:11" x14ac:dyDescent="0.3">
      <c r="A291" s="8" t="s">
        <v>1917</v>
      </c>
      <c r="B291" s="8" t="s">
        <v>1624</v>
      </c>
      <c r="C291" s="8">
        <v>78</v>
      </c>
      <c r="D291" s="120" t="s">
        <v>1616</v>
      </c>
      <c r="E291" s="121">
        <v>45013</v>
      </c>
      <c r="F291" s="8">
        <v>43</v>
      </c>
      <c r="G291" s="8">
        <v>3.8</v>
      </c>
      <c r="H291" s="82">
        <f>IF(MONTH(TABLE_PIVOT[[#This Row],[Date of Call]])&lt;=6,YEAR(TABLE_PIVOT[[#This Row],[Date of Call]]),YEAR(TABLE_PIVOT[[#This Row],[Date of Call]])+1)</f>
        <v>2023</v>
      </c>
      <c r="I291" s="82" t="str">
        <f>TEXT(TABLE_PIVOT[[#This Row],[Date of Call]],"DDDD")</f>
        <v>Tuesday</v>
      </c>
      <c r="J291" s="82" t="str" cm="1">
        <f t="array" ref="J291">_xlfn.IFS(TABLE_PIVOT[[#This Row],[Duration]]&lt;=10,"Under 10 Mins",TABLE_PIVOT[[#This Row],[Duration]]&lt;=30,"10 to 30 Mins",TABLE_PIVOT[[#This Row],[Duration]]&lt;=60,"30 to 60 Mins",TABLE_PIVOT[[#This Row],[Duration]]&lt;=120,"1 to 2 Hours",TRUE,"More Than 2 Hours")</f>
        <v>1 to 2 Hours</v>
      </c>
      <c r="K291" s="82">
        <f>ROUND(TABLE_PIVOT[[#This Row],[Satisfaction Rating]],0)</f>
        <v>4</v>
      </c>
    </row>
    <row r="292" spans="1:11" x14ac:dyDescent="0.3">
      <c r="A292" s="8" t="s">
        <v>1918</v>
      </c>
      <c r="B292" s="8" t="s">
        <v>1633</v>
      </c>
      <c r="C292" s="8">
        <v>40</v>
      </c>
      <c r="D292" s="120" t="s">
        <v>1616</v>
      </c>
      <c r="E292" s="121">
        <v>45013</v>
      </c>
      <c r="F292" s="8">
        <v>34</v>
      </c>
      <c r="G292" s="8">
        <v>4.5999999999999996</v>
      </c>
      <c r="H292" s="82">
        <f>IF(MONTH(TABLE_PIVOT[[#This Row],[Date of Call]])&lt;=6,YEAR(TABLE_PIVOT[[#This Row],[Date of Call]]),YEAR(TABLE_PIVOT[[#This Row],[Date of Call]])+1)</f>
        <v>2023</v>
      </c>
      <c r="I292" s="82" t="str">
        <f>TEXT(TABLE_PIVOT[[#This Row],[Date of Call]],"DDDD")</f>
        <v>Tuesday</v>
      </c>
      <c r="J292" s="82" t="str" cm="1">
        <f t="array" ref="J292">_xlfn.IFS(TABLE_PIVOT[[#This Row],[Duration]]&lt;=10,"Under 10 Mins",TABLE_PIVOT[[#This Row],[Duration]]&lt;=30,"10 to 30 Mins",TABLE_PIVOT[[#This Row],[Duration]]&lt;=60,"30 to 60 Mins",TABLE_PIVOT[[#This Row],[Duration]]&lt;=120,"1 to 2 Hours",TRUE,"More Than 2 Hours")</f>
        <v>30 to 60 Mins</v>
      </c>
      <c r="K292" s="82">
        <f>ROUND(TABLE_PIVOT[[#This Row],[Satisfaction Rating]],0)</f>
        <v>5</v>
      </c>
    </row>
    <row r="293" spans="1:11" x14ac:dyDescent="0.3">
      <c r="A293" s="8" t="s">
        <v>1919</v>
      </c>
      <c r="B293" s="8" t="s">
        <v>1624</v>
      </c>
      <c r="C293" s="8">
        <v>56</v>
      </c>
      <c r="D293" s="120" t="s">
        <v>1621</v>
      </c>
      <c r="E293" s="121">
        <v>45013</v>
      </c>
      <c r="F293" s="8">
        <v>225</v>
      </c>
      <c r="G293" s="8">
        <v>4.5999999999999996</v>
      </c>
      <c r="H293" s="82">
        <f>IF(MONTH(TABLE_PIVOT[[#This Row],[Date of Call]])&lt;=6,YEAR(TABLE_PIVOT[[#This Row],[Date of Call]]),YEAR(TABLE_PIVOT[[#This Row],[Date of Call]])+1)</f>
        <v>2023</v>
      </c>
      <c r="I293" s="82" t="str">
        <f>TEXT(TABLE_PIVOT[[#This Row],[Date of Call]],"DDDD")</f>
        <v>Tuesday</v>
      </c>
      <c r="J293" s="82" t="str" cm="1">
        <f t="array" ref="J293">_xlfn.IFS(TABLE_PIVOT[[#This Row],[Duration]]&lt;=10,"Under 10 Mins",TABLE_PIVOT[[#This Row],[Duration]]&lt;=30,"10 to 30 Mins",TABLE_PIVOT[[#This Row],[Duration]]&lt;=60,"30 to 60 Mins",TABLE_PIVOT[[#This Row],[Duration]]&lt;=120,"1 to 2 Hours",TRUE,"More Than 2 Hours")</f>
        <v>30 to 60 Mins</v>
      </c>
      <c r="K293" s="82">
        <f>ROUND(TABLE_PIVOT[[#This Row],[Satisfaction Rating]],0)</f>
        <v>5</v>
      </c>
    </row>
    <row r="294" spans="1:11" x14ac:dyDescent="0.3">
      <c r="A294" s="8" t="s">
        <v>1920</v>
      </c>
      <c r="B294" s="8" t="s">
        <v>1649</v>
      </c>
      <c r="C294" s="8">
        <v>59</v>
      </c>
      <c r="D294" s="120" t="s">
        <v>1630</v>
      </c>
      <c r="E294" s="121">
        <v>45013</v>
      </c>
      <c r="F294" s="8">
        <v>210</v>
      </c>
      <c r="G294" s="8">
        <v>4.5</v>
      </c>
      <c r="H294" s="82">
        <f>IF(MONTH(TABLE_PIVOT[[#This Row],[Date of Call]])&lt;=6,YEAR(TABLE_PIVOT[[#This Row],[Date of Call]]),YEAR(TABLE_PIVOT[[#This Row],[Date of Call]])+1)</f>
        <v>2023</v>
      </c>
      <c r="I294" s="82" t="str">
        <f>TEXT(TABLE_PIVOT[[#This Row],[Date of Call]],"DDDD")</f>
        <v>Tuesday</v>
      </c>
      <c r="J294" s="82" t="str" cm="1">
        <f t="array" ref="J294">_xlfn.IFS(TABLE_PIVOT[[#This Row],[Duration]]&lt;=10,"Under 10 Mins",TABLE_PIVOT[[#This Row],[Duration]]&lt;=30,"10 to 30 Mins",TABLE_PIVOT[[#This Row],[Duration]]&lt;=60,"30 to 60 Mins",TABLE_PIVOT[[#This Row],[Duration]]&lt;=120,"1 to 2 Hours",TRUE,"More Than 2 Hours")</f>
        <v>30 to 60 Mins</v>
      </c>
      <c r="K294" s="82">
        <f>ROUND(TABLE_PIVOT[[#This Row],[Satisfaction Rating]],0)</f>
        <v>5</v>
      </c>
    </row>
    <row r="295" spans="1:11" x14ac:dyDescent="0.3">
      <c r="A295" s="8" t="s">
        <v>1921</v>
      </c>
      <c r="B295" s="8" t="s">
        <v>1652</v>
      </c>
      <c r="C295" s="8">
        <v>30</v>
      </c>
      <c r="D295" s="120" t="s">
        <v>1616</v>
      </c>
      <c r="E295" s="121">
        <v>45013</v>
      </c>
      <c r="F295" s="8">
        <v>168</v>
      </c>
      <c r="G295" s="8">
        <v>4.2</v>
      </c>
      <c r="H295" s="82">
        <f>IF(MONTH(TABLE_PIVOT[[#This Row],[Date of Call]])&lt;=6,YEAR(TABLE_PIVOT[[#This Row],[Date of Call]]),YEAR(TABLE_PIVOT[[#This Row],[Date of Call]])+1)</f>
        <v>2023</v>
      </c>
      <c r="I295" s="82" t="str">
        <f>TEXT(TABLE_PIVOT[[#This Row],[Date of Call]],"DDDD")</f>
        <v>Tuesday</v>
      </c>
      <c r="J295" s="82" t="str" cm="1">
        <f t="array" ref="J295">_xlfn.IFS(TABLE_PIVOT[[#This Row],[Duration]]&lt;=10,"Under 10 Mins",TABLE_PIVOT[[#This Row],[Duration]]&lt;=30,"10 to 30 Mins",TABLE_PIVOT[[#This Row],[Duration]]&lt;=60,"30 to 60 Mins",TABLE_PIVOT[[#This Row],[Duration]]&lt;=120,"1 to 2 Hours",TRUE,"More Than 2 Hours")</f>
        <v>10 to 30 Mins</v>
      </c>
      <c r="K295" s="82">
        <f>ROUND(TABLE_PIVOT[[#This Row],[Satisfaction Rating]],0)</f>
        <v>4</v>
      </c>
    </row>
    <row r="296" spans="1:11" x14ac:dyDescent="0.3">
      <c r="A296" s="8" t="s">
        <v>1922</v>
      </c>
      <c r="B296" s="8" t="s">
        <v>1633</v>
      </c>
      <c r="C296" s="8">
        <v>63</v>
      </c>
      <c r="D296" s="120" t="s">
        <v>1611</v>
      </c>
      <c r="E296" s="121">
        <v>45014</v>
      </c>
      <c r="F296" s="8">
        <v>82</v>
      </c>
      <c r="G296" s="8">
        <v>4.5</v>
      </c>
      <c r="H296" s="82">
        <f>IF(MONTH(TABLE_PIVOT[[#This Row],[Date of Call]])&lt;=6,YEAR(TABLE_PIVOT[[#This Row],[Date of Call]]),YEAR(TABLE_PIVOT[[#This Row],[Date of Call]])+1)</f>
        <v>2023</v>
      </c>
      <c r="I296" s="82" t="str">
        <f>TEXT(TABLE_PIVOT[[#This Row],[Date of Call]],"DDDD")</f>
        <v>Wednesday</v>
      </c>
      <c r="J296" s="82" t="str" cm="1">
        <f t="array" ref="J296">_xlfn.IFS(TABLE_PIVOT[[#This Row],[Duration]]&lt;=10,"Under 10 Mins",TABLE_PIVOT[[#This Row],[Duration]]&lt;=30,"10 to 30 Mins",TABLE_PIVOT[[#This Row],[Duration]]&lt;=60,"30 to 60 Mins",TABLE_PIVOT[[#This Row],[Duration]]&lt;=120,"1 to 2 Hours",TRUE,"More Than 2 Hours")</f>
        <v>1 to 2 Hours</v>
      </c>
      <c r="K296" s="82">
        <f>ROUND(TABLE_PIVOT[[#This Row],[Satisfaction Rating]],0)</f>
        <v>5</v>
      </c>
    </row>
    <row r="297" spans="1:11" x14ac:dyDescent="0.3">
      <c r="A297" s="8" t="s">
        <v>1923</v>
      </c>
      <c r="B297" s="8" t="s">
        <v>1615</v>
      </c>
      <c r="C297" s="8">
        <v>56</v>
      </c>
      <c r="D297" s="120" t="s">
        <v>1626</v>
      </c>
      <c r="E297" s="121">
        <v>45014</v>
      </c>
      <c r="F297" s="8">
        <v>88</v>
      </c>
      <c r="G297" s="8">
        <v>4.0999999999999996</v>
      </c>
      <c r="H297" s="82">
        <f>IF(MONTH(TABLE_PIVOT[[#This Row],[Date of Call]])&lt;=6,YEAR(TABLE_PIVOT[[#This Row],[Date of Call]]),YEAR(TABLE_PIVOT[[#This Row],[Date of Call]])+1)</f>
        <v>2023</v>
      </c>
      <c r="I297" s="82" t="str">
        <f>TEXT(TABLE_PIVOT[[#This Row],[Date of Call]],"DDDD")</f>
        <v>Wednesday</v>
      </c>
      <c r="J297" s="82" t="str" cm="1">
        <f t="array" ref="J297">_xlfn.IFS(TABLE_PIVOT[[#This Row],[Duration]]&lt;=10,"Under 10 Mins",TABLE_PIVOT[[#This Row],[Duration]]&lt;=30,"10 to 30 Mins",TABLE_PIVOT[[#This Row],[Duration]]&lt;=60,"30 to 60 Mins",TABLE_PIVOT[[#This Row],[Duration]]&lt;=120,"1 to 2 Hours",TRUE,"More Than 2 Hours")</f>
        <v>30 to 60 Mins</v>
      </c>
      <c r="K297" s="82">
        <f>ROUND(TABLE_PIVOT[[#This Row],[Satisfaction Rating]],0)</f>
        <v>4</v>
      </c>
    </row>
    <row r="298" spans="1:11" x14ac:dyDescent="0.3">
      <c r="A298" s="8" t="s">
        <v>1924</v>
      </c>
      <c r="B298" s="8" t="s">
        <v>1682</v>
      </c>
      <c r="C298" s="8">
        <v>95</v>
      </c>
      <c r="D298" s="120" t="s">
        <v>1611</v>
      </c>
      <c r="E298" s="121">
        <v>45014</v>
      </c>
      <c r="F298" s="8">
        <v>111</v>
      </c>
      <c r="G298" s="8">
        <v>3.3</v>
      </c>
      <c r="H298" s="82">
        <f>IF(MONTH(TABLE_PIVOT[[#This Row],[Date of Call]])&lt;=6,YEAR(TABLE_PIVOT[[#This Row],[Date of Call]]),YEAR(TABLE_PIVOT[[#This Row],[Date of Call]])+1)</f>
        <v>2023</v>
      </c>
      <c r="I298" s="82" t="str">
        <f>TEXT(TABLE_PIVOT[[#This Row],[Date of Call]],"DDDD")</f>
        <v>Wednesday</v>
      </c>
      <c r="J298" s="82" t="str" cm="1">
        <f t="array" ref="J298">_xlfn.IFS(TABLE_PIVOT[[#This Row],[Duration]]&lt;=10,"Under 10 Mins",TABLE_PIVOT[[#This Row],[Duration]]&lt;=30,"10 to 30 Mins",TABLE_PIVOT[[#This Row],[Duration]]&lt;=60,"30 to 60 Mins",TABLE_PIVOT[[#This Row],[Duration]]&lt;=120,"1 to 2 Hours",TRUE,"More Than 2 Hours")</f>
        <v>1 to 2 Hours</v>
      </c>
      <c r="K298" s="82">
        <f>ROUND(TABLE_PIVOT[[#This Row],[Satisfaction Rating]],0)</f>
        <v>3</v>
      </c>
    </row>
    <row r="299" spans="1:11" x14ac:dyDescent="0.3">
      <c r="A299" s="8" t="s">
        <v>1925</v>
      </c>
      <c r="B299" s="8" t="s">
        <v>1662</v>
      </c>
      <c r="C299" s="8">
        <v>128</v>
      </c>
      <c r="D299" s="120" t="s">
        <v>1630</v>
      </c>
      <c r="E299" s="121">
        <v>45014</v>
      </c>
      <c r="F299" s="8">
        <v>60</v>
      </c>
      <c r="G299" s="8">
        <v>3.8</v>
      </c>
      <c r="H299" s="82">
        <f>IF(MONTH(TABLE_PIVOT[[#This Row],[Date of Call]])&lt;=6,YEAR(TABLE_PIVOT[[#This Row],[Date of Call]]),YEAR(TABLE_PIVOT[[#This Row],[Date of Call]])+1)</f>
        <v>2023</v>
      </c>
      <c r="I299" s="82" t="str">
        <f>TEXT(TABLE_PIVOT[[#This Row],[Date of Call]],"DDDD")</f>
        <v>Wednesday</v>
      </c>
      <c r="J299" s="82" t="str" cm="1">
        <f t="array" ref="J299">_xlfn.IFS(TABLE_PIVOT[[#This Row],[Duration]]&lt;=10,"Under 10 Mins",TABLE_PIVOT[[#This Row],[Duration]]&lt;=30,"10 to 30 Mins",TABLE_PIVOT[[#This Row],[Duration]]&lt;=60,"30 to 60 Mins",TABLE_PIVOT[[#This Row],[Duration]]&lt;=120,"1 to 2 Hours",TRUE,"More Than 2 Hours")</f>
        <v>More Than 2 Hours</v>
      </c>
      <c r="K299" s="82">
        <f>ROUND(TABLE_PIVOT[[#This Row],[Satisfaction Rating]],0)</f>
        <v>4</v>
      </c>
    </row>
    <row r="300" spans="1:11" x14ac:dyDescent="0.3">
      <c r="A300" s="8" t="s">
        <v>1926</v>
      </c>
      <c r="B300" s="8" t="s">
        <v>1620</v>
      </c>
      <c r="C300" s="8">
        <v>49</v>
      </c>
      <c r="D300" s="120" t="s">
        <v>1611</v>
      </c>
      <c r="E300" s="121">
        <v>45014</v>
      </c>
      <c r="F300" s="8">
        <v>80</v>
      </c>
      <c r="G300" s="8">
        <v>3</v>
      </c>
      <c r="H300" s="82">
        <f>IF(MONTH(TABLE_PIVOT[[#This Row],[Date of Call]])&lt;=6,YEAR(TABLE_PIVOT[[#This Row],[Date of Call]]),YEAR(TABLE_PIVOT[[#This Row],[Date of Call]])+1)</f>
        <v>2023</v>
      </c>
      <c r="I300" s="82" t="str">
        <f>TEXT(TABLE_PIVOT[[#This Row],[Date of Call]],"DDDD")</f>
        <v>Wednesday</v>
      </c>
      <c r="J300" s="82" t="str" cm="1">
        <f t="array" ref="J300">_xlfn.IFS(TABLE_PIVOT[[#This Row],[Duration]]&lt;=10,"Under 10 Mins",TABLE_PIVOT[[#This Row],[Duration]]&lt;=30,"10 to 30 Mins",TABLE_PIVOT[[#This Row],[Duration]]&lt;=60,"30 to 60 Mins",TABLE_PIVOT[[#This Row],[Duration]]&lt;=120,"1 to 2 Hours",TRUE,"More Than 2 Hours")</f>
        <v>30 to 60 Mins</v>
      </c>
      <c r="K300" s="82">
        <f>ROUND(TABLE_PIVOT[[#This Row],[Satisfaction Rating]],0)</f>
        <v>3</v>
      </c>
    </row>
    <row r="301" spans="1:11" x14ac:dyDescent="0.3">
      <c r="A301" s="8" t="s">
        <v>1927</v>
      </c>
      <c r="B301" s="8" t="s">
        <v>1662</v>
      </c>
      <c r="C301" s="8">
        <v>89</v>
      </c>
      <c r="D301" s="120" t="s">
        <v>1621</v>
      </c>
      <c r="E301" s="121">
        <v>45016</v>
      </c>
      <c r="F301" s="8">
        <v>90</v>
      </c>
      <c r="G301" s="8">
        <v>4.5999999999999996</v>
      </c>
      <c r="H301" s="82">
        <f>IF(MONTH(TABLE_PIVOT[[#This Row],[Date of Call]])&lt;=6,YEAR(TABLE_PIVOT[[#This Row],[Date of Call]]),YEAR(TABLE_PIVOT[[#This Row],[Date of Call]])+1)</f>
        <v>2023</v>
      </c>
      <c r="I301" s="82" t="str">
        <f>TEXT(TABLE_PIVOT[[#This Row],[Date of Call]],"DDDD")</f>
        <v>Friday</v>
      </c>
      <c r="J301" s="82" t="str" cm="1">
        <f t="array" ref="J301">_xlfn.IFS(TABLE_PIVOT[[#This Row],[Duration]]&lt;=10,"Under 10 Mins",TABLE_PIVOT[[#This Row],[Duration]]&lt;=30,"10 to 30 Mins",TABLE_PIVOT[[#This Row],[Duration]]&lt;=60,"30 to 60 Mins",TABLE_PIVOT[[#This Row],[Duration]]&lt;=120,"1 to 2 Hours",TRUE,"More Than 2 Hours")</f>
        <v>1 to 2 Hours</v>
      </c>
      <c r="K301" s="82">
        <f>ROUND(TABLE_PIVOT[[#This Row],[Satisfaction Rating]],0)</f>
        <v>5</v>
      </c>
    </row>
    <row r="302" spans="1:11" x14ac:dyDescent="0.3">
      <c r="A302" s="8" t="s">
        <v>1928</v>
      </c>
      <c r="B302" s="8" t="s">
        <v>1641</v>
      </c>
      <c r="C302" s="8">
        <v>87</v>
      </c>
      <c r="D302" s="120" t="s">
        <v>1611</v>
      </c>
      <c r="E302" s="121">
        <v>45016</v>
      </c>
      <c r="F302" s="8">
        <v>225</v>
      </c>
      <c r="G302" s="8">
        <v>2.9</v>
      </c>
      <c r="H302" s="82">
        <f>IF(MONTH(TABLE_PIVOT[[#This Row],[Date of Call]])&lt;=6,YEAR(TABLE_PIVOT[[#This Row],[Date of Call]]),YEAR(TABLE_PIVOT[[#This Row],[Date of Call]])+1)</f>
        <v>2023</v>
      </c>
      <c r="I302" s="82" t="str">
        <f>TEXT(TABLE_PIVOT[[#This Row],[Date of Call]],"DDDD")</f>
        <v>Friday</v>
      </c>
      <c r="J302" s="82" t="str" cm="1">
        <f t="array" ref="J302">_xlfn.IFS(TABLE_PIVOT[[#This Row],[Duration]]&lt;=10,"Under 10 Mins",TABLE_PIVOT[[#This Row],[Duration]]&lt;=30,"10 to 30 Mins",TABLE_PIVOT[[#This Row],[Duration]]&lt;=60,"30 to 60 Mins",TABLE_PIVOT[[#This Row],[Duration]]&lt;=120,"1 to 2 Hours",TRUE,"More Than 2 Hours")</f>
        <v>1 to 2 Hours</v>
      </c>
      <c r="K302" s="82">
        <f>ROUND(TABLE_PIVOT[[#This Row],[Satisfaction Rating]],0)</f>
        <v>3</v>
      </c>
    </row>
    <row r="303" spans="1:11" x14ac:dyDescent="0.3">
      <c r="A303" s="8" t="s">
        <v>1929</v>
      </c>
      <c r="B303" s="8" t="s">
        <v>1610</v>
      </c>
      <c r="C303" s="8">
        <v>60</v>
      </c>
      <c r="D303" s="120" t="s">
        <v>1616</v>
      </c>
      <c r="E303" s="121">
        <v>45017</v>
      </c>
      <c r="F303" s="8">
        <v>215</v>
      </c>
      <c r="G303" s="8">
        <v>3.2</v>
      </c>
      <c r="H303" s="82">
        <f>IF(MONTH(TABLE_PIVOT[[#This Row],[Date of Call]])&lt;=6,YEAR(TABLE_PIVOT[[#This Row],[Date of Call]]),YEAR(TABLE_PIVOT[[#This Row],[Date of Call]])+1)</f>
        <v>2023</v>
      </c>
      <c r="I303" s="82" t="str">
        <f>TEXT(TABLE_PIVOT[[#This Row],[Date of Call]],"DDDD")</f>
        <v>Saturday</v>
      </c>
      <c r="J303" s="82" t="str" cm="1">
        <f t="array" ref="J303">_xlfn.IFS(TABLE_PIVOT[[#This Row],[Duration]]&lt;=10,"Under 10 Mins",TABLE_PIVOT[[#This Row],[Duration]]&lt;=30,"10 to 30 Mins",TABLE_PIVOT[[#This Row],[Duration]]&lt;=60,"30 to 60 Mins",TABLE_PIVOT[[#This Row],[Duration]]&lt;=120,"1 to 2 Hours",TRUE,"More Than 2 Hours")</f>
        <v>30 to 60 Mins</v>
      </c>
      <c r="K303" s="82">
        <f>ROUND(TABLE_PIVOT[[#This Row],[Satisfaction Rating]],0)</f>
        <v>3</v>
      </c>
    </row>
    <row r="304" spans="1:11" x14ac:dyDescent="0.3">
      <c r="A304" s="8" t="s">
        <v>1930</v>
      </c>
      <c r="B304" s="8" t="s">
        <v>1618</v>
      </c>
      <c r="C304" s="8">
        <v>42</v>
      </c>
      <c r="D304" s="120" t="s">
        <v>1621</v>
      </c>
      <c r="E304" s="121">
        <v>45017</v>
      </c>
      <c r="F304" s="8">
        <v>45</v>
      </c>
      <c r="G304" s="8">
        <v>1.5</v>
      </c>
      <c r="H304" s="82">
        <f>IF(MONTH(TABLE_PIVOT[[#This Row],[Date of Call]])&lt;=6,YEAR(TABLE_PIVOT[[#This Row],[Date of Call]]),YEAR(TABLE_PIVOT[[#This Row],[Date of Call]])+1)</f>
        <v>2023</v>
      </c>
      <c r="I304" s="82" t="str">
        <f>TEXT(TABLE_PIVOT[[#This Row],[Date of Call]],"DDDD")</f>
        <v>Saturday</v>
      </c>
      <c r="J304" s="82" t="str" cm="1">
        <f t="array" ref="J304">_xlfn.IFS(TABLE_PIVOT[[#This Row],[Duration]]&lt;=10,"Under 10 Mins",TABLE_PIVOT[[#This Row],[Duration]]&lt;=30,"10 to 30 Mins",TABLE_PIVOT[[#This Row],[Duration]]&lt;=60,"30 to 60 Mins",TABLE_PIVOT[[#This Row],[Duration]]&lt;=120,"1 to 2 Hours",TRUE,"More Than 2 Hours")</f>
        <v>30 to 60 Mins</v>
      </c>
      <c r="K304" s="82">
        <f>ROUND(TABLE_PIVOT[[#This Row],[Satisfaction Rating]],0)</f>
        <v>2</v>
      </c>
    </row>
    <row r="305" spans="1:11" x14ac:dyDescent="0.3">
      <c r="A305" s="8" t="s">
        <v>1931</v>
      </c>
      <c r="B305" s="8" t="s">
        <v>1629</v>
      </c>
      <c r="C305" s="8">
        <v>99</v>
      </c>
      <c r="D305" s="120" t="s">
        <v>1616</v>
      </c>
      <c r="E305" s="121">
        <v>45017</v>
      </c>
      <c r="F305" s="8">
        <v>74</v>
      </c>
      <c r="G305" s="8">
        <v>4</v>
      </c>
      <c r="H305" s="82">
        <f>IF(MONTH(TABLE_PIVOT[[#This Row],[Date of Call]])&lt;=6,YEAR(TABLE_PIVOT[[#This Row],[Date of Call]]),YEAR(TABLE_PIVOT[[#This Row],[Date of Call]])+1)</f>
        <v>2023</v>
      </c>
      <c r="I305" s="82" t="str">
        <f>TEXT(TABLE_PIVOT[[#This Row],[Date of Call]],"DDDD")</f>
        <v>Saturday</v>
      </c>
      <c r="J305" s="82" t="str" cm="1">
        <f t="array" ref="J305">_xlfn.IFS(TABLE_PIVOT[[#This Row],[Duration]]&lt;=10,"Under 10 Mins",TABLE_PIVOT[[#This Row],[Duration]]&lt;=30,"10 to 30 Mins",TABLE_PIVOT[[#This Row],[Duration]]&lt;=60,"30 to 60 Mins",TABLE_PIVOT[[#This Row],[Duration]]&lt;=120,"1 to 2 Hours",TRUE,"More Than 2 Hours")</f>
        <v>1 to 2 Hours</v>
      </c>
      <c r="K305" s="82">
        <f>ROUND(TABLE_PIVOT[[#This Row],[Satisfaction Rating]],0)</f>
        <v>4</v>
      </c>
    </row>
    <row r="306" spans="1:11" x14ac:dyDescent="0.3">
      <c r="A306" s="8" t="s">
        <v>1932</v>
      </c>
      <c r="B306" s="8" t="s">
        <v>1615</v>
      </c>
      <c r="C306" s="8">
        <v>20</v>
      </c>
      <c r="D306" s="120" t="s">
        <v>1621</v>
      </c>
      <c r="E306" s="121">
        <v>45017</v>
      </c>
      <c r="F306" s="8">
        <v>60</v>
      </c>
      <c r="G306" s="8">
        <v>3.6</v>
      </c>
      <c r="H306" s="82">
        <f>IF(MONTH(TABLE_PIVOT[[#This Row],[Date of Call]])&lt;=6,YEAR(TABLE_PIVOT[[#This Row],[Date of Call]]),YEAR(TABLE_PIVOT[[#This Row],[Date of Call]])+1)</f>
        <v>2023</v>
      </c>
      <c r="I306" s="82" t="str">
        <f>TEXT(TABLE_PIVOT[[#This Row],[Date of Call]],"DDDD")</f>
        <v>Saturday</v>
      </c>
      <c r="J306" s="82" t="str" cm="1">
        <f t="array" ref="J306">_xlfn.IFS(TABLE_PIVOT[[#This Row],[Duration]]&lt;=10,"Under 10 Mins",TABLE_PIVOT[[#This Row],[Duration]]&lt;=30,"10 to 30 Mins",TABLE_PIVOT[[#This Row],[Duration]]&lt;=60,"30 to 60 Mins",TABLE_PIVOT[[#This Row],[Duration]]&lt;=120,"1 to 2 Hours",TRUE,"More Than 2 Hours")</f>
        <v>10 to 30 Mins</v>
      </c>
      <c r="K306" s="82">
        <f>ROUND(TABLE_PIVOT[[#This Row],[Satisfaction Rating]],0)</f>
        <v>4</v>
      </c>
    </row>
    <row r="307" spans="1:11" x14ac:dyDescent="0.3">
      <c r="A307" s="8" t="s">
        <v>1933</v>
      </c>
      <c r="B307" s="8" t="s">
        <v>1633</v>
      </c>
      <c r="C307" s="8">
        <v>65</v>
      </c>
      <c r="D307" s="120" t="s">
        <v>1616</v>
      </c>
      <c r="E307" s="121">
        <v>45017</v>
      </c>
      <c r="F307" s="8">
        <v>64</v>
      </c>
      <c r="G307" s="8">
        <v>3.7</v>
      </c>
      <c r="H307" s="82">
        <f>IF(MONTH(TABLE_PIVOT[[#This Row],[Date of Call]])&lt;=6,YEAR(TABLE_PIVOT[[#This Row],[Date of Call]]),YEAR(TABLE_PIVOT[[#This Row],[Date of Call]])+1)</f>
        <v>2023</v>
      </c>
      <c r="I307" s="82" t="str">
        <f>TEXT(TABLE_PIVOT[[#This Row],[Date of Call]],"DDDD")</f>
        <v>Saturday</v>
      </c>
      <c r="J307" s="82" t="str" cm="1">
        <f t="array" ref="J307">_xlfn.IFS(TABLE_PIVOT[[#This Row],[Duration]]&lt;=10,"Under 10 Mins",TABLE_PIVOT[[#This Row],[Duration]]&lt;=30,"10 to 30 Mins",TABLE_PIVOT[[#This Row],[Duration]]&lt;=60,"30 to 60 Mins",TABLE_PIVOT[[#This Row],[Duration]]&lt;=120,"1 to 2 Hours",TRUE,"More Than 2 Hours")</f>
        <v>1 to 2 Hours</v>
      </c>
      <c r="K307" s="82">
        <f>ROUND(TABLE_PIVOT[[#This Row],[Satisfaction Rating]],0)</f>
        <v>4</v>
      </c>
    </row>
    <row r="308" spans="1:11" x14ac:dyDescent="0.3">
      <c r="A308" s="8" t="s">
        <v>1934</v>
      </c>
      <c r="B308" s="8" t="s">
        <v>1652</v>
      </c>
      <c r="C308" s="8">
        <v>71</v>
      </c>
      <c r="D308" s="120" t="s">
        <v>1611</v>
      </c>
      <c r="E308" s="121">
        <v>45018</v>
      </c>
      <c r="F308" s="8">
        <v>110</v>
      </c>
      <c r="G308" s="8">
        <v>4.8</v>
      </c>
      <c r="H308" s="82">
        <f>IF(MONTH(TABLE_PIVOT[[#This Row],[Date of Call]])&lt;=6,YEAR(TABLE_PIVOT[[#This Row],[Date of Call]]),YEAR(TABLE_PIVOT[[#This Row],[Date of Call]])+1)</f>
        <v>2023</v>
      </c>
      <c r="I308" s="82" t="str">
        <f>TEXT(TABLE_PIVOT[[#This Row],[Date of Call]],"DDDD")</f>
        <v>Sunday</v>
      </c>
      <c r="J308" s="82" t="str" cm="1">
        <f t="array" ref="J308">_xlfn.IFS(TABLE_PIVOT[[#This Row],[Duration]]&lt;=10,"Under 10 Mins",TABLE_PIVOT[[#This Row],[Duration]]&lt;=30,"10 to 30 Mins",TABLE_PIVOT[[#This Row],[Duration]]&lt;=60,"30 to 60 Mins",TABLE_PIVOT[[#This Row],[Duration]]&lt;=120,"1 to 2 Hours",TRUE,"More Than 2 Hours")</f>
        <v>1 to 2 Hours</v>
      </c>
      <c r="K308" s="82">
        <f>ROUND(TABLE_PIVOT[[#This Row],[Satisfaction Rating]],0)</f>
        <v>5</v>
      </c>
    </row>
    <row r="309" spans="1:11" x14ac:dyDescent="0.3">
      <c r="A309" s="8" t="s">
        <v>1935</v>
      </c>
      <c r="B309" s="8" t="s">
        <v>1613</v>
      </c>
      <c r="C309" s="8">
        <v>95</v>
      </c>
      <c r="D309" s="120" t="s">
        <v>1630</v>
      </c>
      <c r="E309" s="121">
        <v>45018</v>
      </c>
      <c r="F309" s="8">
        <v>52</v>
      </c>
      <c r="G309" s="8">
        <v>1.2</v>
      </c>
      <c r="H309" s="82">
        <f>IF(MONTH(TABLE_PIVOT[[#This Row],[Date of Call]])&lt;=6,YEAR(TABLE_PIVOT[[#This Row],[Date of Call]]),YEAR(TABLE_PIVOT[[#This Row],[Date of Call]])+1)</f>
        <v>2023</v>
      </c>
      <c r="I309" s="82" t="str">
        <f>TEXT(TABLE_PIVOT[[#This Row],[Date of Call]],"DDDD")</f>
        <v>Sunday</v>
      </c>
      <c r="J309" s="82" t="str" cm="1">
        <f t="array" ref="J309">_xlfn.IFS(TABLE_PIVOT[[#This Row],[Duration]]&lt;=10,"Under 10 Mins",TABLE_PIVOT[[#This Row],[Duration]]&lt;=30,"10 to 30 Mins",TABLE_PIVOT[[#This Row],[Duration]]&lt;=60,"30 to 60 Mins",TABLE_PIVOT[[#This Row],[Duration]]&lt;=120,"1 to 2 Hours",TRUE,"More Than 2 Hours")</f>
        <v>1 to 2 Hours</v>
      </c>
      <c r="K309" s="82">
        <f>ROUND(TABLE_PIVOT[[#This Row],[Satisfaction Rating]],0)</f>
        <v>1</v>
      </c>
    </row>
    <row r="310" spans="1:11" x14ac:dyDescent="0.3">
      <c r="A310" s="8" t="s">
        <v>1936</v>
      </c>
      <c r="B310" s="8" t="s">
        <v>1615</v>
      </c>
      <c r="C310" s="8">
        <v>81</v>
      </c>
      <c r="D310" s="120" t="s">
        <v>1626</v>
      </c>
      <c r="E310" s="121">
        <v>45019</v>
      </c>
      <c r="F310" s="8">
        <v>160</v>
      </c>
      <c r="G310" s="8">
        <v>4.7</v>
      </c>
      <c r="H310" s="82">
        <f>IF(MONTH(TABLE_PIVOT[[#This Row],[Date of Call]])&lt;=6,YEAR(TABLE_PIVOT[[#This Row],[Date of Call]]),YEAR(TABLE_PIVOT[[#This Row],[Date of Call]])+1)</f>
        <v>2023</v>
      </c>
      <c r="I310" s="82" t="str">
        <f>TEXT(TABLE_PIVOT[[#This Row],[Date of Call]],"DDDD")</f>
        <v>Monday</v>
      </c>
      <c r="J310" s="82" t="str" cm="1">
        <f t="array" ref="J310">_xlfn.IFS(TABLE_PIVOT[[#This Row],[Duration]]&lt;=10,"Under 10 Mins",TABLE_PIVOT[[#This Row],[Duration]]&lt;=30,"10 to 30 Mins",TABLE_PIVOT[[#This Row],[Duration]]&lt;=60,"30 to 60 Mins",TABLE_PIVOT[[#This Row],[Duration]]&lt;=120,"1 to 2 Hours",TRUE,"More Than 2 Hours")</f>
        <v>1 to 2 Hours</v>
      </c>
      <c r="K310" s="82">
        <f>ROUND(TABLE_PIVOT[[#This Row],[Satisfaction Rating]],0)</f>
        <v>5</v>
      </c>
    </row>
    <row r="311" spans="1:11" x14ac:dyDescent="0.3">
      <c r="A311" s="8" t="s">
        <v>1937</v>
      </c>
      <c r="B311" s="8" t="s">
        <v>1644</v>
      </c>
      <c r="C311" s="8">
        <v>137</v>
      </c>
      <c r="D311" s="120" t="s">
        <v>1626</v>
      </c>
      <c r="E311" s="121">
        <v>45019</v>
      </c>
      <c r="F311" s="8">
        <v>215</v>
      </c>
      <c r="G311" s="8">
        <v>4.7</v>
      </c>
      <c r="H311" s="82">
        <f>IF(MONTH(TABLE_PIVOT[[#This Row],[Date of Call]])&lt;=6,YEAR(TABLE_PIVOT[[#This Row],[Date of Call]]),YEAR(TABLE_PIVOT[[#This Row],[Date of Call]])+1)</f>
        <v>2023</v>
      </c>
      <c r="I311" s="82" t="str">
        <f>TEXT(TABLE_PIVOT[[#This Row],[Date of Call]],"DDDD")</f>
        <v>Monday</v>
      </c>
      <c r="J311" s="82" t="str" cm="1">
        <f t="array" ref="J311">_xlfn.IFS(TABLE_PIVOT[[#This Row],[Duration]]&lt;=10,"Under 10 Mins",TABLE_PIVOT[[#This Row],[Duration]]&lt;=30,"10 to 30 Mins",TABLE_PIVOT[[#This Row],[Duration]]&lt;=60,"30 to 60 Mins",TABLE_PIVOT[[#This Row],[Duration]]&lt;=120,"1 to 2 Hours",TRUE,"More Than 2 Hours")</f>
        <v>More Than 2 Hours</v>
      </c>
      <c r="K311" s="82">
        <f>ROUND(TABLE_PIVOT[[#This Row],[Satisfaction Rating]],0)</f>
        <v>5</v>
      </c>
    </row>
    <row r="312" spans="1:11" x14ac:dyDescent="0.3">
      <c r="A312" s="8" t="s">
        <v>1938</v>
      </c>
      <c r="B312" s="8" t="s">
        <v>1644</v>
      </c>
      <c r="C312" s="8">
        <v>40</v>
      </c>
      <c r="D312" s="120" t="s">
        <v>1630</v>
      </c>
      <c r="E312" s="121">
        <v>45019</v>
      </c>
      <c r="F312" s="8">
        <v>220</v>
      </c>
      <c r="G312" s="8">
        <v>4.5</v>
      </c>
      <c r="H312" s="82">
        <f>IF(MONTH(TABLE_PIVOT[[#This Row],[Date of Call]])&lt;=6,YEAR(TABLE_PIVOT[[#This Row],[Date of Call]]),YEAR(TABLE_PIVOT[[#This Row],[Date of Call]])+1)</f>
        <v>2023</v>
      </c>
      <c r="I312" s="82" t="str">
        <f>TEXT(TABLE_PIVOT[[#This Row],[Date of Call]],"DDDD")</f>
        <v>Monday</v>
      </c>
      <c r="J312" s="82" t="str" cm="1">
        <f t="array" ref="J312">_xlfn.IFS(TABLE_PIVOT[[#This Row],[Duration]]&lt;=10,"Under 10 Mins",TABLE_PIVOT[[#This Row],[Duration]]&lt;=30,"10 to 30 Mins",TABLE_PIVOT[[#This Row],[Duration]]&lt;=60,"30 to 60 Mins",TABLE_PIVOT[[#This Row],[Duration]]&lt;=120,"1 to 2 Hours",TRUE,"More Than 2 Hours")</f>
        <v>30 to 60 Mins</v>
      </c>
      <c r="K312" s="82">
        <f>ROUND(TABLE_PIVOT[[#This Row],[Satisfaction Rating]],0)</f>
        <v>5</v>
      </c>
    </row>
    <row r="313" spans="1:11" x14ac:dyDescent="0.3">
      <c r="A313" s="8" t="s">
        <v>1939</v>
      </c>
      <c r="B313" s="8" t="s">
        <v>1629</v>
      </c>
      <c r="C313" s="8">
        <v>111</v>
      </c>
      <c r="D313" s="120" t="s">
        <v>1616</v>
      </c>
      <c r="E313" s="121">
        <v>45020</v>
      </c>
      <c r="F313" s="8">
        <v>175</v>
      </c>
      <c r="G313" s="8">
        <v>3.5</v>
      </c>
      <c r="H313" s="82">
        <f>IF(MONTH(TABLE_PIVOT[[#This Row],[Date of Call]])&lt;=6,YEAR(TABLE_PIVOT[[#This Row],[Date of Call]]),YEAR(TABLE_PIVOT[[#This Row],[Date of Call]])+1)</f>
        <v>2023</v>
      </c>
      <c r="I313" s="82" t="str">
        <f>TEXT(TABLE_PIVOT[[#This Row],[Date of Call]],"DDDD")</f>
        <v>Tuesday</v>
      </c>
      <c r="J313" s="82" t="str" cm="1">
        <f t="array" ref="J313">_xlfn.IFS(TABLE_PIVOT[[#This Row],[Duration]]&lt;=10,"Under 10 Mins",TABLE_PIVOT[[#This Row],[Duration]]&lt;=30,"10 to 30 Mins",TABLE_PIVOT[[#This Row],[Duration]]&lt;=60,"30 to 60 Mins",TABLE_PIVOT[[#This Row],[Duration]]&lt;=120,"1 to 2 Hours",TRUE,"More Than 2 Hours")</f>
        <v>1 to 2 Hours</v>
      </c>
      <c r="K313" s="82">
        <f>ROUND(TABLE_PIVOT[[#This Row],[Satisfaction Rating]],0)</f>
        <v>4</v>
      </c>
    </row>
    <row r="314" spans="1:11" x14ac:dyDescent="0.3">
      <c r="A314" s="8" t="s">
        <v>1940</v>
      </c>
      <c r="B314" s="8" t="s">
        <v>1652</v>
      </c>
      <c r="C314" s="8">
        <v>106</v>
      </c>
      <c r="D314" s="120" t="s">
        <v>1616</v>
      </c>
      <c r="E314" s="121">
        <v>45020</v>
      </c>
      <c r="F314" s="8">
        <v>145</v>
      </c>
      <c r="G314" s="8">
        <v>4.0999999999999996</v>
      </c>
      <c r="H314" s="82">
        <f>IF(MONTH(TABLE_PIVOT[[#This Row],[Date of Call]])&lt;=6,YEAR(TABLE_PIVOT[[#This Row],[Date of Call]]),YEAR(TABLE_PIVOT[[#This Row],[Date of Call]])+1)</f>
        <v>2023</v>
      </c>
      <c r="I314" s="82" t="str">
        <f>TEXT(TABLE_PIVOT[[#This Row],[Date of Call]],"DDDD")</f>
        <v>Tuesday</v>
      </c>
      <c r="J314" s="82" t="str" cm="1">
        <f t="array" ref="J314">_xlfn.IFS(TABLE_PIVOT[[#This Row],[Duration]]&lt;=10,"Under 10 Mins",TABLE_PIVOT[[#This Row],[Duration]]&lt;=30,"10 to 30 Mins",TABLE_PIVOT[[#This Row],[Duration]]&lt;=60,"30 to 60 Mins",TABLE_PIVOT[[#This Row],[Duration]]&lt;=120,"1 to 2 Hours",TRUE,"More Than 2 Hours")</f>
        <v>1 to 2 Hours</v>
      </c>
      <c r="K314" s="82">
        <f>ROUND(TABLE_PIVOT[[#This Row],[Satisfaction Rating]],0)</f>
        <v>4</v>
      </c>
    </row>
    <row r="315" spans="1:11" x14ac:dyDescent="0.3">
      <c r="A315" s="8" t="s">
        <v>1941</v>
      </c>
      <c r="B315" s="8" t="s">
        <v>1618</v>
      </c>
      <c r="C315" s="8">
        <v>133</v>
      </c>
      <c r="D315" s="120" t="s">
        <v>1621</v>
      </c>
      <c r="E315" s="121">
        <v>45020</v>
      </c>
      <c r="F315" s="8">
        <v>72</v>
      </c>
      <c r="G315" s="8">
        <v>4.4000000000000004</v>
      </c>
      <c r="H315" s="82">
        <f>IF(MONTH(TABLE_PIVOT[[#This Row],[Date of Call]])&lt;=6,YEAR(TABLE_PIVOT[[#This Row],[Date of Call]]),YEAR(TABLE_PIVOT[[#This Row],[Date of Call]])+1)</f>
        <v>2023</v>
      </c>
      <c r="I315" s="82" t="str">
        <f>TEXT(TABLE_PIVOT[[#This Row],[Date of Call]],"DDDD")</f>
        <v>Tuesday</v>
      </c>
      <c r="J315" s="82" t="str" cm="1">
        <f t="array" ref="J315">_xlfn.IFS(TABLE_PIVOT[[#This Row],[Duration]]&lt;=10,"Under 10 Mins",TABLE_PIVOT[[#This Row],[Duration]]&lt;=30,"10 to 30 Mins",TABLE_PIVOT[[#This Row],[Duration]]&lt;=60,"30 to 60 Mins",TABLE_PIVOT[[#This Row],[Duration]]&lt;=120,"1 to 2 Hours",TRUE,"More Than 2 Hours")</f>
        <v>More Than 2 Hours</v>
      </c>
      <c r="K315" s="82">
        <f>ROUND(TABLE_PIVOT[[#This Row],[Satisfaction Rating]],0)</f>
        <v>4</v>
      </c>
    </row>
    <row r="316" spans="1:11" x14ac:dyDescent="0.3">
      <c r="A316" s="8" t="s">
        <v>1942</v>
      </c>
      <c r="B316" s="8" t="s">
        <v>1624</v>
      </c>
      <c r="C316" s="8">
        <v>38</v>
      </c>
      <c r="D316" s="120" t="s">
        <v>1616</v>
      </c>
      <c r="E316" s="121">
        <v>45021</v>
      </c>
      <c r="F316" s="8">
        <v>81</v>
      </c>
      <c r="G316" s="8">
        <v>3.6</v>
      </c>
      <c r="H316" s="82">
        <f>IF(MONTH(TABLE_PIVOT[[#This Row],[Date of Call]])&lt;=6,YEAR(TABLE_PIVOT[[#This Row],[Date of Call]]),YEAR(TABLE_PIVOT[[#This Row],[Date of Call]])+1)</f>
        <v>2023</v>
      </c>
      <c r="I316" s="82" t="str">
        <f>TEXT(TABLE_PIVOT[[#This Row],[Date of Call]],"DDDD")</f>
        <v>Wednesday</v>
      </c>
      <c r="J316" s="82" t="str" cm="1">
        <f t="array" ref="J316">_xlfn.IFS(TABLE_PIVOT[[#This Row],[Duration]]&lt;=10,"Under 10 Mins",TABLE_PIVOT[[#This Row],[Duration]]&lt;=30,"10 to 30 Mins",TABLE_PIVOT[[#This Row],[Duration]]&lt;=60,"30 to 60 Mins",TABLE_PIVOT[[#This Row],[Duration]]&lt;=120,"1 to 2 Hours",TRUE,"More Than 2 Hours")</f>
        <v>30 to 60 Mins</v>
      </c>
      <c r="K316" s="82">
        <f>ROUND(TABLE_PIVOT[[#This Row],[Satisfaction Rating]],0)</f>
        <v>4</v>
      </c>
    </row>
    <row r="317" spans="1:11" x14ac:dyDescent="0.3">
      <c r="A317" s="8" t="s">
        <v>1943</v>
      </c>
      <c r="B317" s="8" t="s">
        <v>1649</v>
      </c>
      <c r="C317" s="8">
        <v>130</v>
      </c>
      <c r="D317" s="120" t="s">
        <v>1630</v>
      </c>
      <c r="E317" s="121">
        <v>45021</v>
      </c>
      <c r="F317" s="8">
        <v>54</v>
      </c>
      <c r="G317" s="8">
        <v>4.0999999999999996</v>
      </c>
      <c r="H317" s="82">
        <f>IF(MONTH(TABLE_PIVOT[[#This Row],[Date of Call]])&lt;=6,YEAR(TABLE_PIVOT[[#This Row],[Date of Call]]),YEAR(TABLE_PIVOT[[#This Row],[Date of Call]])+1)</f>
        <v>2023</v>
      </c>
      <c r="I317" s="82" t="str">
        <f>TEXT(TABLE_PIVOT[[#This Row],[Date of Call]],"DDDD")</f>
        <v>Wednesday</v>
      </c>
      <c r="J317" s="82" t="str" cm="1">
        <f t="array" ref="J317">_xlfn.IFS(TABLE_PIVOT[[#This Row],[Duration]]&lt;=10,"Under 10 Mins",TABLE_PIVOT[[#This Row],[Duration]]&lt;=30,"10 to 30 Mins",TABLE_PIVOT[[#This Row],[Duration]]&lt;=60,"30 to 60 Mins",TABLE_PIVOT[[#This Row],[Duration]]&lt;=120,"1 to 2 Hours",TRUE,"More Than 2 Hours")</f>
        <v>More Than 2 Hours</v>
      </c>
      <c r="K317" s="82">
        <f>ROUND(TABLE_PIVOT[[#This Row],[Satisfaction Rating]],0)</f>
        <v>4</v>
      </c>
    </row>
    <row r="318" spans="1:11" x14ac:dyDescent="0.3">
      <c r="A318" s="8" t="s">
        <v>1944</v>
      </c>
      <c r="B318" s="8" t="s">
        <v>1633</v>
      </c>
      <c r="C318" s="8">
        <v>23</v>
      </c>
      <c r="D318" s="120" t="s">
        <v>1621</v>
      </c>
      <c r="E318" s="121">
        <v>45021</v>
      </c>
      <c r="F318" s="8">
        <v>105</v>
      </c>
      <c r="G318" s="8">
        <v>4.8</v>
      </c>
      <c r="H318" s="82">
        <f>IF(MONTH(TABLE_PIVOT[[#This Row],[Date of Call]])&lt;=6,YEAR(TABLE_PIVOT[[#This Row],[Date of Call]]),YEAR(TABLE_PIVOT[[#This Row],[Date of Call]])+1)</f>
        <v>2023</v>
      </c>
      <c r="I318" s="82" t="str">
        <f>TEXT(TABLE_PIVOT[[#This Row],[Date of Call]],"DDDD")</f>
        <v>Wednesday</v>
      </c>
      <c r="J318" s="82" t="str" cm="1">
        <f t="array" ref="J318">_xlfn.IFS(TABLE_PIVOT[[#This Row],[Duration]]&lt;=10,"Under 10 Mins",TABLE_PIVOT[[#This Row],[Duration]]&lt;=30,"10 to 30 Mins",TABLE_PIVOT[[#This Row],[Duration]]&lt;=60,"30 to 60 Mins",TABLE_PIVOT[[#This Row],[Duration]]&lt;=120,"1 to 2 Hours",TRUE,"More Than 2 Hours")</f>
        <v>10 to 30 Mins</v>
      </c>
      <c r="K318" s="82">
        <f>ROUND(TABLE_PIVOT[[#This Row],[Satisfaction Rating]],0)</f>
        <v>5</v>
      </c>
    </row>
    <row r="319" spans="1:11" x14ac:dyDescent="0.3">
      <c r="A319" s="8" t="s">
        <v>1945</v>
      </c>
      <c r="B319" s="8" t="s">
        <v>1649</v>
      </c>
      <c r="C319" s="8">
        <v>124</v>
      </c>
      <c r="D319" s="120" t="s">
        <v>1616</v>
      </c>
      <c r="E319" s="121">
        <v>45022</v>
      </c>
      <c r="F319" s="8">
        <v>176</v>
      </c>
      <c r="G319" s="8">
        <v>3.9</v>
      </c>
      <c r="H319" s="82">
        <f>IF(MONTH(TABLE_PIVOT[[#This Row],[Date of Call]])&lt;=6,YEAR(TABLE_PIVOT[[#This Row],[Date of Call]]),YEAR(TABLE_PIVOT[[#This Row],[Date of Call]])+1)</f>
        <v>2023</v>
      </c>
      <c r="I319" s="82" t="str">
        <f>TEXT(TABLE_PIVOT[[#This Row],[Date of Call]],"DDDD")</f>
        <v>Thursday</v>
      </c>
      <c r="J319" s="82" t="str" cm="1">
        <f t="array" ref="J319">_xlfn.IFS(TABLE_PIVOT[[#This Row],[Duration]]&lt;=10,"Under 10 Mins",TABLE_PIVOT[[#This Row],[Duration]]&lt;=30,"10 to 30 Mins",TABLE_PIVOT[[#This Row],[Duration]]&lt;=60,"30 to 60 Mins",TABLE_PIVOT[[#This Row],[Duration]]&lt;=120,"1 to 2 Hours",TRUE,"More Than 2 Hours")</f>
        <v>More Than 2 Hours</v>
      </c>
      <c r="K319" s="82">
        <f>ROUND(TABLE_PIVOT[[#This Row],[Satisfaction Rating]],0)</f>
        <v>4</v>
      </c>
    </row>
    <row r="320" spans="1:11" x14ac:dyDescent="0.3">
      <c r="A320" s="8" t="s">
        <v>1946</v>
      </c>
      <c r="B320" s="8" t="s">
        <v>1615</v>
      </c>
      <c r="C320" s="8">
        <v>107</v>
      </c>
      <c r="D320" s="120" t="s">
        <v>1616</v>
      </c>
      <c r="E320" s="121">
        <v>45022</v>
      </c>
      <c r="F320" s="8">
        <v>115</v>
      </c>
      <c r="G320" s="8">
        <v>3.8</v>
      </c>
      <c r="H320" s="82">
        <f>IF(MONTH(TABLE_PIVOT[[#This Row],[Date of Call]])&lt;=6,YEAR(TABLE_PIVOT[[#This Row],[Date of Call]]),YEAR(TABLE_PIVOT[[#This Row],[Date of Call]])+1)</f>
        <v>2023</v>
      </c>
      <c r="I320" s="82" t="str">
        <f>TEXT(TABLE_PIVOT[[#This Row],[Date of Call]],"DDDD")</f>
        <v>Thursday</v>
      </c>
      <c r="J320" s="82" t="str" cm="1">
        <f t="array" ref="J320">_xlfn.IFS(TABLE_PIVOT[[#This Row],[Duration]]&lt;=10,"Under 10 Mins",TABLE_PIVOT[[#This Row],[Duration]]&lt;=30,"10 to 30 Mins",TABLE_PIVOT[[#This Row],[Duration]]&lt;=60,"30 to 60 Mins",TABLE_PIVOT[[#This Row],[Duration]]&lt;=120,"1 to 2 Hours",TRUE,"More Than 2 Hours")</f>
        <v>1 to 2 Hours</v>
      </c>
      <c r="K320" s="82">
        <f>ROUND(TABLE_PIVOT[[#This Row],[Satisfaction Rating]],0)</f>
        <v>4</v>
      </c>
    </row>
    <row r="321" spans="1:11" x14ac:dyDescent="0.3">
      <c r="A321" s="8" t="s">
        <v>1947</v>
      </c>
      <c r="B321" s="8" t="s">
        <v>1644</v>
      </c>
      <c r="C321" s="8">
        <v>60</v>
      </c>
      <c r="D321" s="120" t="s">
        <v>1611</v>
      </c>
      <c r="E321" s="121">
        <v>45022</v>
      </c>
      <c r="F321" s="8">
        <v>116</v>
      </c>
      <c r="G321" s="8">
        <v>3.9</v>
      </c>
      <c r="H321" s="82">
        <f>IF(MONTH(TABLE_PIVOT[[#This Row],[Date of Call]])&lt;=6,YEAR(TABLE_PIVOT[[#This Row],[Date of Call]]),YEAR(TABLE_PIVOT[[#This Row],[Date of Call]])+1)</f>
        <v>2023</v>
      </c>
      <c r="I321" s="82" t="str">
        <f>TEXT(TABLE_PIVOT[[#This Row],[Date of Call]],"DDDD")</f>
        <v>Thursday</v>
      </c>
      <c r="J321" s="82" t="str" cm="1">
        <f t="array" ref="J321">_xlfn.IFS(TABLE_PIVOT[[#This Row],[Duration]]&lt;=10,"Under 10 Mins",TABLE_PIVOT[[#This Row],[Duration]]&lt;=30,"10 to 30 Mins",TABLE_PIVOT[[#This Row],[Duration]]&lt;=60,"30 to 60 Mins",TABLE_PIVOT[[#This Row],[Duration]]&lt;=120,"1 to 2 Hours",TRUE,"More Than 2 Hours")</f>
        <v>30 to 60 Mins</v>
      </c>
      <c r="K321" s="82">
        <f>ROUND(TABLE_PIVOT[[#This Row],[Satisfaction Rating]],0)</f>
        <v>4</v>
      </c>
    </row>
    <row r="322" spans="1:11" x14ac:dyDescent="0.3">
      <c r="A322" s="8" t="s">
        <v>1948</v>
      </c>
      <c r="B322" s="8" t="s">
        <v>1644</v>
      </c>
      <c r="C322" s="8">
        <v>158</v>
      </c>
      <c r="D322" s="120" t="s">
        <v>1630</v>
      </c>
      <c r="E322" s="121">
        <v>45022</v>
      </c>
      <c r="F322" s="8">
        <v>100</v>
      </c>
      <c r="G322" s="8">
        <v>4.0999999999999996</v>
      </c>
      <c r="H322" s="82">
        <f>IF(MONTH(TABLE_PIVOT[[#This Row],[Date of Call]])&lt;=6,YEAR(TABLE_PIVOT[[#This Row],[Date of Call]]),YEAR(TABLE_PIVOT[[#This Row],[Date of Call]])+1)</f>
        <v>2023</v>
      </c>
      <c r="I322" s="82" t="str">
        <f>TEXT(TABLE_PIVOT[[#This Row],[Date of Call]],"DDDD")</f>
        <v>Thursday</v>
      </c>
      <c r="J322" s="82" t="str" cm="1">
        <f t="array" ref="J322">_xlfn.IFS(TABLE_PIVOT[[#This Row],[Duration]]&lt;=10,"Under 10 Mins",TABLE_PIVOT[[#This Row],[Duration]]&lt;=30,"10 to 30 Mins",TABLE_PIVOT[[#This Row],[Duration]]&lt;=60,"30 to 60 Mins",TABLE_PIVOT[[#This Row],[Duration]]&lt;=120,"1 to 2 Hours",TRUE,"More Than 2 Hours")</f>
        <v>More Than 2 Hours</v>
      </c>
      <c r="K322" s="82">
        <f>ROUND(TABLE_PIVOT[[#This Row],[Satisfaction Rating]],0)</f>
        <v>4</v>
      </c>
    </row>
    <row r="323" spans="1:11" x14ac:dyDescent="0.3">
      <c r="A323" s="8" t="s">
        <v>1949</v>
      </c>
      <c r="B323" s="8" t="s">
        <v>1641</v>
      </c>
      <c r="C323" s="8">
        <v>110</v>
      </c>
      <c r="D323" s="120" t="s">
        <v>1630</v>
      </c>
      <c r="E323" s="121">
        <v>45023</v>
      </c>
      <c r="F323" s="8">
        <v>36</v>
      </c>
      <c r="G323" s="8">
        <v>2.2000000000000002</v>
      </c>
      <c r="H323" s="82">
        <f>IF(MONTH(TABLE_PIVOT[[#This Row],[Date of Call]])&lt;=6,YEAR(TABLE_PIVOT[[#This Row],[Date of Call]]),YEAR(TABLE_PIVOT[[#This Row],[Date of Call]])+1)</f>
        <v>2023</v>
      </c>
      <c r="I323" s="82" t="str">
        <f>TEXT(TABLE_PIVOT[[#This Row],[Date of Call]],"DDDD")</f>
        <v>Friday</v>
      </c>
      <c r="J323" s="82" t="str" cm="1">
        <f t="array" ref="J323">_xlfn.IFS(TABLE_PIVOT[[#This Row],[Duration]]&lt;=10,"Under 10 Mins",TABLE_PIVOT[[#This Row],[Duration]]&lt;=30,"10 to 30 Mins",TABLE_PIVOT[[#This Row],[Duration]]&lt;=60,"30 to 60 Mins",TABLE_PIVOT[[#This Row],[Duration]]&lt;=120,"1 to 2 Hours",TRUE,"More Than 2 Hours")</f>
        <v>1 to 2 Hours</v>
      </c>
      <c r="K323" s="82">
        <f>ROUND(TABLE_PIVOT[[#This Row],[Satisfaction Rating]],0)</f>
        <v>2</v>
      </c>
    </row>
    <row r="324" spans="1:11" x14ac:dyDescent="0.3">
      <c r="A324" s="8" t="s">
        <v>1950</v>
      </c>
      <c r="B324" s="8" t="s">
        <v>1662</v>
      </c>
      <c r="C324" s="8">
        <v>70</v>
      </c>
      <c r="D324" s="120" t="s">
        <v>1630</v>
      </c>
      <c r="E324" s="121">
        <v>45023</v>
      </c>
      <c r="F324" s="8">
        <v>114</v>
      </c>
      <c r="G324" s="8">
        <v>5</v>
      </c>
      <c r="H324" s="82">
        <f>IF(MONTH(TABLE_PIVOT[[#This Row],[Date of Call]])&lt;=6,YEAR(TABLE_PIVOT[[#This Row],[Date of Call]]),YEAR(TABLE_PIVOT[[#This Row],[Date of Call]])+1)</f>
        <v>2023</v>
      </c>
      <c r="I324" s="82" t="str">
        <f>TEXT(TABLE_PIVOT[[#This Row],[Date of Call]],"DDDD")</f>
        <v>Friday</v>
      </c>
      <c r="J324" s="82" t="str" cm="1">
        <f t="array" ref="J324">_xlfn.IFS(TABLE_PIVOT[[#This Row],[Duration]]&lt;=10,"Under 10 Mins",TABLE_PIVOT[[#This Row],[Duration]]&lt;=30,"10 to 30 Mins",TABLE_PIVOT[[#This Row],[Duration]]&lt;=60,"30 to 60 Mins",TABLE_PIVOT[[#This Row],[Duration]]&lt;=120,"1 to 2 Hours",TRUE,"More Than 2 Hours")</f>
        <v>1 to 2 Hours</v>
      </c>
      <c r="K324" s="82">
        <f>ROUND(TABLE_PIVOT[[#This Row],[Satisfaction Rating]],0)</f>
        <v>5</v>
      </c>
    </row>
    <row r="325" spans="1:11" x14ac:dyDescent="0.3">
      <c r="A325" s="8" t="s">
        <v>1951</v>
      </c>
      <c r="B325" s="8" t="s">
        <v>1662</v>
      </c>
      <c r="C325" s="8">
        <v>150</v>
      </c>
      <c r="D325" s="120" t="s">
        <v>1611</v>
      </c>
      <c r="E325" s="121">
        <v>45023</v>
      </c>
      <c r="F325" s="8">
        <v>24</v>
      </c>
      <c r="G325" s="8">
        <v>3.8</v>
      </c>
      <c r="H325" s="82">
        <f>IF(MONTH(TABLE_PIVOT[[#This Row],[Date of Call]])&lt;=6,YEAR(TABLE_PIVOT[[#This Row],[Date of Call]]),YEAR(TABLE_PIVOT[[#This Row],[Date of Call]])+1)</f>
        <v>2023</v>
      </c>
      <c r="I325" s="82" t="str">
        <f>TEXT(TABLE_PIVOT[[#This Row],[Date of Call]],"DDDD")</f>
        <v>Friday</v>
      </c>
      <c r="J325" s="82" t="str" cm="1">
        <f t="array" ref="J325">_xlfn.IFS(TABLE_PIVOT[[#This Row],[Duration]]&lt;=10,"Under 10 Mins",TABLE_PIVOT[[#This Row],[Duration]]&lt;=30,"10 to 30 Mins",TABLE_PIVOT[[#This Row],[Duration]]&lt;=60,"30 to 60 Mins",TABLE_PIVOT[[#This Row],[Duration]]&lt;=120,"1 to 2 Hours",TRUE,"More Than 2 Hours")</f>
        <v>More Than 2 Hours</v>
      </c>
      <c r="K325" s="82">
        <f>ROUND(TABLE_PIVOT[[#This Row],[Satisfaction Rating]],0)</f>
        <v>4</v>
      </c>
    </row>
    <row r="326" spans="1:11" x14ac:dyDescent="0.3">
      <c r="A326" s="8" t="s">
        <v>1952</v>
      </c>
      <c r="B326" s="8" t="s">
        <v>1624</v>
      </c>
      <c r="C326" s="8">
        <v>36</v>
      </c>
      <c r="D326" s="120" t="s">
        <v>1616</v>
      </c>
      <c r="E326" s="121">
        <v>45023</v>
      </c>
      <c r="F326" s="8">
        <v>135</v>
      </c>
      <c r="G326" s="8">
        <v>4.5999999999999996</v>
      </c>
      <c r="H326" s="82">
        <f>IF(MONTH(TABLE_PIVOT[[#This Row],[Date of Call]])&lt;=6,YEAR(TABLE_PIVOT[[#This Row],[Date of Call]]),YEAR(TABLE_PIVOT[[#This Row],[Date of Call]])+1)</f>
        <v>2023</v>
      </c>
      <c r="I326" s="82" t="str">
        <f>TEXT(TABLE_PIVOT[[#This Row],[Date of Call]],"DDDD")</f>
        <v>Friday</v>
      </c>
      <c r="J326" s="82" t="str" cm="1">
        <f t="array" ref="J326">_xlfn.IFS(TABLE_PIVOT[[#This Row],[Duration]]&lt;=10,"Under 10 Mins",TABLE_PIVOT[[#This Row],[Duration]]&lt;=30,"10 to 30 Mins",TABLE_PIVOT[[#This Row],[Duration]]&lt;=60,"30 to 60 Mins",TABLE_PIVOT[[#This Row],[Duration]]&lt;=120,"1 to 2 Hours",TRUE,"More Than 2 Hours")</f>
        <v>30 to 60 Mins</v>
      </c>
      <c r="K326" s="82">
        <f>ROUND(TABLE_PIVOT[[#This Row],[Satisfaction Rating]],0)</f>
        <v>5</v>
      </c>
    </row>
    <row r="327" spans="1:11" x14ac:dyDescent="0.3">
      <c r="A327" s="8" t="s">
        <v>1953</v>
      </c>
      <c r="B327" s="8" t="s">
        <v>1649</v>
      </c>
      <c r="C327" s="8">
        <v>74</v>
      </c>
      <c r="D327" s="120" t="s">
        <v>1616</v>
      </c>
      <c r="E327" s="121">
        <v>45023</v>
      </c>
      <c r="F327" s="8">
        <v>30</v>
      </c>
      <c r="G327" s="8">
        <v>4</v>
      </c>
      <c r="H327" s="82">
        <f>IF(MONTH(TABLE_PIVOT[[#This Row],[Date of Call]])&lt;=6,YEAR(TABLE_PIVOT[[#This Row],[Date of Call]]),YEAR(TABLE_PIVOT[[#This Row],[Date of Call]])+1)</f>
        <v>2023</v>
      </c>
      <c r="I327" s="82" t="str">
        <f>TEXT(TABLE_PIVOT[[#This Row],[Date of Call]],"DDDD")</f>
        <v>Friday</v>
      </c>
      <c r="J327" s="82" t="str" cm="1">
        <f t="array" ref="J327">_xlfn.IFS(TABLE_PIVOT[[#This Row],[Duration]]&lt;=10,"Under 10 Mins",TABLE_PIVOT[[#This Row],[Duration]]&lt;=30,"10 to 30 Mins",TABLE_PIVOT[[#This Row],[Duration]]&lt;=60,"30 to 60 Mins",TABLE_PIVOT[[#This Row],[Duration]]&lt;=120,"1 to 2 Hours",TRUE,"More Than 2 Hours")</f>
        <v>1 to 2 Hours</v>
      </c>
      <c r="K327" s="82">
        <f>ROUND(TABLE_PIVOT[[#This Row],[Satisfaction Rating]],0)</f>
        <v>4</v>
      </c>
    </row>
    <row r="328" spans="1:11" x14ac:dyDescent="0.3">
      <c r="A328" s="8" t="s">
        <v>1954</v>
      </c>
      <c r="B328" s="8" t="s">
        <v>1613</v>
      </c>
      <c r="C328" s="8">
        <v>75</v>
      </c>
      <c r="D328" s="120" t="s">
        <v>1616</v>
      </c>
      <c r="E328" s="121">
        <v>45023</v>
      </c>
      <c r="F328" s="8">
        <v>84</v>
      </c>
      <c r="G328" s="8">
        <v>2.8</v>
      </c>
      <c r="H328" s="82">
        <f>IF(MONTH(TABLE_PIVOT[[#This Row],[Date of Call]])&lt;=6,YEAR(TABLE_PIVOT[[#This Row],[Date of Call]]),YEAR(TABLE_PIVOT[[#This Row],[Date of Call]])+1)</f>
        <v>2023</v>
      </c>
      <c r="I328" s="82" t="str">
        <f>TEXT(TABLE_PIVOT[[#This Row],[Date of Call]],"DDDD")</f>
        <v>Friday</v>
      </c>
      <c r="J328" s="82" t="str" cm="1">
        <f t="array" ref="J328">_xlfn.IFS(TABLE_PIVOT[[#This Row],[Duration]]&lt;=10,"Under 10 Mins",TABLE_PIVOT[[#This Row],[Duration]]&lt;=30,"10 to 30 Mins",TABLE_PIVOT[[#This Row],[Duration]]&lt;=60,"30 to 60 Mins",TABLE_PIVOT[[#This Row],[Duration]]&lt;=120,"1 to 2 Hours",TRUE,"More Than 2 Hours")</f>
        <v>1 to 2 Hours</v>
      </c>
      <c r="K328" s="82">
        <f>ROUND(TABLE_PIVOT[[#This Row],[Satisfaction Rating]],0)</f>
        <v>3</v>
      </c>
    </row>
    <row r="329" spans="1:11" x14ac:dyDescent="0.3">
      <c r="A329" s="8" t="s">
        <v>1955</v>
      </c>
      <c r="B329" s="8" t="s">
        <v>1682</v>
      </c>
      <c r="C329" s="8">
        <v>70</v>
      </c>
      <c r="D329" s="120" t="s">
        <v>1626</v>
      </c>
      <c r="E329" s="121">
        <v>45023</v>
      </c>
      <c r="F329" s="8">
        <v>42</v>
      </c>
      <c r="G329" s="8">
        <v>4.4000000000000004</v>
      </c>
      <c r="H329" s="82">
        <f>IF(MONTH(TABLE_PIVOT[[#This Row],[Date of Call]])&lt;=6,YEAR(TABLE_PIVOT[[#This Row],[Date of Call]]),YEAR(TABLE_PIVOT[[#This Row],[Date of Call]])+1)</f>
        <v>2023</v>
      </c>
      <c r="I329" s="82" t="str">
        <f>TEXT(TABLE_PIVOT[[#This Row],[Date of Call]],"DDDD")</f>
        <v>Friday</v>
      </c>
      <c r="J329" s="82" t="str" cm="1">
        <f t="array" ref="J329">_xlfn.IFS(TABLE_PIVOT[[#This Row],[Duration]]&lt;=10,"Under 10 Mins",TABLE_PIVOT[[#This Row],[Duration]]&lt;=30,"10 to 30 Mins",TABLE_PIVOT[[#This Row],[Duration]]&lt;=60,"30 to 60 Mins",TABLE_PIVOT[[#This Row],[Duration]]&lt;=120,"1 to 2 Hours",TRUE,"More Than 2 Hours")</f>
        <v>1 to 2 Hours</v>
      </c>
      <c r="K329" s="82">
        <f>ROUND(TABLE_PIVOT[[#This Row],[Satisfaction Rating]],0)</f>
        <v>4</v>
      </c>
    </row>
    <row r="330" spans="1:11" x14ac:dyDescent="0.3">
      <c r="A330" s="8" t="s">
        <v>1956</v>
      </c>
      <c r="B330" s="8" t="s">
        <v>1641</v>
      </c>
      <c r="C330" s="8">
        <v>23</v>
      </c>
      <c r="D330" s="120" t="s">
        <v>1630</v>
      </c>
      <c r="E330" s="121">
        <v>45023</v>
      </c>
      <c r="F330" s="8">
        <v>117</v>
      </c>
      <c r="G330" s="8">
        <v>2.4</v>
      </c>
      <c r="H330" s="82">
        <f>IF(MONTH(TABLE_PIVOT[[#This Row],[Date of Call]])&lt;=6,YEAR(TABLE_PIVOT[[#This Row],[Date of Call]]),YEAR(TABLE_PIVOT[[#This Row],[Date of Call]])+1)</f>
        <v>2023</v>
      </c>
      <c r="I330" s="82" t="str">
        <f>TEXT(TABLE_PIVOT[[#This Row],[Date of Call]],"DDDD")</f>
        <v>Friday</v>
      </c>
      <c r="J330" s="82" t="str" cm="1">
        <f t="array" ref="J330">_xlfn.IFS(TABLE_PIVOT[[#This Row],[Duration]]&lt;=10,"Under 10 Mins",TABLE_PIVOT[[#This Row],[Duration]]&lt;=30,"10 to 30 Mins",TABLE_PIVOT[[#This Row],[Duration]]&lt;=60,"30 to 60 Mins",TABLE_PIVOT[[#This Row],[Duration]]&lt;=120,"1 to 2 Hours",TRUE,"More Than 2 Hours")</f>
        <v>10 to 30 Mins</v>
      </c>
      <c r="K330" s="82">
        <f>ROUND(TABLE_PIVOT[[#This Row],[Satisfaction Rating]],0)</f>
        <v>2</v>
      </c>
    </row>
    <row r="331" spans="1:11" x14ac:dyDescent="0.3">
      <c r="A331" s="8" t="s">
        <v>1957</v>
      </c>
      <c r="B331" s="8" t="s">
        <v>1629</v>
      </c>
      <c r="C331" s="8">
        <v>104</v>
      </c>
      <c r="D331" s="120" t="s">
        <v>1621</v>
      </c>
      <c r="E331" s="121">
        <v>45023</v>
      </c>
      <c r="F331" s="8">
        <v>164</v>
      </c>
      <c r="G331" s="8">
        <v>4</v>
      </c>
      <c r="H331" s="82">
        <f>IF(MONTH(TABLE_PIVOT[[#This Row],[Date of Call]])&lt;=6,YEAR(TABLE_PIVOT[[#This Row],[Date of Call]]),YEAR(TABLE_PIVOT[[#This Row],[Date of Call]])+1)</f>
        <v>2023</v>
      </c>
      <c r="I331" s="82" t="str">
        <f>TEXT(TABLE_PIVOT[[#This Row],[Date of Call]],"DDDD")</f>
        <v>Friday</v>
      </c>
      <c r="J331" s="82" t="str" cm="1">
        <f t="array" ref="J331">_xlfn.IFS(TABLE_PIVOT[[#This Row],[Duration]]&lt;=10,"Under 10 Mins",TABLE_PIVOT[[#This Row],[Duration]]&lt;=30,"10 to 30 Mins",TABLE_PIVOT[[#This Row],[Duration]]&lt;=60,"30 to 60 Mins",TABLE_PIVOT[[#This Row],[Duration]]&lt;=120,"1 to 2 Hours",TRUE,"More Than 2 Hours")</f>
        <v>1 to 2 Hours</v>
      </c>
      <c r="K331" s="82">
        <f>ROUND(TABLE_PIVOT[[#This Row],[Satisfaction Rating]],0)</f>
        <v>4</v>
      </c>
    </row>
    <row r="332" spans="1:11" x14ac:dyDescent="0.3">
      <c r="A332" s="8" t="s">
        <v>1958</v>
      </c>
      <c r="B332" s="8" t="s">
        <v>1662</v>
      </c>
      <c r="C332" s="8">
        <v>95</v>
      </c>
      <c r="D332" s="120" t="s">
        <v>1626</v>
      </c>
      <c r="E332" s="121">
        <v>45024</v>
      </c>
      <c r="F332" s="8">
        <v>123</v>
      </c>
      <c r="G332" s="8">
        <v>4.4000000000000004</v>
      </c>
      <c r="H332" s="82">
        <f>IF(MONTH(TABLE_PIVOT[[#This Row],[Date of Call]])&lt;=6,YEAR(TABLE_PIVOT[[#This Row],[Date of Call]]),YEAR(TABLE_PIVOT[[#This Row],[Date of Call]])+1)</f>
        <v>2023</v>
      </c>
      <c r="I332" s="82" t="str">
        <f>TEXT(TABLE_PIVOT[[#This Row],[Date of Call]],"DDDD")</f>
        <v>Saturday</v>
      </c>
      <c r="J332" s="82" t="str" cm="1">
        <f t="array" ref="J332">_xlfn.IFS(TABLE_PIVOT[[#This Row],[Duration]]&lt;=10,"Under 10 Mins",TABLE_PIVOT[[#This Row],[Duration]]&lt;=30,"10 to 30 Mins",TABLE_PIVOT[[#This Row],[Duration]]&lt;=60,"30 to 60 Mins",TABLE_PIVOT[[#This Row],[Duration]]&lt;=120,"1 to 2 Hours",TRUE,"More Than 2 Hours")</f>
        <v>1 to 2 Hours</v>
      </c>
      <c r="K332" s="82">
        <f>ROUND(TABLE_PIVOT[[#This Row],[Satisfaction Rating]],0)</f>
        <v>4</v>
      </c>
    </row>
    <row r="333" spans="1:11" x14ac:dyDescent="0.3">
      <c r="A333" s="8" t="s">
        <v>1959</v>
      </c>
      <c r="B333" s="8" t="s">
        <v>1620</v>
      </c>
      <c r="C333" s="8">
        <v>49</v>
      </c>
      <c r="D333" s="120" t="s">
        <v>1611</v>
      </c>
      <c r="E333" s="121">
        <v>45024</v>
      </c>
      <c r="F333" s="8">
        <v>172</v>
      </c>
      <c r="G333" s="8">
        <v>2.9</v>
      </c>
      <c r="H333" s="82">
        <f>IF(MONTH(TABLE_PIVOT[[#This Row],[Date of Call]])&lt;=6,YEAR(TABLE_PIVOT[[#This Row],[Date of Call]]),YEAR(TABLE_PIVOT[[#This Row],[Date of Call]])+1)</f>
        <v>2023</v>
      </c>
      <c r="I333" s="82" t="str">
        <f>TEXT(TABLE_PIVOT[[#This Row],[Date of Call]],"DDDD")</f>
        <v>Saturday</v>
      </c>
      <c r="J333" s="82" t="str" cm="1">
        <f t="array" ref="J333">_xlfn.IFS(TABLE_PIVOT[[#This Row],[Duration]]&lt;=10,"Under 10 Mins",TABLE_PIVOT[[#This Row],[Duration]]&lt;=30,"10 to 30 Mins",TABLE_PIVOT[[#This Row],[Duration]]&lt;=60,"30 to 60 Mins",TABLE_PIVOT[[#This Row],[Duration]]&lt;=120,"1 to 2 Hours",TRUE,"More Than 2 Hours")</f>
        <v>30 to 60 Mins</v>
      </c>
      <c r="K333" s="82">
        <f>ROUND(TABLE_PIVOT[[#This Row],[Satisfaction Rating]],0)</f>
        <v>3</v>
      </c>
    </row>
    <row r="334" spans="1:11" x14ac:dyDescent="0.3">
      <c r="A334" s="8" t="s">
        <v>1960</v>
      </c>
      <c r="B334" s="8" t="s">
        <v>1652</v>
      </c>
      <c r="C334" s="8">
        <v>8</v>
      </c>
      <c r="D334" s="120" t="s">
        <v>1630</v>
      </c>
      <c r="E334" s="121">
        <v>45024</v>
      </c>
      <c r="F334" s="8">
        <v>20</v>
      </c>
      <c r="G334" s="8">
        <v>4.8</v>
      </c>
      <c r="H334" s="82">
        <f>IF(MONTH(TABLE_PIVOT[[#This Row],[Date of Call]])&lt;=6,YEAR(TABLE_PIVOT[[#This Row],[Date of Call]]),YEAR(TABLE_PIVOT[[#This Row],[Date of Call]])+1)</f>
        <v>2023</v>
      </c>
      <c r="I334" s="82" t="str">
        <f>TEXT(TABLE_PIVOT[[#This Row],[Date of Call]],"DDDD")</f>
        <v>Saturday</v>
      </c>
      <c r="J334" s="82" t="str" cm="1">
        <f t="array" ref="J334">_xlfn.IFS(TABLE_PIVOT[[#This Row],[Duration]]&lt;=10,"Under 10 Mins",TABLE_PIVOT[[#This Row],[Duration]]&lt;=30,"10 to 30 Mins",TABLE_PIVOT[[#This Row],[Duration]]&lt;=60,"30 to 60 Mins",TABLE_PIVOT[[#This Row],[Duration]]&lt;=120,"1 to 2 Hours",TRUE,"More Than 2 Hours")</f>
        <v>Under 10 Mins</v>
      </c>
      <c r="K334" s="82">
        <f>ROUND(TABLE_PIVOT[[#This Row],[Satisfaction Rating]],0)</f>
        <v>5</v>
      </c>
    </row>
    <row r="335" spans="1:11" x14ac:dyDescent="0.3">
      <c r="A335" s="8" t="s">
        <v>1961</v>
      </c>
      <c r="B335" s="8" t="s">
        <v>1662</v>
      </c>
      <c r="C335" s="8">
        <v>157</v>
      </c>
      <c r="D335" s="120" t="s">
        <v>1611</v>
      </c>
      <c r="E335" s="121">
        <v>45024</v>
      </c>
      <c r="F335" s="8">
        <v>72</v>
      </c>
      <c r="G335" s="8">
        <v>3.7</v>
      </c>
      <c r="H335" s="82">
        <f>IF(MONTH(TABLE_PIVOT[[#This Row],[Date of Call]])&lt;=6,YEAR(TABLE_PIVOT[[#This Row],[Date of Call]]),YEAR(TABLE_PIVOT[[#This Row],[Date of Call]])+1)</f>
        <v>2023</v>
      </c>
      <c r="I335" s="82" t="str">
        <f>TEXT(TABLE_PIVOT[[#This Row],[Date of Call]],"DDDD")</f>
        <v>Saturday</v>
      </c>
      <c r="J335" s="82" t="str" cm="1">
        <f t="array" ref="J335">_xlfn.IFS(TABLE_PIVOT[[#This Row],[Duration]]&lt;=10,"Under 10 Mins",TABLE_PIVOT[[#This Row],[Duration]]&lt;=30,"10 to 30 Mins",TABLE_PIVOT[[#This Row],[Duration]]&lt;=60,"30 to 60 Mins",TABLE_PIVOT[[#This Row],[Duration]]&lt;=120,"1 to 2 Hours",TRUE,"More Than 2 Hours")</f>
        <v>More Than 2 Hours</v>
      </c>
      <c r="K335" s="82">
        <f>ROUND(TABLE_PIVOT[[#This Row],[Satisfaction Rating]],0)</f>
        <v>4</v>
      </c>
    </row>
    <row r="336" spans="1:11" x14ac:dyDescent="0.3">
      <c r="A336" s="8" t="s">
        <v>1962</v>
      </c>
      <c r="B336" s="8" t="s">
        <v>1615</v>
      </c>
      <c r="C336" s="8">
        <v>74</v>
      </c>
      <c r="D336" s="120" t="s">
        <v>1616</v>
      </c>
      <c r="E336" s="121">
        <v>45024</v>
      </c>
      <c r="F336" s="8">
        <v>32</v>
      </c>
      <c r="G336" s="8">
        <v>4.8</v>
      </c>
      <c r="H336" s="82">
        <f>IF(MONTH(TABLE_PIVOT[[#This Row],[Date of Call]])&lt;=6,YEAR(TABLE_PIVOT[[#This Row],[Date of Call]]),YEAR(TABLE_PIVOT[[#This Row],[Date of Call]])+1)</f>
        <v>2023</v>
      </c>
      <c r="I336" s="82" t="str">
        <f>TEXT(TABLE_PIVOT[[#This Row],[Date of Call]],"DDDD")</f>
        <v>Saturday</v>
      </c>
      <c r="J336" s="82" t="str" cm="1">
        <f t="array" ref="J336">_xlfn.IFS(TABLE_PIVOT[[#This Row],[Duration]]&lt;=10,"Under 10 Mins",TABLE_PIVOT[[#This Row],[Duration]]&lt;=30,"10 to 30 Mins",TABLE_PIVOT[[#This Row],[Duration]]&lt;=60,"30 to 60 Mins",TABLE_PIVOT[[#This Row],[Duration]]&lt;=120,"1 to 2 Hours",TRUE,"More Than 2 Hours")</f>
        <v>1 to 2 Hours</v>
      </c>
      <c r="K336" s="82">
        <f>ROUND(TABLE_PIVOT[[#This Row],[Satisfaction Rating]],0)</f>
        <v>5</v>
      </c>
    </row>
    <row r="337" spans="1:11" x14ac:dyDescent="0.3">
      <c r="A337" s="8" t="s">
        <v>1963</v>
      </c>
      <c r="B337" s="8" t="s">
        <v>1641</v>
      </c>
      <c r="C337" s="8">
        <v>72</v>
      </c>
      <c r="D337" s="120" t="s">
        <v>1626</v>
      </c>
      <c r="E337" s="121">
        <v>45024</v>
      </c>
      <c r="F337" s="8">
        <v>140</v>
      </c>
      <c r="G337" s="8">
        <v>3.2</v>
      </c>
      <c r="H337" s="82">
        <f>IF(MONTH(TABLE_PIVOT[[#This Row],[Date of Call]])&lt;=6,YEAR(TABLE_PIVOT[[#This Row],[Date of Call]]),YEAR(TABLE_PIVOT[[#This Row],[Date of Call]])+1)</f>
        <v>2023</v>
      </c>
      <c r="I337" s="82" t="str">
        <f>TEXT(TABLE_PIVOT[[#This Row],[Date of Call]],"DDDD")</f>
        <v>Saturday</v>
      </c>
      <c r="J337" s="82" t="str" cm="1">
        <f t="array" ref="J337">_xlfn.IFS(TABLE_PIVOT[[#This Row],[Duration]]&lt;=10,"Under 10 Mins",TABLE_PIVOT[[#This Row],[Duration]]&lt;=30,"10 to 30 Mins",TABLE_PIVOT[[#This Row],[Duration]]&lt;=60,"30 to 60 Mins",TABLE_PIVOT[[#This Row],[Duration]]&lt;=120,"1 to 2 Hours",TRUE,"More Than 2 Hours")</f>
        <v>1 to 2 Hours</v>
      </c>
      <c r="K337" s="82">
        <f>ROUND(TABLE_PIVOT[[#This Row],[Satisfaction Rating]],0)</f>
        <v>3</v>
      </c>
    </row>
    <row r="338" spans="1:11" x14ac:dyDescent="0.3">
      <c r="A338" s="8" t="s">
        <v>1964</v>
      </c>
      <c r="B338" s="8" t="s">
        <v>1615</v>
      </c>
      <c r="C338" s="8">
        <v>79</v>
      </c>
      <c r="D338" s="120" t="s">
        <v>1616</v>
      </c>
      <c r="E338" s="121">
        <v>45025</v>
      </c>
      <c r="F338" s="8">
        <v>120</v>
      </c>
      <c r="G338" s="8">
        <v>4.9000000000000004</v>
      </c>
      <c r="H338" s="82">
        <f>IF(MONTH(TABLE_PIVOT[[#This Row],[Date of Call]])&lt;=6,YEAR(TABLE_PIVOT[[#This Row],[Date of Call]]),YEAR(TABLE_PIVOT[[#This Row],[Date of Call]])+1)</f>
        <v>2023</v>
      </c>
      <c r="I338" s="82" t="str">
        <f>TEXT(TABLE_PIVOT[[#This Row],[Date of Call]],"DDDD")</f>
        <v>Sunday</v>
      </c>
      <c r="J338" s="82" t="str" cm="1">
        <f t="array" ref="J338">_xlfn.IFS(TABLE_PIVOT[[#This Row],[Duration]]&lt;=10,"Under 10 Mins",TABLE_PIVOT[[#This Row],[Duration]]&lt;=30,"10 to 30 Mins",TABLE_PIVOT[[#This Row],[Duration]]&lt;=60,"30 to 60 Mins",TABLE_PIVOT[[#This Row],[Duration]]&lt;=120,"1 to 2 Hours",TRUE,"More Than 2 Hours")</f>
        <v>1 to 2 Hours</v>
      </c>
      <c r="K338" s="82">
        <f>ROUND(TABLE_PIVOT[[#This Row],[Satisfaction Rating]],0)</f>
        <v>5</v>
      </c>
    </row>
    <row r="339" spans="1:11" x14ac:dyDescent="0.3">
      <c r="A339" s="8" t="s">
        <v>1965</v>
      </c>
      <c r="B339" s="8" t="s">
        <v>1649</v>
      </c>
      <c r="C339" s="8">
        <v>23</v>
      </c>
      <c r="D339" s="120" t="s">
        <v>1616</v>
      </c>
      <c r="E339" s="121">
        <v>45025</v>
      </c>
      <c r="F339" s="8">
        <v>86</v>
      </c>
      <c r="G339" s="8">
        <v>2.2000000000000002</v>
      </c>
      <c r="H339" s="82">
        <f>IF(MONTH(TABLE_PIVOT[[#This Row],[Date of Call]])&lt;=6,YEAR(TABLE_PIVOT[[#This Row],[Date of Call]]),YEAR(TABLE_PIVOT[[#This Row],[Date of Call]])+1)</f>
        <v>2023</v>
      </c>
      <c r="I339" s="82" t="str">
        <f>TEXT(TABLE_PIVOT[[#This Row],[Date of Call]],"DDDD")</f>
        <v>Sunday</v>
      </c>
      <c r="J339" s="82" t="str" cm="1">
        <f t="array" ref="J339">_xlfn.IFS(TABLE_PIVOT[[#This Row],[Duration]]&lt;=10,"Under 10 Mins",TABLE_PIVOT[[#This Row],[Duration]]&lt;=30,"10 to 30 Mins",TABLE_PIVOT[[#This Row],[Duration]]&lt;=60,"30 to 60 Mins",TABLE_PIVOT[[#This Row],[Duration]]&lt;=120,"1 to 2 Hours",TRUE,"More Than 2 Hours")</f>
        <v>10 to 30 Mins</v>
      </c>
      <c r="K339" s="82">
        <f>ROUND(TABLE_PIVOT[[#This Row],[Satisfaction Rating]],0)</f>
        <v>2</v>
      </c>
    </row>
    <row r="340" spans="1:11" x14ac:dyDescent="0.3">
      <c r="A340" s="8" t="s">
        <v>1966</v>
      </c>
      <c r="B340" s="8" t="s">
        <v>1613</v>
      </c>
      <c r="C340" s="8">
        <v>69</v>
      </c>
      <c r="D340" s="120" t="s">
        <v>1616</v>
      </c>
      <c r="E340" s="121">
        <v>45025</v>
      </c>
      <c r="F340" s="8">
        <v>132</v>
      </c>
      <c r="G340" s="8">
        <v>5</v>
      </c>
      <c r="H340" s="82">
        <f>IF(MONTH(TABLE_PIVOT[[#This Row],[Date of Call]])&lt;=6,YEAR(TABLE_PIVOT[[#This Row],[Date of Call]]),YEAR(TABLE_PIVOT[[#This Row],[Date of Call]])+1)</f>
        <v>2023</v>
      </c>
      <c r="I340" s="82" t="str">
        <f>TEXT(TABLE_PIVOT[[#This Row],[Date of Call]],"DDDD")</f>
        <v>Sunday</v>
      </c>
      <c r="J340" s="82" t="str" cm="1">
        <f t="array" ref="J340">_xlfn.IFS(TABLE_PIVOT[[#This Row],[Duration]]&lt;=10,"Under 10 Mins",TABLE_PIVOT[[#This Row],[Duration]]&lt;=30,"10 to 30 Mins",TABLE_PIVOT[[#This Row],[Duration]]&lt;=60,"30 to 60 Mins",TABLE_PIVOT[[#This Row],[Duration]]&lt;=120,"1 to 2 Hours",TRUE,"More Than 2 Hours")</f>
        <v>1 to 2 Hours</v>
      </c>
      <c r="K340" s="82">
        <f>ROUND(TABLE_PIVOT[[#This Row],[Satisfaction Rating]],0)</f>
        <v>5</v>
      </c>
    </row>
    <row r="341" spans="1:11" x14ac:dyDescent="0.3">
      <c r="A341" s="8" t="s">
        <v>1967</v>
      </c>
      <c r="B341" s="8" t="s">
        <v>1644</v>
      </c>
      <c r="C341" s="8">
        <v>64</v>
      </c>
      <c r="D341" s="120" t="s">
        <v>1616</v>
      </c>
      <c r="E341" s="121">
        <v>45025</v>
      </c>
      <c r="F341" s="8">
        <v>80</v>
      </c>
      <c r="G341" s="8">
        <v>3.3</v>
      </c>
      <c r="H341" s="82">
        <f>IF(MONTH(TABLE_PIVOT[[#This Row],[Date of Call]])&lt;=6,YEAR(TABLE_PIVOT[[#This Row],[Date of Call]]),YEAR(TABLE_PIVOT[[#This Row],[Date of Call]])+1)</f>
        <v>2023</v>
      </c>
      <c r="I341" s="82" t="str">
        <f>TEXT(TABLE_PIVOT[[#This Row],[Date of Call]],"DDDD")</f>
        <v>Sunday</v>
      </c>
      <c r="J341" s="82" t="str" cm="1">
        <f t="array" ref="J341">_xlfn.IFS(TABLE_PIVOT[[#This Row],[Duration]]&lt;=10,"Under 10 Mins",TABLE_PIVOT[[#This Row],[Duration]]&lt;=30,"10 to 30 Mins",TABLE_PIVOT[[#This Row],[Duration]]&lt;=60,"30 to 60 Mins",TABLE_PIVOT[[#This Row],[Duration]]&lt;=120,"1 to 2 Hours",TRUE,"More Than 2 Hours")</f>
        <v>1 to 2 Hours</v>
      </c>
      <c r="K341" s="82">
        <f>ROUND(TABLE_PIVOT[[#This Row],[Satisfaction Rating]],0)</f>
        <v>3</v>
      </c>
    </row>
    <row r="342" spans="1:11" x14ac:dyDescent="0.3">
      <c r="A342" s="8" t="s">
        <v>1968</v>
      </c>
      <c r="B342" s="8" t="s">
        <v>1635</v>
      </c>
      <c r="C342" s="8">
        <v>47</v>
      </c>
      <c r="D342" s="120" t="s">
        <v>1611</v>
      </c>
      <c r="E342" s="121">
        <v>45025</v>
      </c>
      <c r="F342" s="8">
        <v>132</v>
      </c>
      <c r="G342" s="8">
        <v>3.7</v>
      </c>
      <c r="H342" s="82">
        <f>IF(MONTH(TABLE_PIVOT[[#This Row],[Date of Call]])&lt;=6,YEAR(TABLE_PIVOT[[#This Row],[Date of Call]]),YEAR(TABLE_PIVOT[[#This Row],[Date of Call]])+1)</f>
        <v>2023</v>
      </c>
      <c r="I342" s="82" t="str">
        <f>TEXT(TABLE_PIVOT[[#This Row],[Date of Call]],"DDDD")</f>
        <v>Sunday</v>
      </c>
      <c r="J342" s="82" t="str" cm="1">
        <f t="array" ref="J342">_xlfn.IFS(TABLE_PIVOT[[#This Row],[Duration]]&lt;=10,"Under 10 Mins",TABLE_PIVOT[[#This Row],[Duration]]&lt;=30,"10 to 30 Mins",TABLE_PIVOT[[#This Row],[Duration]]&lt;=60,"30 to 60 Mins",TABLE_PIVOT[[#This Row],[Duration]]&lt;=120,"1 to 2 Hours",TRUE,"More Than 2 Hours")</f>
        <v>30 to 60 Mins</v>
      </c>
      <c r="K342" s="82">
        <f>ROUND(TABLE_PIVOT[[#This Row],[Satisfaction Rating]],0)</f>
        <v>4</v>
      </c>
    </row>
    <row r="343" spans="1:11" x14ac:dyDescent="0.3">
      <c r="A343" s="8" t="s">
        <v>1969</v>
      </c>
      <c r="B343" s="8" t="s">
        <v>1615</v>
      </c>
      <c r="C343" s="8">
        <v>55</v>
      </c>
      <c r="D343" s="120" t="s">
        <v>1626</v>
      </c>
      <c r="E343" s="121">
        <v>45025</v>
      </c>
      <c r="F343" s="8">
        <v>27</v>
      </c>
      <c r="G343" s="8">
        <v>3.7</v>
      </c>
      <c r="H343" s="82">
        <f>IF(MONTH(TABLE_PIVOT[[#This Row],[Date of Call]])&lt;=6,YEAR(TABLE_PIVOT[[#This Row],[Date of Call]]),YEAR(TABLE_PIVOT[[#This Row],[Date of Call]])+1)</f>
        <v>2023</v>
      </c>
      <c r="I343" s="82" t="str">
        <f>TEXT(TABLE_PIVOT[[#This Row],[Date of Call]],"DDDD")</f>
        <v>Sunday</v>
      </c>
      <c r="J343" s="82" t="str" cm="1">
        <f t="array" ref="J343">_xlfn.IFS(TABLE_PIVOT[[#This Row],[Duration]]&lt;=10,"Under 10 Mins",TABLE_PIVOT[[#This Row],[Duration]]&lt;=30,"10 to 30 Mins",TABLE_PIVOT[[#This Row],[Duration]]&lt;=60,"30 to 60 Mins",TABLE_PIVOT[[#This Row],[Duration]]&lt;=120,"1 to 2 Hours",TRUE,"More Than 2 Hours")</f>
        <v>30 to 60 Mins</v>
      </c>
      <c r="K343" s="82">
        <f>ROUND(TABLE_PIVOT[[#This Row],[Satisfaction Rating]],0)</f>
        <v>4</v>
      </c>
    </row>
    <row r="344" spans="1:11" x14ac:dyDescent="0.3">
      <c r="A344" s="8" t="s">
        <v>1970</v>
      </c>
      <c r="B344" s="8" t="s">
        <v>1629</v>
      </c>
      <c r="C344" s="8">
        <v>104</v>
      </c>
      <c r="D344" s="120" t="s">
        <v>1626</v>
      </c>
      <c r="E344" s="121">
        <v>45026</v>
      </c>
      <c r="F344" s="8">
        <v>68</v>
      </c>
      <c r="G344" s="8">
        <v>3.6</v>
      </c>
      <c r="H344" s="82">
        <f>IF(MONTH(TABLE_PIVOT[[#This Row],[Date of Call]])&lt;=6,YEAR(TABLE_PIVOT[[#This Row],[Date of Call]]),YEAR(TABLE_PIVOT[[#This Row],[Date of Call]])+1)</f>
        <v>2023</v>
      </c>
      <c r="I344" s="82" t="str">
        <f>TEXT(TABLE_PIVOT[[#This Row],[Date of Call]],"DDDD")</f>
        <v>Monday</v>
      </c>
      <c r="J344" s="82" t="str" cm="1">
        <f t="array" ref="J344">_xlfn.IFS(TABLE_PIVOT[[#This Row],[Duration]]&lt;=10,"Under 10 Mins",TABLE_PIVOT[[#This Row],[Duration]]&lt;=30,"10 to 30 Mins",TABLE_PIVOT[[#This Row],[Duration]]&lt;=60,"30 to 60 Mins",TABLE_PIVOT[[#This Row],[Duration]]&lt;=120,"1 to 2 Hours",TRUE,"More Than 2 Hours")</f>
        <v>1 to 2 Hours</v>
      </c>
      <c r="K344" s="82">
        <f>ROUND(TABLE_PIVOT[[#This Row],[Satisfaction Rating]],0)</f>
        <v>4</v>
      </c>
    </row>
    <row r="345" spans="1:11" x14ac:dyDescent="0.3">
      <c r="A345" s="8" t="s">
        <v>1971</v>
      </c>
      <c r="B345" s="8" t="s">
        <v>1635</v>
      </c>
      <c r="C345" s="8">
        <v>116</v>
      </c>
      <c r="D345" s="120" t="s">
        <v>1616</v>
      </c>
      <c r="E345" s="121">
        <v>45026</v>
      </c>
      <c r="F345" s="8">
        <v>22</v>
      </c>
      <c r="G345" s="8">
        <v>4.7</v>
      </c>
      <c r="H345" s="82">
        <f>IF(MONTH(TABLE_PIVOT[[#This Row],[Date of Call]])&lt;=6,YEAR(TABLE_PIVOT[[#This Row],[Date of Call]]),YEAR(TABLE_PIVOT[[#This Row],[Date of Call]])+1)</f>
        <v>2023</v>
      </c>
      <c r="I345" s="82" t="str">
        <f>TEXT(TABLE_PIVOT[[#This Row],[Date of Call]],"DDDD")</f>
        <v>Monday</v>
      </c>
      <c r="J345" s="82" t="str" cm="1">
        <f t="array" ref="J345">_xlfn.IFS(TABLE_PIVOT[[#This Row],[Duration]]&lt;=10,"Under 10 Mins",TABLE_PIVOT[[#This Row],[Duration]]&lt;=30,"10 to 30 Mins",TABLE_PIVOT[[#This Row],[Duration]]&lt;=60,"30 to 60 Mins",TABLE_PIVOT[[#This Row],[Duration]]&lt;=120,"1 to 2 Hours",TRUE,"More Than 2 Hours")</f>
        <v>1 to 2 Hours</v>
      </c>
      <c r="K345" s="82">
        <f>ROUND(TABLE_PIVOT[[#This Row],[Satisfaction Rating]],0)</f>
        <v>5</v>
      </c>
    </row>
    <row r="346" spans="1:11" x14ac:dyDescent="0.3">
      <c r="A346" s="8" t="s">
        <v>1972</v>
      </c>
      <c r="B346" s="8" t="s">
        <v>1649</v>
      </c>
      <c r="C346" s="8">
        <v>99</v>
      </c>
      <c r="D346" s="120" t="s">
        <v>1626</v>
      </c>
      <c r="E346" s="121">
        <v>45026</v>
      </c>
      <c r="F346" s="8">
        <v>42</v>
      </c>
      <c r="G346" s="8">
        <v>3.1</v>
      </c>
      <c r="H346" s="82">
        <f>IF(MONTH(TABLE_PIVOT[[#This Row],[Date of Call]])&lt;=6,YEAR(TABLE_PIVOT[[#This Row],[Date of Call]]),YEAR(TABLE_PIVOT[[#This Row],[Date of Call]])+1)</f>
        <v>2023</v>
      </c>
      <c r="I346" s="82" t="str">
        <f>TEXT(TABLE_PIVOT[[#This Row],[Date of Call]],"DDDD")</f>
        <v>Monday</v>
      </c>
      <c r="J346" s="82" t="str" cm="1">
        <f t="array" ref="J346">_xlfn.IFS(TABLE_PIVOT[[#This Row],[Duration]]&lt;=10,"Under 10 Mins",TABLE_PIVOT[[#This Row],[Duration]]&lt;=30,"10 to 30 Mins",TABLE_PIVOT[[#This Row],[Duration]]&lt;=60,"30 to 60 Mins",TABLE_PIVOT[[#This Row],[Duration]]&lt;=120,"1 to 2 Hours",TRUE,"More Than 2 Hours")</f>
        <v>1 to 2 Hours</v>
      </c>
      <c r="K346" s="82">
        <f>ROUND(TABLE_PIVOT[[#This Row],[Satisfaction Rating]],0)</f>
        <v>3</v>
      </c>
    </row>
    <row r="347" spans="1:11" x14ac:dyDescent="0.3">
      <c r="A347" s="8" t="s">
        <v>1973</v>
      </c>
      <c r="B347" s="8" t="s">
        <v>1629</v>
      </c>
      <c r="C347" s="8">
        <v>84</v>
      </c>
      <c r="D347" s="120" t="s">
        <v>1626</v>
      </c>
      <c r="E347" s="121">
        <v>45027</v>
      </c>
      <c r="F347" s="8">
        <v>38</v>
      </c>
      <c r="G347" s="8">
        <v>3.3</v>
      </c>
      <c r="H347" s="82">
        <f>IF(MONTH(TABLE_PIVOT[[#This Row],[Date of Call]])&lt;=6,YEAR(TABLE_PIVOT[[#This Row],[Date of Call]]),YEAR(TABLE_PIVOT[[#This Row],[Date of Call]])+1)</f>
        <v>2023</v>
      </c>
      <c r="I347" s="82" t="str">
        <f>TEXT(TABLE_PIVOT[[#This Row],[Date of Call]],"DDDD")</f>
        <v>Tuesday</v>
      </c>
      <c r="J347" s="82" t="str" cm="1">
        <f t="array" ref="J347">_xlfn.IFS(TABLE_PIVOT[[#This Row],[Duration]]&lt;=10,"Under 10 Mins",TABLE_PIVOT[[#This Row],[Duration]]&lt;=30,"10 to 30 Mins",TABLE_PIVOT[[#This Row],[Duration]]&lt;=60,"30 to 60 Mins",TABLE_PIVOT[[#This Row],[Duration]]&lt;=120,"1 to 2 Hours",TRUE,"More Than 2 Hours")</f>
        <v>1 to 2 Hours</v>
      </c>
      <c r="K347" s="82">
        <f>ROUND(TABLE_PIVOT[[#This Row],[Satisfaction Rating]],0)</f>
        <v>3</v>
      </c>
    </row>
    <row r="348" spans="1:11" x14ac:dyDescent="0.3">
      <c r="A348" s="8" t="s">
        <v>1974</v>
      </c>
      <c r="B348" s="8" t="s">
        <v>1652</v>
      </c>
      <c r="C348" s="8">
        <v>159</v>
      </c>
      <c r="D348" s="120" t="s">
        <v>1626</v>
      </c>
      <c r="E348" s="121">
        <v>45027</v>
      </c>
      <c r="F348" s="8">
        <v>42</v>
      </c>
      <c r="G348" s="8">
        <v>4.5</v>
      </c>
      <c r="H348" s="82">
        <f>IF(MONTH(TABLE_PIVOT[[#This Row],[Date of Call]])&lt;=6,YEAR(TABLE_PIVOT[[#This Row],[Date of Call]]),YEAR(TABLE_PIVOT[[#This Row],[Date of Call]])+1)</f>
        <v>2023</v>
      </c>
      <c r="I348" s="82" t="str">
        <f>TEXT(TABLE_PIVOT[[#This Row],[Date of Call]],"DDDD")</f>
        <v>Tuesday</v>
      </c>
      <c r="J348" s="82" t="str" cm="1">
        <f t="array" ref="J348">_xlfn.IFS(TABLE_PIVOT[[#This Row],[Duration]]&lt;=10,"Under 10 Mins",TABLE_PIVOT[[#This Row],[Duration]]&lt;=30,"10 to 30 Mins",TABLE_PIVOT[[#This Row],[Duration]]&lt;=60,"30 to 60 Mins",TABLE_PIVOT[[#This Row],[Duration]]&lt;=120,"1 to 2 Hours",TRUE,"More Than 2 Hours")</f>
        <v>More Than 2 Hours</v>
      </c>
      <c r="K348" s="82">
        <f>ROUND(TABLE_PIVOT[[#This Row],[Satisfaction Rating]],0)</f>
        <v>5</v>
      </c>
    </row>
    <row r="349" spans="1:11" x14ac:dyDescent="0.3">
      <c r="A349" s="8" t="s">
        <v>1975</v>
      </c>
      <c r="B349" s="8" t="s">
        <v>1624</v>
      </c>
      <c r="C349" s="8">
        <v>25</v>
      </c>
      <c r="D349" s="120" t="s">
        <v>1611</v>
      </c>
      <c r="E349" s="121">
        <v>45027</v>
      </c>
      <c r="F349" s="8">
        <v>75</v>
      </c>
      <c r="G349" s="8">
        <v>3.9</v>
      </c>
      <c r="H349" s="82">
        <f>IF(MONTH(TABLE_PIVOT[[#This Row],[Date of Call]])&lt;=6,YEAR(TABLE_PIVOT[[#This Row],[Date of Call]]),YEAR(TABLE_PIVOT[[#This Row],[Date of Call]])+1)</f>
        <v>2023</v>
      </c>
      <c r="I349" s="82" t="str">
        <f>TEXT(TABLE_PIVOT[[#This Row],[Date of Call]],"DDDD")</f>
        <v>Tuesday</v>
      </c>
      <c r="J349" s="82" t="str" cm="1">
        <f t="array" ref="J349">_xlfn.IFS(TABLE_PIVOT[[#This Row],[Duration]]&lt;=10,"Under 10 Mins",TABLE_PIVOT[[#This Row],[Duration]]&lt;=30,"10 to 30 Mins",TABLE_PIVOT[[#This Row],[Duration]]&lt;=60,"30 to 60 Mins",TABLE_PIVOT[[#This Row],[Duration]]&lt;=120,"1 to 2 Hours",TRUE,"More Than 2 Hours")</f>
        <v>10 to 30 Mins</v>
      </c>
      <c r="K349" s="82">
        <f>ROUND(TABLE_PIVOT[[#This Row],[Satisfaction Rating]],0)</f>
        <v>4</v>
      </c>
    </row>
    <row r="350" spans="1:11" x14ac:dyDescent="0.3">
      <c r="A350" s="8" t="s">
        <v>1976</v>
      </c>
      <c r="B350" s="8" t="s">
        <v>1652</v>
      </c>
      <c r="C350" s="8">
        <v>53</v>
      </c>
      <c r="D350" s="120" t="s">
        <v>1630</v>
      </c>
      <c r="E350" s="121">
        <v>45028</v>
      </c>
      <c r="F350" s="8">
        <v>23</v>
      </c>
      <c r="G350" s="8">
        <v>4.9000000000000004</v>
      </c>
      <c r="H350" s="82">
        <f>IF(MONTH(TABLE_PIVOT[[#This Row],[Date of Call]])&lt;=6,YEAR(TABLE_PIVOT[[#This Row],[Date of Call]]),YEAR(TABLE_PIVOT[[#This Row],[Date of Call]])+1)</f>
        <v>2023</v>
      </c>
      <c r="I350" s="82" t="str">
        <f>TEXT(TABLE_PIVOT[[#This Row],[Date of Call]],"DDDD")</f>
        <v>Wednesday</v>
      </c>
      <c r="J350" s="82" t="str" cm="1">
        <f t="array" ref="J350">_xlfn.IFS(TABLE_PIVOT[[#This Row],[Duration]]&lt;=10,"Under 10 Mins",TABLE_PIVOT[[#This Row],[Duration]]&lt;=30,"10 to 30 Mins",TABLE_PIVOT[[#This Row],[Duration]]&lt;=60,"30 to 60 Mins",TABLE_PIVOT[[#This Row],[Duration]]&lt;=120,"1 to 2 Hours",TRUE,"More Than 2 Hours")</f>
        <v>30 to 60 Mins</v>
      </c>
      <c r="K350" s="82">
        <f>ROUND(TABLE_PIVOT[[#This Row],[Satisfaction Rating]],0)</f>
        <v>5</v>
      </c>
    </row>
    <row r="351" spans="1:11" x14ac:dyDescent="0.3">
      <c r="A351" s="8" t="s">
        <v>1977</v>
      </c>
      <c r="B351" s="8" t="s">
        <v>1652</v>
      </c>
      <c r="C351" s="8">
        <v>89</v>
      </c>
      <c r="D351" s="120" t="s">
        <v>1611</v>
      </c>
      <c r="E351" s="121">
        <v>45028</v>
      </c>
      <c r="F351" s="8">
        <v>200</v>
      </c>
      <c r="G351" s="8">
        <v>4.8</v>
      </c>
      <c r="H351" s="82">
        <f>IF(MONTH(TABLE_PIVOT[[#This Row],[Date of Call]])&lt;=6,YEAR(TABLE_PIVOT[[#This Row],[Date of Call]]),YEAR(TABLE_PIVOT[[#This Row],[Date of Call]])+1)</f>
        <v>2023</v>
      </c>
      <c r="I351" s="82" t="str">
        <f>TEXT(TABLE_PIVOT[[#This Row],[Date of Call]],"DDDD")</f>
        <v>Wednesday</v>
      </c>
      <c r="J351" s="82" t="str" cm="1">
        <f t="array" ref="J351">_xlfn.IFS(TABLE_PIVOT[[#This Row],[Duration]]&lt;=10,"Under 10 Mins",TABLE_PIVOT[[#This Row],[Duration]]&lt;=30,"10 to 30 Mins",TABLE_PIVOT[[#This Row],[Duration]]&lt;=60,"30 to 60 Mins",TABLE_PIVOT[[#This Row],[Duration]]&lt;=120,"1 to 2 Hours",TRUE,"More Than 2 Hours")</f>
        <v>1 to 2 Hours</v>
      </c>
      <c r="K351" s="82">
        <f>ROUND(TABLE_PIVOT[[#This Row],[Satisfaction Rating]],0)</f>
        <v>5</v>
      </c>
    </row>
    <row r="352" spans="1:11" x14ac:dyDescent="0.3">
      <c r="A352" s="8" t="s">
        <v>1978</v>
      </c>
      <c r="B352" s="8" t="s">
        <v>1618</v>
      </c>
      <c r="C352" s="8">
        <v>73</v>
      </c>
      <c r="D352" s="120" t="s">
        <v>1616</v>
      </c>
      <c r="E352" s="121">
        <v>45029</v>
      </c>
      <c r="F352" s="8">
        <v>45</v>
      </c>
      <c r="G352" s="8">
        <v>3.6</v>
      </c>
      <c r="H352" s="82">
        <f>IF(MONTH(TABLE_PIVOT[[#This Row],[Date of Call]])&lt;=6,YEAR(TABLE_PIVOT[[#This Row],[Date of Call]]),YEAR(TABLE_PIVOT[[#This Row],[Date of Call]])+1)</f>
        <v>2023</v>
      </c>
      <c r="I352" s="82" t="str">
        <f>TEXT(TABLE_PIVOT[[#This Row],[Date of Call]],"DDDD")</f>
        <v>Thursday</v>
      </c>
      <c r="J352" s="82" t="str" cm="1">
        <f t="array" ref="J352">_xlfn.IFS(TABLE_PIVOT[[#This Row],[Duration]]&lt;=10,"Under 10 Mins",TABLE_PIVOT[[#This Row],[Duration]]&lt;=30,"10 to 30 Mins",TABLE_PIVOT[[#This Row],[Duration]]&lt;=60,"30 to 60 Mins",TABLE_PIVOT[[#This Row],[Duration]]&lt;=120,"1 to 2 Hours",TRUE,"More Than 2 Hours")</f>
        <v>1 to 2 Hours</v>
      </c>
      <c r="K352" s="82">
        <f>ROUND(TABLE_PIVOT[[#This Row],[Satisfaction Rating]],0)</f>
        <v>4</v>
      </c>
    </row>
    <row r="353" spans="1:11" x14ac:dyDescent="0.3">
      <c r="A353" s="8" t="s">
        <v>1979</v>
      </c>
      <c r="B353" s="8" t="s">
        <v>1649</v>
      </c>
      <c r="C353" s="8">
        <v>50</v>
      </c>
      <c r="D353" s="120" t="s">
        <v>1616</v>
      </c>
      <c r="E353" s="121">
        <v>45029</v>
      </c>
      <c r="F353" s="8">
        <v>105</v>
      </c>
      <c r="G353" s="8">
        <v>3.5</v>
      </c>
      <c r="H353" s="82">
        <f>IF(MONTH(TABLE_PIVOT[[#This Row],[Date of Call]])&lt;=6,YEAR(TABLE_PIVOT[[#This Row],[Date of Call]]),YEAR(TABLE_PIVOT[[#This Row],[Date of Call]])+1)</f>
        <v>2023</v>
      </c>
      <c r="I353" s="82" t="str">
        <f>TEXT(TABLE_PIVOT[[#This Row],[Date of Call]],"DDDD")</f>
        <v>Thursday</v>
      </c>
      <c r="J353" s="82" t="str" cm="1">
        <f t="array" ref="J353">_xlfn.IFS(TABLE_PIVOT[[#This Row],[Duration]]&lt;=10,"Under 10 Mins",TABLE_PIVOT[[#This Row],[Duration]]&lt;=30,"10 to 30 Mins",TABLE_PIVOT[[#This Row],[Duration]]&lt;=60,"30 to 60 Mins",TABLE_PIVOT[[#This Row],[Duration]]&lt;=120,"1 to 2 Hours",TRUE,"More Than 2 Hours")</f>
        <v>30 to 60 Mins</v>
      </c>
      <c r="K353" s="82">
        <f>ROUND(TABLE_PIVOT[[#This Row],[Satisfaction Rating]],0)</f>
        <v>4</v>
      </c>
    </row>
    <row r="354" spans="1:11" x14ac:dyDescent="0.3">
      <c r="A354" s="8" t="s">
        <v>1980</v>
      </c>
      <c r="B354" s="8" t="s">
        <v>1620</v>
      </c>
      <c r="C354" s="8">
        <v>98</v>
      </c>
      <c r="D354" s="120" t="s">
        <v>1616</v>
      </c>
      <c r="E354" s="121">
        <v>45029</v>
      </c>
      <c r="F354" s="8">
        <v>22</v>
      </c>
      <c r="G354" s="8">
        <v>3.8</v>
      </c>
      <c r="H354" s="82">
        <f>IF(MONTH(TABLE_PIVOT[[#This Row],[Date of Call]])&lt;=6,YEAR(TABLE_PIVOT[[#This Row],[Date of Call]]),YEAR(TABLE_PIVOT[[#This Row],[Date of Call]])+1)</f>
        <v>2023</v>
      </c>
      <c r="I354" s="82" t="str">
        <f>TEXT(TABLE_PIVOT[[#This Row],[Date of Call]],"DDDD")</f>
        <v>Thursday</v>
      </c>
      <c r="J354" s="82" t="str" cm="1">
        <f t="array" ref="J354">_xlfn.IFS(TABLE_PIVOT[[#This Row],[Duration]]&lt;=10,"Under 10 Mins",TABLE_PIVOT[[#This Row],[Duration]]&lt;=30,"10 to 30 Mins",TABLE_PIVOT[[#This Row],[Duration]]&lt;=60,"30 to 60 Mins",TABLE_PIVOT[[#This Row],[Duration]]&lt;=120,"1 to 2 Hours",TRUE,"More Than 2 Hours")</f>
        <v>1 to 2 Hours</v>
      </c>
      <c r="K354" s="82">
        <f>ROUND(TABLE_PIVOT[[#This Row],[Satisfaction Rating]],0)</f>
        <v>4</v>
      </c>
    </row>
    <row r="355" spans="1:11" x14ac:dyDescent="0.3">
      <c r="A355" s="8" t="s">
        <v>1981</v>
      </c>
      <c r="B355" s="8" t="s">
        <v>1633</v>
      </c>
      <c r="C355" s="8">
        <v>114</v>
      </c>
      <c r="D355" s="120" t="s">
        <v>1626</v>
      </c>
      <c r="E355" s="121">
        <v>45030</v>
      </c>
      <c r="F355" s="8">
        <v>126</v>
      </c>
      <c r="G355" s="8">
        <v>4.4000000000000004</v>
      </c>
      <c r="H355" s="82">
        <f>IF(MONTH(TABLE_PIVOT[[#This Row],[Date of Call]])&lt;=6,YEAR(TABLE_PIVOT[[#This Row],[Date of Call]]),YEAR(TABLE_PIVOT[[#This Row],[Date of Call]])+1)</f>
        <v>2023</v>
      </c>
      <c r="I355" s="82" t="str">
        <f>TEXT(TABLE_PIVOT[[#This Row],[Date of Call]],"DDDD")</f>
        <v>Friday</v>
      </c>
      <c r="J355" s="82" t="str" cm="1">
        <f t="array" ref="J355">_xlfn.IFS(TABLE_PIVOT[[#This Row],[Duration]]&lt;=10,"Under 10 Mins",TABLE_PIVOT[[#This Row],[Duration]]&lt;=30,"10 to 30 Mins",TABLE_PIVOT[[#This Row],[Duration]]&lt;=60,"30 to 60 Mins",TABLE_PIVOT[[#This Row],[Duration]]&lt;=120,"1 to 2 Hours",TRUE,"More Than 2 Hours")</f>
        <v>1 to 2 Hours</v>
      </c>
      <c r="K355" s="82">
        <f>ROUND(TABLE_PIVOT[[#This Row],[Satisfaction Rating]],0)</f>
        <v>4</v>
      </c>
    </row>
    <row r="356" spans="1:11" x14ac:dyDescent="0.3">
      <c r="A356" s="8" t="s">
        <v>1982</v>
      </c>
      <c r="B356" s="8" t="s">
        <v>1644</v>
      </c>
      <c r="C356" s="8">
        <v>67</v>
      </c>
      <c r="D356" s="120" t="s">
        <v>1626</v>
      </c>
      <c r="E356" s="121">
        <v>45030</v>
      </c>
      <c r="F356" s="8">
        <v>35</v>
      </c>
      <c r="G356" s="8">
        <v>3</v>
      </c>
      <c r="H356" s="82">
        <f>IF(MONTH(TABLE_PIVOT[[#This Row],[Date of Call]])&lt;=6,YEAR(TABLE_PIVOT[[#This Row],[Date of Call]]),YEAR(TABLE_PIVOT[[#This Row],[Date of Call]])+1)</f>
        <v>2023</v>
      </c>
      <c r="I356" s="82" t="str">
        <f>TEXT(TABLE_PIVOT[[#This Row],[Date of Call]],"DDDD")</f>
        <v>Friday</v>
      </c>
      <c r="J356" s="82" t="str" cm="1">
        <f t="array" ref="J356">_xlfn.IFS(TABLE_PIVOT[[#This Row],[Duration]]&lt;=10,"Under 10 Mins",TABLE_PIVOT[[#This Row],[Duration]]&lt;=30,"10 to 30 Mins",TABLE_PIVOT[[#This Row],[Duration]]&lt;=60,"30 to 60 Mins",TABLE_PIVOT[[#This Row],[Duration]]&lt;=120,"1 to 2 Hours",TRUE,"More Than 2 Hours")</f>
        <v>1 to 2 Hours</v>
      </c>
      <c r="K356" s="82">
        <f>ROUND(TABLE_PIVOT[[#This Row],[Satisfaction Rating]],0)</f>
        <v>3</v>
      </c>
    </row>
    <row r="357" spans="1:11" x14ac:dyDescent="0.3">
      <c r="A357" s="8" t="s">
        <v>1983</v>
      </c>
      <c r="B357" s="8" t="s">
        <v>1615</v>
      </c>
      <c r="C357" s="8">
        <v>91</v>
      </c>
      <c r="D357" s="120" t="s">
        <v>1616</v>
      </c>
      <c r="E357" s="121">
        <v>45030</v>
      </c>
      <c r="F357" s="8">
        <v>84</v>
      </c>
      <c r="G357" s="8">
        <v>4.5</v>
      </c>
      <c r="H357" s="82">
        <f>IF(MONTH(TABLE_PIVOT[[#This Row],[Date of Call]])&lt;=6,YEAR(TABLE_PIVOT[[#This Row],[Date of Call]]),YEAR(TABLE_PIVOT[[#This Row],[Date of Call]])+1)</f>
        <v>2023</v>
      </c>
      <c r="I357" s="82" t="str">
        <f>TEXT(TABLE_PIVOT[[#This Row],[Date of Call]],"DDDD")</f>
        <v>Friday</v>
      </c>
      <c r="J357" s="82" t="str" cm="1">
        <f t="array" ref="J357">_xlfn.IFS(TABLE_PIVOT[[#This Row],[Duration]]&lt;=10,"Under 10 Mins",TABLE_PIVOT[[#This Row],[Duration]]&lt;=30,"10 to 30 Mins",TABLE_PIVOT[[#This Row],[Duration]]&lt;=60,"30 to 60 Mins",TABLE_PIVOT[[#This Row],[Duration]]&lt;=120,"1 to 2 Hours",TRUE,"More Than 2 Hours")</f>
        <v>1 to 2 Hours</v>
      </c>
      <c r="K357" s="82">
        <f>ROUND(TABLE_PIVOT[[#This Row],[Satisfaction Rating]],0)</f>
        <v>5</v>
      </c>
    </row>
    <row r="358" spans="1:11" x14ac:dyDescent="0.3">
      <c r="A358" s="8" t="s">
        <v>1984</v>
      </c>
      <c r="B358" s="8" t="s">
        <v>1682</v>
      </c>
      <c r="C358" s="8">
        <v>67</v>
      </c>
      <c r="D358" s="120" t="s">
        <v>1616</v>
      </c>
      <c r="E358" s="121">
        <v>45031</v>
      </c>
      <c r="F358" s="8">
        <v>172</v>
      </c>
      <c r="G358" s="8">
        <v>4.5</v>
      </c>
      <c r="H358" s="82">
        <f>IF(MONTH(TABLE_PIVOT[[#This Row],[Date of Call]])&lt;=6,YEAR(TABLE_PIVOT[[#This Row],[Date of Call]]),YEAR(TABLE_PIVOT[[#This Row],[Date of Call]])+1)</f>
        <v>2023</v>
      </c>
      <c r="I358" s="82" t="str">
        <f>TEXT(TABLE_PIVOT[[#This Row],[Date of Call]],"DDDD")</f>
        <v>Saturday</v>
      </c>
      <c r="J358" s="82" t="str" cm="1">
        <f t="array" ref="J358">_xlfn.IFS(TABLE_PIVOT[[#This Row],[Duration]]&lt;=10,"Under 10 Mins",TABLE_PIVOT[[#This Row],[Duration]]&lt;=30,"10 to 30 Mins",TABLE_PIVOT[[#This Row],[Duration]]&lt;=60,"30 to 60 Mins",TABLE_PIVOT[[#This Row],[Duration]]&lt;=120,"1 to 2 Hours",TRUE,"More Than 2 Hours")</f>
        <v>1 to 2 Hours</v>
      </c>
      <c r="K358" s="82">
        <f>ROUND(TABLE_PIVOT[[#This Row],[Satisfaction Rating]],0)</f>
        <v>5</v>
      </c>
    </row>
    <row r="359" spans="1:11" x14ac:dyDescent="0.3">
      <c r="A359" s="8" t="s">
        <v>1985</v>
      </c>
      <c r="B359" s="8" t="s">
        <v>1633</v>
      </c>
      <c r="C359" s="8">
        <v>139</v>
      </c>
      <c r="D359" s="120" t="s">
        <v>1611</v>
      </c>
      <c r="E359" s="121">
        <v>45031</v>
      </c>
      <c r="F359" s="8">
        <v>114</v>
      </c>
      <c r="G359" s="8">
        <v>4</v>
      </c>
      <c r="H359" s="82">
        <f>IF(MONTH(TABLE_PIVOT[[#This Row],[Date of Call]])&lt;=6,YEAR(TABLE_PIVOT[[#This Row],[Date of Call]]),YEAR(TABLE_PIVOT[[#This Row],[Date of Call]])+1)</f>
        <v>2023</v>
      </c>
      <c r="I359" s="82" t="str">
        <f>TEXT(TABLE_PIVOT[[#This Row],[Date of Call]],"DDDD")</f>
        <v>Saturday</v>
      </c>
      <c r="J359" s="82" t="str" cm="1">
        <f t="array" ref="J359">_xlfn.IFS(TABLE_PIVOT[[#This Row],[Duration]]&lt;=10,"Under 10 Mins",TABLE_PIVOT[[#This Row],[Duration]]&lt;=30,"10 to 30 Mins",TABLE_PIVOT[[#This Row],[Duration]]&lt;=60,"30 to 60 Mins",TABLE_PIVOT[[#This Row],[Duration]]&lt;=120,"1 to 2 Hours",TRUE,"More Than 2 Hours")</f>
        <v>More Than 2 Hours</v>
      </c>
      <c r="K359" s="82">
        <f>ROUND(TABLE_PIVOT[[#This Row],[Satisfaction Rating]],0)</f>
        <v>4</v>
      </c>
    </row>
    <row r="360" spans="1:11" x14ac:dyDescent="0.3">
      <c r="A360" s="8" t="s">
        <v>1986</v>
      </c>
      <c r="B360" s="8" t="s">
        <v>1682</v>
      </c>
      <c r="C360" s="8">
        <v>102</v>
      </c>
      <c r="D360" s="120" t="s">
        <v>1611</v>
      </c>
      <c r="E360" s="121">
        <v>45031</v>
      </c>
      <c r="F360" s="8">
        <v>60</v>
      </c>
      <c r="G360" s="8">
        <v>3.8</v>
      </c>
      <c r="H360" s="82">
        <f>IF(MONTH(TABLE_PIVOT[[#This Row],[Date of Call]])&lt;=6,YEAR(TABLE_PIVOT[[#This Row],[Date of Call]]),YEAR(TABLE_PIVOT[[#This Row],[Date of Call]])+1)</f>
        <v>2023</v>
      </c>
      <c r="I360" s="82" t="str">
        <f>TEXT(TABLE_PIVOT[[#This Row],[Date of Call]],"DDDD")</f>
        <v>Saturday</v>
      </c>
      <c r="J360" s="82" t="str" cm="1">
        <f t="array" ref="J360">_xlfn.IFS(TABLE_PIVOT[[#This Row],[Duration]]&lt;=10,"Under 10 Mins",TABLE_PIVOT[[#This Row],[Duration]]&lt;=30,"10 to 30 Mins",TABLE_PIVOT[[#This Row],[Duration]]&lt;=60,"30 to 60 Mins",TABLE_PIVOT[[#This Row],[Duration]]&lt;=120,"1 to 2 Hours",TRUE,"More Than 2 Hours")</f>
        <v>1 to 2 Hours</v>
      </c>
      <c r="K360" s="82">
        <f>ROUND(TABLE_PIVOT[[#This Row],[Satisfaction Rating]],0)</f>
        <v>4</v>
      </c>
    </row>
    <row r="361" spans="1:11" x14ac:dyDescent="0.3">
      <c r="A361" s="8" t="s">
        <v>1987</v>
      </c>
      <c r="B361" s="8" t="s">
        <v>1662</v>
      </c>
      <c r="C361" s="8">
        <v>108</v>
      </c>
      <c r="D361" s="120" t="s">
        <v>1621</v>
      </c>
      <c r="E361" s="121">
        <v>45031</v>
      </c>
      <c r="F361" s="8">
        <v>26</v>
      </c>
      <c r="G361" s="8">
        <v>3.3</v>
      </c>
      <c r="H361" s="82">
        <f>IF(MONTH(TABLE_PIVOT[[#This Row],[Date of Call]])&lt;=6,YEAR(TABLE_PIVOT[[#This Row],[Date of Call]]),YEAR(TABLE_PIVOT[[#This Row],[Date of Call]])+1)</f>
        <v>2023</v>
      </c>
      <c r="I361" s="82" t="str">
        <f>TEXT(TABLE_PIVOT[[#This Row],[Date of Call]],"DDDD")</f>
        <v>Saturday</v>
      </c>
      <c r="J361" s="82" t="str" cm="1">
        <f t="array" ref="J361">_xlfn.IFS(TABLE_PIVOT[[#This Row],[Duration]]&lt;=10,"Under 10 Mins",TABLE_PIVOT[[#This Row],[Duration]]&lt;=30,"10 to 30 Mins",TABLE_PIVOT[[#This Row],[Duration]]&lt;=60,"30 to 60 Mins",TABLE_PIVOT[[#This Row],[Duration]]&lt;=120,"1 to 2 Hours",TRUE,"More Than 2 Hours")</f>
        <v>1 to 2 Hours</v>
      </c>
      <c r="K361" s="82">
        <f>ROUND(TABLE_PIVOT[[#This Row],[Satisfaction Rating]],0)</f>
        <v>3</v>
      </c>
    </row>
    <row r="362" spans="1:11" x14ac:dyDescent="0.3">
      <c r="A362" s="8" t="s">
        <v>1988</v>
      </c>
      <c r="B362" s="8" t="s">
        <v>1624</v>
      </c>
      <c r="C362" s="8">
        <v>66</v>
      </c>
      <c r="D362" s="120" t="s">
        <v>1616</v>
      </c>
      <c r="E362" s="121">
        <v>45031</v>
      </c>
      <c r="F362" s="8">
        <v>210</v>
      </c>
      <c r="G362" s="8">
        <v>4.3</v>
      </c>
      <c r="H362" s="82">
        <f>IF(MONTH(TABLE_PIVOT[[#This Row],[Date of Call]])&lt;=6,YEAR(TABLE_PIVOT[[#This Row],[Date of Call]]),YEAR(TABLE_PIVOT[[#This Row],[Date of Call]])+1)</f>
        <v>2023</v>
      </c>
      <c r="I362" s="82" t="str">
        <f>TEXT(TABLE_PIVOT[[#This Row],[Date of Call]],"DDDD")</f>
        <v>Saturday</v>
      </c>
      <c r="J362" s="82" t="str" cm="1">
        <f t="array" ref="J362">_xlfn.IFS(TABLE_PIVOT[[#This Row],[Duration]]&lt;=10,"Under 10 Mins",TABLE_PIVOT[[#This Row],[Duration]]&lt;=30,"10 to 30 Mins",TABLE_PIVOT[[#This Row],[Duration]]&lt;=60,"30 to 60 Mins",TABLE_PIVOT[[#This Row],[Duration]]&lt;=120,"1 to 2 Hours",TRUE,"More Than 2 Hours")</f>
        <v>1 to 2 Hours</v>
      </c>
      <c r="K362" s="82">
        <f>ROUND(TABLE_PIVOT[[#This Row],[Satisfaction Rating]],0)</f>
        <v>4</v>
      </c>
    </row>
    <row r="363" spans="1:11" x14ac:dyDescent="0.3">
      <c r="A363" s="8" t="s">
        <v>1989</v>
      </c>
      <c r="B363" s="8" t="s">
        <v>1641</v>
      </c>
      <c r="C363" s="8">
        <v>85</v>
      </c>
      <c r="D363" s="120" t="s">
        <v>1611</v>
      </c>
      <c r="E363" s="121">
        <v>45031</v>
      </c>
      <c r="F363" s="8">
        <v>129</v>
      </c>
      <c r="G363" s="8">
        <v>4.2</v>
      </c>
      <c r="H363" s="82">
        <f>IF(MONTH(TABLE_PIVOT[[#This Row],[Date of Call]])&lt;=6,YEAR(TABLE_PIVOT[[#This Row],[Date of Call]]),YEAR(TABLE_PIVOT[[#This Row],[Date of Call]])+1)</f>
        <v>2023</v>
      </c>
      <c r="I363" s="82" t="str">
        <f>TEXT(TABLE_PIVOT[[#This Row],[Date of Call]],"DDDD")</f>
        <v>Saturday</v>
      </c>
      <c r="J363" s="82" t="str" cm="1">
        <f t="array" ref="J363">_xlfn.IFS(TABLE_PIVOT[[#This Row],[Duration]]&lt;=10,"Under 10 Mins",TABLE_PIVOT[[#This Row],[Duration]]&lt;=30,"10 to 30 Mins",TABLE_PIVOT[[#This Row],[Duration]]&lt;=60,"30 to 60 Mins",TABLE_PIVOT[[#This Row],[Duration]]&lt;=120,"1 to 2 Hours",TRUE,"More Than 2 Hours")</f>
        <v>1 to 2 Hours</v>
      </c>
      <c r="K363" s="82">
        <f>ROUND(TABLE_PIVOT[[#This Row],[Satisfaction Rating]],0)</f>
        <v>4</v>
      </c>
    </row>
    <row r="364" spans="1:11" x14ac:dyDescent="0.3">
      <c r="A364" s="8" t="s">
        <v>1990</v>
      </c>
      <c r="B364" s="8" t="s">
        <v>1644</v>
      </c>
      <c r="C364" s="8">
        <v>55</v>
      </c>
      <c r="D364" s="120" t="s">
        <v>1621</v>
      </c>
      <c r="E364" s="121">
        <v>45031</v>
      </c>
      <c r="F364" s="8">
        <v>215</v>
      </c>
      <c r="G364" s="8">
        <v>4.3</v>
      </c>
      <c r="H364" s="82">
        <f>IF(MONTH(TABLE_PIVOT[[#This Row],[Date of Call]])&lt;=6,YEAR(TABLE_PIVOT[[#This Row],[Date of Call]]),YEAR(TABLE_PIVOT[[#This Row],[Date of Call]])+1)</f>
        <v>2023</v>
      </c>
      <c r="I364" s="82" t="str">
        <f>TEXT(TABLE_PIVOT[[#This Row],[Date of Call]],"DDDD")</f>
        <v>Saturday</v>
      </c>
      <c r="J364" s="82" t="str" cm="1">
        <f t="array" ref="J364">_xlfn.IFS(TABLE_PIVOT[[#This Row],[Duration]]&lt;=10,"Under 10 Mins",TABLE_PIVOT[[#This Row],[Duration]]&lt;=30,"10 to 30 Mins",TABLE_PIVOT[[#This Row],[Duration]]&lt;=60,"30 to 60 Mins",TABLE_PIVOT[[#This Row],[Duration]]&lt;=120,"1 to 2 Hours",TRUE,"More Than 2 Hours")</f>
        <v>30 to 60 Mins</v>
      </c>
      <c r="K364" s="82">
        <f>ROUND(TABLE_PIVOT[[#This Row],[Satisfaction Rating]],0)</f>
        <v>4</v>
      </c>
    </row>
    <row r="365" spans="1:11" x14ac:dyDescent="0.3">
      <c r="A365" s="8" t="s">
        <v>1991</v>
      </c>
      <c r="B365" s="8" t="s">
        <v>1662</v>
      </c>
      <c r="C365" s="8">
        <v>17</v>
      </c>
      <c r="D365" s="120" t="s">
        <v>1630</v>
      </c>
      <c r="E365" s="121">
        <v>45031</v>
      </c>
      <c r="F365" s="8">
        <v>69</v>
      </c>
      <c r="G365" s="8">
        <v>4.5999999999999996</v>
      </c>
      <c r="H365" s="82">
        <f>IF(MONTH(TABLE_PIVOT[[#This Row],[Date of Call]])&lt;=6,YEAR(TABLE_PIVOT[[#This Row],[Date of Call]]),YEAR(TABLE_PIVOT[[#This Row],[Date of Call]])+1)</f>
        <v>2023</v>
      </c>
      <c r="I365" s="82" t="str">
        <f>TEXT(TABLE_PIVOT[[#This Row],[Date of Call]],"DDDD")</f>
        <v>Saturday</v>
      </c>
      <c r="J365" s="82" t="str" cm="1">
        <f t="array" ref="J365">_xlfn.IFS(TABLE_PIVOT[[#This Row],[Duration]]&lt;=10,"Under 10 Mins",TABLE_PIVOT[[#This Row],[Duration]]&lt;=30,"10 to 30 Mins",TABLE_PIVOT[[#This Row],[Duration]]&lt;=60,"30 to 60 Mins",TABLE_PIVOT[[#This Row],[Duration]]&lt;=120,"1 to 2 Hours",TRUE,"More Than 2 Hours")</f>
        <v>10 to 30 Mins</v>
      </c>
      <c r="K365" s="82">
        <f>ROUND(TABLE_PIVOT[[#This Row],[Satisfaction Rating]],0)</f>
        <v>5</v>
      </c>
    </row>
    <row r="366" spans="1:11" x14ac:dyDescent="0.3">
      <c r="A366" s="8" t="s">
        <v>1992</v>
      </c>
      <c r="B366" s="8" t="s">
        <v>1644</v>
      </c>
      <c r="C366" s="8">
        <v>128</v>
      </c>
      <c r="D366" s="120" t="s">
        <v>1630</v>
      </c>
      <c r="E366" s="121">
        <v>45031</v>
      </c>
      <c r="F366" s="8">
        <v>140</v>
      </c>
      <c r="G366" s="8">
        <v>3</v>
      </c>
      <c r="H366" s="82">
        <f>IF(MONTH(TABLE_PIVOT[[#This Row],[Date of Call]])&lt;=6,YEAR(TABLE_PIVOT[[#This Row],[Date of Call]]),YEAR(TABLE_PIVOT[[#This Row],[Date of Call]])+1)</f>
        <v>2023</v>
      </c>
      <c r="I366" s="82" t="str">
        <f>TEXT(TABLE_PIVOT[[#This Row],[Date of Call]],"DDDD")</f>
        <v>Saturday</v>
      </c>
      <c r="J366" s="82" t="str" cm="1">
        <f t="array" ref="J366">_xlfn.IFS(TABLE_PIVOT[[#This Row],[Duration]]&lt;=10,"Under 10 Mins",TABLE_PIVOT[[#This Row],[Duration]]&lt;=30,"10 to 30 Mins",TABLE_PIVOT[[#This Row],[Duration]]&lt;=60,"30 to 60 Mins",TABLE_PIVOT[[#This Row],[Duration]]&lt;=120,"1 to 2 Hours",TRUE,"More Than 2 Hours")</f>
        <v>More Than 2 Hours</v>
      </c>
      <c r="K366" s="82">
        <f>ROUND(TABLE_PIVOT[[#This Row],[Satisfaction Rating]],0)</f>
        <v>3</v>
      </c>
    </row>
    <row r="367" spans="1:11" x14ac:dyDescent="0.3">
      <c r="A367" s="8" t="s">
        <v>1993</v>
      </c>
      <c r="B367" s="8" t="s">
        <v>1649</v>
      </c>
      <c r="C367" s="8">
        <v>45</v>
      </c>
      <c r="D367" s="120" t="s">
        <v>1621</v>
      </c>
      <c r="E367" s="121">
        <v>45032</v>
      </c>
      <c r="F367" s="8">
        <v>156</v>
      </c>
      <c r="G367" s="8">
        <v>2.7</v>
      </c>
      <c r="H367" s="82">
        <f>IF(MONTH(TABLE_PIVOT[[#This Row],[Date of Call]])&lt;=6,YEAR(TABLE_PIVOT[[#This Row],[Date of Call]]),YEAR(TABLE_PIVOT[[#This Row],[Date of Call]])+1)</f>
        <v>2023</v>
      </c>
      <c r="I367" s="82" t="str">
        <f>TEXT(TABLE_PIVOT[[#This Row],[Date of Call]],"DDDD")</f>
        <v>Sunday</v>
      </c>
      <c r="J367" s="82" t="str" cm="1">
        <f t="array" ref="J367">_xlfn.IFS(TABLE_PIVOT[[#This Row],[Duration]]&lt;=10,"Under 10 Mins",TABLE_PIVOT[[#This Row],[Duration]]&lt;=30,"10 to 30 Mins",TABLE_PIVOT[[#This Row],[Duration]]&lt;=60,"30 to 60 Mins",TABLE_PIVOT[[#This Row],[Duration]]&lt;=120,"1 to 2 Hours",TRUE,"More Than 2 Hours")</f>
        <v>30 to 60 Mins</v>
      </c>
      <c r="K367" s="82">
        <f>ROUND(TABLE_PIVOT[[#This Row],[Satisfaction Rating]],0)</f>
        <v>3</v>
      </c>
    </row>
    <row r="368" spans="1:11" x14ac:dyDescent="0.3">
      <c r="A368" s="8" t="s">
        <v>1994</v>
      </c>
      <c r="B368" s="8" t="s">
        <v>1662</v>
      </c>
      <c r="C368" s="8">
        <v>41</v>
      </c>
      <c r="D368" s="120" t="s">
        <v>1630</v>
      </c>
      <c r="E368" s="121">
        <v>45032</v>
      </c>
      <c r="F368" s="8">
        <v>164</v>
      </c>
      <c r="G368" s="8">
        <v>3.1</v>
      </c>
      <c r="H368" s="82">
        <f>IF(MONTH(TABLE_PIVOT[[#This Row],[Date of Call]])&lt;=6,YEAR(TABLE_PIVOT[[#This Row],[Date of Call]]),YEAR(TABLE_PIVOT[[#This Row],[Date of Call]])+1)</f>
        <v>2023</v>
      </c>
      <c r="I368" s="82" t="str">
        <f>TEXT(TABLE_PIVOT[[#This Row],[Date of Call]],"DDDD")</f>
        <v>Sunday</v>
      </c>
      <c r="J368" s="82" t="str" cm="1">
        <f t="array" ref="J368">_xlfn.IFS(TABLE_PIVOT[[#This Row],[Duration]]&lt;=10,"Under 10 Mins",TABLE_PIVOT[[#This Row],[Duration]]&lt;=30,"10 to 30 Mins",TABLE_PIVOT[[#This Row],[Duration]]&lt;=60,"30 to 60 Mins",TABLE_PIVOT[[#This Row],[Duration]]&lt;=120,"1 to 2 Hours",TRUE,"More Than 2 Hours")</f>
        <v>30 to 60 Mins</v>
      </c>
      <c r="K368" s="82">
        <f>ROUND(TABLE_PIVOT[[#This Row],[Satisfaction Rating]],0)</f>
        <v>3</v>
      </c>
    </row>
    <row r="369" spans="1:11" x14ac:dyDescent="0.3">
      <c r="A369" s="8" t="s">
        <v>1995</v>
      </c>
      <c r="B369" s="8" t="s">
        <v>1635</v>
      </c>
      <c r="C369" s="8">
        <v>49</v>
      </c>
      <c r="D369" s="120" t="s">
        <v>1630</v>
      </c>
      <c r="E369" s="121">
        <v>45032</v>
      </c>
      <c r="F369" s="8">
        <v>195</v>
      </c>
      <c r="G369" s="8">
        <v>2.6</v>
      </c>
      <c r="H369" s="82">
        <f>IF(MONTH(TABLE_PIVOT[[#This Row],[Date of Call]])&lt;=6,YEAR(TABLE_PIVOT[[#This Row],[Date of Call]]),YEAR(TABLE_PIVOT[[#This Row],[Date of Call]])+1)</f>
        <v>2023</v>
      </c>
      <c r="I369" s="82" t="str">
        <f>TEXT(TABLE_PIVOT[[#This Row],[Date of Call]],"DDDD")</f>
        <v>Sunday</v>
      </c>
      <c r="J369" s="82" t="str" cm="1">
        <f t="array" ref="J369">_xlfn.IFS(TABLE_PIVOT[[#This Row],[Duration]]&lt;=10,"Under 10 Mins",TABLE_PIVOT[[#This Row],[Duration]]&lt;=30,"10 to 30 Mins",TABLE_PIVOT[[#This Row],[Duration]]&lt;=60,"30 to 60 Mins",TABLE_PIVOT[[#This Row],[Duration]]&lt;=120,"1 to 2 Hours",TRUE,"More Than 2 Hours")</f>
        <v>30 to 60 Mins</v>
      </c>
      <c r="K369" s="82">
        <f>ROUND(TABLE_PIVOT[[#This Row],[Satisfaction Rating]],0)</f>
        <v>3</v>
      </c>
    </row>
    <row r="370" spans="1:11" x14ac:dyDescent="0.3">
      <c r="A370" s="8" t="s">
        <v>1996</v>
      </c>
      <c r="B370" s="8" t="s">
        <v>1613</v>
      </c>
      <c r="C370" s="8">
        <v>21</v>
      </c>
      <c r="D370" s="120" t="s">
        <v>1626</v>
      </c>
      <c r="E370" s="121">
        <v>45032</v>
      </c>
      <c r="F370" s="8">
        <v>74</v>
      </c>
      <c r="G370" s="8">
        <v>4.5999999999999996</v>
      </c>
      <c r="H370" s="82">
        <f>IF(MONTH(TABLE_PIVOT[[#This Row],[Date of Call]])&lt;=6,YEAR(TABLE_PIVOT[[#This Row],[Date of Call]]),YEAR(TABLE_PIVOT[[#This Row],[Date of Call]])+1)</f>
        <v>2023</v>
      </c>
      <c r="I370" s="82" t="str">
        <f>TEXT(TABLE_PIVOT[[#This Row],[Date of Call]],"DDDD")</f>
        <v>Sunday</v>
      </c>
      <c r="J370" s="82" t="str" cm="1">
        <f t="array" ref="J370">_xlfn.IFS(TABLE_PIVOT[[#This Row],[Duration]]&lt;=10,"Under 10 Mins",TABLE_PIVOT[[#This Row],[Duration]]&lt;=30,"10 to 30 Mins",TABLE_PIVOT[[#This Row],[Duration]]&lt;=60,"30 to 60 Mins",TABLE_PIVOT[[#This Row],[Duration]]&lt;=120,"1 to 2 Hours",TRUE,"More Than 2 Hours")</f>
        <v>10 to 30 Mins</v>
      </c>
      <c r="K370" s="82">
        <f>ROUND(TABLE_PIVOT[[#This Row],[Satisfaction Rating]],0)</f>
        <v>5</v>
      </c>
    </row>
    <row r="371" spans="1:11" x14ac:dyDescent="0.3">
      <c r="A371" s="8" t="s">
        <v>1997</v>
      </c>
      <c r="B371" s="8" t="s">
        <v>1652</v>
      </c>
      <c r="C371" s="8">
        <v>133</v>
      </c>
      <c r="D371" s="120" t="s">
        <v>1621</v>
      </c>
      <c r="E371" s="121">
        <v>45032</v>
      </c>
      <c r="F371" s="8">
        <v>100</v>
      </c>
      <c r="G371" s="8">
        <v>4</v>
      </c>
      <c r="H371" s="82">
        <f>IF(MONTH(TABLE_PIVOT[[#This Row],[Date of Call]])&lt;=6,YEAR(TABLE_PIVOT[[#This Row],[Date of Call]]),YEAR(TABLE_PIVOT[[#This Row],[Date of Call]])+1)</f>
        <v>2023</v>
      </c>
      <c r="I371" s="82" t="str">
        <f>TEXT(TABLE_PIVOT[[#This Row],[Date of Call]],"DDDD")</f>
        <v>Sunday</v>
      </c>
      <c r="J371" s="82" t="str" cm="1">
        <f t="array" ref="J371">_xlfn.IFS(TABLE_PIVOT[[#This Row],[Duration]]&lt;=10,"Under 10 Mins",TABLE_PIVOT[[#This Row],[Duration]]&lt;=30,"10 to 30 Mins",TABLE_PIVOT[[#This Row],[Duration]]&lt;=60,"30 to 60 Mins",TABLE_PIVOT[[#This Row],[Duration]]&lt;=120,"1 to 2 Hours",TRUE,"More Than 2 Hours")</f>
        <v>More Than 2 Hours</v>
      </c>
      <c r="K371" s="82">
        <f>ROUND(TABLE_PIVOT[[#This Row],[Satisfaction Rating]],0)</f>
        <v>4</v>
      </c>
    </row>
    <row r="372" spans="1:11" x14ac:dyDescent="0.3">
      <c r="A372" s="8" t="s">
        <v>1998</v>
      </c>
      <c r="B372" s="8" t="s">
        <v>1610</v>
      </c>
      <c r="C372" s="8">
        <v>135</v>
      </c>
      <c r="D372" s="120" t="s">
        <v>1616</v>
      </c>
      <c r="E372" s="121">
        <v>45032</v>
      </c>
      <c r="F372" s="8">
        <v>185</v>
      </c>
      <c r="G372" s="8">
        <v>4.5</v>
      </c>
      <c r="H372" s="82">
        <f>IF(MONTH(TABLE_PIVOT[[#This Row],[Date of Call]])&lt;=6,YEAR(TABLE_PIVOT[[#This Row],[Date of Call]]),YEAR(TABLE_PIVOT[[#This Row],[Date of Call]])+1)</f>
        <v>2023</v>
      </c>
      <c r="I372" s="82" t="str">
        <f>TEXT(TABLE_PIVOT[[#This Row],[Date of Call]],"DDDD")</f>
        <v>Sunday</v>
      </c>
      <c r="J372" s="82" t="str" cm="1">
        <f t="array" ref="J372">_xlfn.IFS(TABLE_PIVOT[[#This Row],[Duration]]&lt;=10,"Under 10 Mins",TABLE_PIVOT[[#This Row],[Duration]]&lt;=30,"10 to 30 Mins",TABLE_PIVOT[[#This Row],[Duration]]&lt;=60,"30 to 60 Mins",TABLE_PIVOT[[#This Row],[Duration]]&lt;=120,"1 to 2 Hours",TRUE,"More Than 2 Hours")</f>
        <v>More Than 2 Hours</v>
      </c>
      <c r="K372" s="82">
        <f>ROUND(TABLE_PIVOT[[#This Row],[Satisfaction Rating]],0)</f>
        <v>5</v>
      </c>
    </row>
    <row r="373" spans="1:11" x14ac:dyDescent="0.3">
      <c r="A373" s="8" t="s">
        <v>1999</v>
      </c>
      <c r="B373" s="8" t="s">
        <v>1633</v>
      </c>
      <c r="C373" s="8">
        <v>69</v>
      </c>
      <c r="D373" s="120" t="s">
        <v>1621</v>
      </c>
      <c r="E373" s="121">
        <v>45032</v>
      </c>
      <c r="F373" s="8">
        <v>130</v>
      </c>
      <c r="G373" s="8">
        <v>1.9</v>
      </c>
      <c r="H373" s="82">
        <f>IF(MONTH(TABLE_PIVOT[[#This Row],[Date of Call]])&lt;=6,YEAR(TABLE_PIVOT[[#This Row],[Date of Call]]),YEAR(TABLE_PIVOT[[#This Row],[Date of Call]])+1)</f>
        <v>2023</v>
      </c>
      <c r="I373" s="82" t="str">
        <f>TEXT(TABLE_PIVOT[[#This Row],[Date of Call]],"DDDD")</f>
        <v>Sunday</v>
      </c>
      <c r="J373" s="82" t="str" cm="1">
        <f t="array" ref="J373">_xlfn.IFS(TABLE_PIVOT[[#This Row],[Duration]]&lt;=10,"Under 10 Mins",TABLE_PIVOT[[#This Row],[Duration]]&lt;=30,"10 to 30 Mins",TABLE_PIVOT[[#This Row],[Duration]]&lt;=60,"30 to 60 Mins",TABLE_PIVOT[[#This Row],[Duration]]&lt;=120,"1 to 2 Hours",TRUE,"More Than 2 Hours")</f>
        <v>1 to 2 Hours</v>
      </c>
      <c r="K373" s="82">
        <f>ROUND(TABLE_PIVOT[[#This Row],[Satisfaction Rating]],0)</f>
        <v>2</v>
      </c>
    </row>
    <row r="374" spans="1:11" x14ac:dyDescent="0.3">
      <c r="A374" s="8" t="s">
        <v>2000</v>
      </c>
      <c r="B374" s="8" t="s">
        <v>1629</v>
      </c>
      <c r="C374" s="8">
        <v>110</v>
      </c>
      <c r="D374" s="120" t="s">
        <v>1626</v>
      </c>
      <c r="E374" s="121">
        <v>45033</v>
      </c>
      <c r="F374" s="8">
        <v>21</v>
      </c>
      <c r="G374" s="8">
        <v>2.6</v>
      </c>
      <c r="H374" s="82">
        <f>IF(MONTH(TABLE_PIVOT[[#This Row],[Date of Call]])&lt;=6,YEAR(TABLE_PIVOT[[#This Row],[Date of Call]]),YEAR(TABLE_PIVOT[[#This Row],[Date of Call]])+1)</f>
        <v>2023</v>
      </c>
      <c r="I374" s="82" t="str">
        <f>TEXT(TABLE_PIVOT[[#This Row],[Date of Call]],"DDDD")</f>
        <v>Monday</v>
      </c>
      <c r="J374" s="82" t="str" cm="1">
        <f t="array" ref="J374">_xlfn.IFS(TABLE_PIVOT[[#This Row],[Duration]]&lt;=10,"Under 10 Mins",TABLE_PIVOT[[#This Row],[Duration]]&lt;=30,"10 to 30 Mins",TABLE_PIVOT[[#This Row],[Duration]]&lt;=60,"30 to 60 Mins",TABLE_PIVOT[[#This Row],[Duration]]&lt;=120,"1 to 2 Hours",TRUE,"More Than 2 Hours")</f>
        <v>1 to 2 Hours</v>
      </c>
      <c r="K374" s="82">
        <f>ROUND(TABLE_PIVOT[[#This Row],[Satisfaction Rating]],0)</f>
        <v>3</v>
      </c>
    </row>
    <row r="375" spans="1:11" x14ac:dyDescent="0.3">
      <c r="A375" s="8" t="s">
        <v>2001</v>
      </c>
      <c r="B375" s="8" t="s">
        <v>1682</v>
      </c>
      <c r="C375" s="8">
        <v>64</v>
      </c>
      <c r="D375" s="120" t="s">
        <v>1611</v>
      </c>
      <c r="E375" s="121">
        <v>45033</v>
      </c>
      <c r="F375" s="8">
        <v>88</v>
      </c>
      <c r="G375" s="8">
        <v>4.3</v>
      </c>
      <c r="H375" s="82">
        <f>IF(MONTH(TABLE_PIVOT[[#This Row],[Date of Call]])&lt;=6,YEAR(TABLE_PIVOT[[#This Row],[Date of Call]]),YEAR(TABLE_PIVOT[[#This Row],[Date of Call]])+1)</f>
        <v>2023</v>
      </c>
      <c r="I375" s="82" t="str">
        <f>TEXT(TABLE_PIVOT[[#This Row],[Date of Call]],"DDDD")</f>
        <v>Monday</v>
      </c>
      <c r="J375" s="82" t="str" cm="1">
        <f t="array" ref="J375">_xlfn.IFS(TABLE_PIVOT[[#This Row],[Duration]]&lt;=10,"Under 10 Mins",TABLE_PIVOT[[#This Row],[Duration]]&lt;=30,"10 to 30 Mins",TABLE_PIVOT[[#This Row],[Duration]]&lt;=60,"30 to 60 Mins",TABLE_PIVOT[[#This Row],[Duration]]&lt;=120,"1 to 2 Hours",TRUE,"More Than 2 Hours")</f>
        <v>1 to 2 Hours</v>
      </c>
      <c r="K375" s="82">
        <f>ROUND(TABLE_PIVOT[[#This Row],[Satisfaction Rating]],0)</f>
        <v>4</v>
      </c>
    </row>
    <row r="376" spans="1:11" x14ac:dyDescent="0.3">
      <c r="A376" s="8" t="s">
        <v>2002</v>
      </c>
      <c r="B376" s="8" t="s">
        <v>1615</v>
      </c>
      <c r="C376" s="8">
        <v>105</v>
      </c>
      <c r="D376" s="120" t="s">
        <v>1630</v>
      </c>
      <c r="E376" s="121">
        <v>45033</v>
      </c>
      <c r="F376" s="8">
        <v>35</v>
      </c>
      <c r="G376" s="8">
        <v>4.4000000000000004</v>
      </c>
      <c r="H376" s="82">
        <f>IF(MONTH(TABLE_PIVOT[[#This Row],[Date of Call]])&lt;=6,YEAR(TABLE_PIVOT[[#This Row],[Date of Call]]),YEAR(TABLE_PIVOT[[#This Row],[Date of Call]])+1)</f>
        <v>2023</v>
      </c>
      <c r="I376" s="82" t="str">
        <f>TEXT(TABLE_PIVOT[[#This Row],[Date of Call]],"DDDD")</f>
        <v>Monday</v>
      </c>
      <c r="J376" s="82" t="str" cm="1">
        <f t="array" ref="J376">_xlfn.IFS(TABLE_PIVOT[[#This Row],[Duration]]&lt;=10,"Under 10 Mins",TABLE_PIVOT[[#This Row],[Duration]]&lt;=30,"10 to 30 Mins",TABLE_PIVOT[[#This Row],[Duration]]&lt;=60,"30 to 60 Mins",TABLE_PIVOT[[#This Row],[Duration]]&lt;=120,"1 to 2 Hours",TRUE,"More Than 2 Hours")</f>
        <v>1 to 2 Hours</v>
      </c>
      <c r="K376" s="82">
        <f>ROUND(TABLE_PIVOT[[#This Row],[Satisfaction Rating]],0)</f>
        <v>4</v>
      </c>
    </row>
    <row r="377" spans="1:11" x14ac:dyDescent="0.3">
      <c r="A377" s="8" t="s">
        <v>2003</v>
      </c>
      <c r="B377" s="8" t="s">
        <v>1682</v>
      </c>
      <c r="C377" s="8">
        <v>165</v>
      </c>
      <c r="D377" s="120" t="s">
        <v>1616</v>
      </c>
      <c r="E377" s="121">
        <v>45033</v>
      </c>
      <c r="F377" s="8">
        <v>68</v>
      </c>
      <c r="G377" s="8">
        <v>4.3</v>
      </c>
      <c r="H377" s="82">
        <f>IF(MONTH(TABLE_PIVOT[[#This Row],[Date of Call]])&lt;=6,YEAR(TABLE_PIVOT[[#This Row],[Date of Call]]),YEAR(TABLE_PIVOT[[#This Row],[Date of Call]])+1)</f>
        <v>2023</v>
      </c>
      <c r="I377" s="82" t="str">
        <f>TEXT(TABLE_PIVOT[[#This Row],[Date of Call]],"DDDD")</f>
        <v>Monday</v>
      </c>
      <c r="J377" s="82" t="str" cm="1">
        <f t="array" ref="J377">_xlfn.IFS(TABLE_PIVOT[[#This Row],[Duration]]&lt;=10,"Under 10 Mins",TABLE_PIVOT[[#This Row],[Duration]]&lt;=30,"10 to 30 Mins",TABLE_PIVOT[[#This Row],[Duration]]&lt;=60,"30 to 60 Mins",TABLE_PIVOT[[#This Row],[Duration]]&lt;=120,"1 to 2 Hours",TRUE,"More Than 2 Hours")</f>
        <v>More Than 2 Hours</v>
      </c>
      <c r="K377" s="82">
        <f>ROUND(TABLE_PIVOT[[#This Row],[Satisfaction Rating]],0)</f>
        <v>4</v>
      </c>
    </row>
    <row r="378" spans="1:11" x14ac:dyDescent="0.3">
      <c r="A378" s="8" t="s">
        <v>2004</v>
      </c>
      <c r="B378" s="8" t="s">
        <v>1649</v>
      </c>
      <c r="C378" s="8">
        <v>125</v>
      </c>
      <c r="D378" s="120" t="s">
        <v>1616</v>
      </c>
      <c r="E378" s="121">
        <v>45033</v>
      </c>
      <c r="F378" s="8">
        <v>148</v>
      </c>
      <c r="G378" s="8">
        <v>4.5</v>
      </c>
      <c r="H378" s="82">
        <f>IF(MONTH(TABLE_PIVOT[[#This Row],[Date of Call]])&lt;=6,YEAR(TABLE_PIVOT[[#This Row],[Date of Call]]),YEAR(TABLE_PIVOT[[#This Row],[Date of Call]])+1)</f>
        <v>2023</v>
      </c>
      <c r="I378" s="82" t="str">
        <f>TEXT(TABLE_PIVOT[[#This Row],[Date of Call]],"DDDD")</f>
        <v>Monday</v>
      </c>
      <c r="J378" s="82" t="str" cm="1">
        <f t="array" ref="J378">_xlfn.IFS(TABLE_PIVOT[[#This Row],[Duration]]&lt;=10,"Under 10 Mins",TABLE_PIVOT[[#This Row],[Duration]]&lt;=30,"10 to 30 Mins",TABLE_PIVOT[[#This Row],[Duration]]&lt;=60,"30 to 60 Mins",TABLE_PIVOT[[#This Row],[Duration]]&lt;=120,"1 to 2 Hours",TRUE,"More Than 2 Hours")</f>
        <v>More Than 2 Hours</v>
      </c>
      <c r="K378" s="82">
        <f>ROUND(TABLE_PIVOT[[#This Row],[Satisfaction Rating]],0)</f>
        <v>5</v>
      </c>
    </row>
    <row r="379" spans="1:11" x14ac:dyDescent="0.3">
      <c r="A379" s="8" t="s">
        <v>2005</v>
      </c>
      <c r="B379" s="8" t="s">
        <v>1615</v>
      </c>
      <c r="C379" s="8">
        <v>88</v>
      </c>
      <c r="D379" s="120" t="s">
        <v>1611</v>
      </c>
      <c r="E379" s="121">
        <v>45034</v>
      </c>
      <c r="F379" s="8">
        <v>81</v>
      </c>
      <c r="G379" s="8">
        <v>4.2</v>
      </c>
      <c r="H379" s="82">
        <f>IF(MONTH(TABLE_PIVOT[[#This Row],[Date of Call]])&lt;=6,YEAR(TABLE_PIVOT[[#This Row],[Date of Call]]),YEAR(TABLE_PIVOT[[#This Row],[Date of Call]])+1)</f>
        <v>2023</v>
      </c>
      <c r="I379" s="82" t="str">
        <f>TEXT(TABLE_PIVOT[[#This Row],[Date of Call]],"DDDD")</f>
        <v>Tuesday</v>
      </c>
      <c r="J379" s="82" t="str" cm="1">
        <f t="array" ref="J379">_xlfn.IFS(TABLE_PIVOT[[#This Row],[Duration]]&lt;=10,"Under 10 Mins",TABLE_PIVOT[[#This Row],[Duration]]&lt;=30,"10 to 30 Mins",TABLE_PIVOT[[#This Row],[Duration]]&lt;=60,"30 to 60 Mins",TABLE_PIVOT[[#This Row],[Duration]]&lt;=120,"1 to 2 Hours",TRUE,"More Than 2 Hours")</f>
        <v>1 to 2 Hours</v>
      </c>
      <c r="K379" s="82">
        <f>ROUND(TABLE_PIVOT[[#This Row],[Satisfaction Rating]],0)</f>
        <v>4</v>
      </c>
    </row>
    <row r="380" spans="1:11" x14ac:dyDescent="0.3">
      <c r="A380" s="8" t="s">
        <v>2006</v>
      </c>
      <c r="B380" s="8" t="s">
        <v>1633</v>
      </c>
      <c r="C380" s="8">
        <v>6</v>
      </c>
      <c r="D380" s="120" t="s">
        <v>1611</v>
      </c>
      <c r="E380" s="121">
        <v>45034</v>
      </c>
      <c r="F380" s="8">
        <v>75</v>
      </c>
      <c r="G380" s="8">
        <v>3.9</v>
      </c>
      <c r="H380" s="82">
        <f>IF(MONTH(TABLE_PIVOT[[#This Row],[Date of Call]])&lt;=6,YEAR(TABLE_PIVOT[[#This Row],[Date of Call]]),YEAR(TABLE_PIVOT[[#This Row],[Date of Call]])+1)</f>
        <v>2023</v>
      </c>
      <c r="I380" s="82" t="str">
        <f>TEXT(TABLE_PIVOT[[#This Row],[Date of Call]],"DDDD")</f>
        <v>Tuesday</v>
      </c>
      <c r="J380" s="82" t="str" cm="1">
        <f t="array" ref="J380">_xlfn.IFS(TABLE_PIVOT[[#This Row],[Duration]]&lt;=10,"Under 10 Mins",TABLE_PIVOT[[#This Row],[Duration]]&lt;=30,"10 to 30 Mins",TABLE_PIVOT[[#This Row],[Duration]]&lt;=60,"30 to 60 Mins",TABLE_PIVOT[[#This Row],[Duration]]&lt;=120,"1 to 2 Hours",TRUE,"More Than 2 Hours")</f>
        <v>Under 10 Mins</v>
      </c>
      <c r="K380" s="82">
        <f>ROUND(TABLE_PIVOT[[#This Row],[Satisfaction Rating]],0)</f>
        <v>4</v>
      </c>
    </row>
    <row r="381" spans="1:11" x14ac:dyDescent="0.3">
      <c r="A381" s="8" t="s">
        <v>2007</v>
      </c>
      <c r="B381" s="8" t="s">
        <v>1641</v>
      </c>
      <c r="C381" s="8">
        <v>69</v>
      </c>
      <c r="D381" s="120" t="s">
        <v>1621</v>
      </c>
      <c r="E381" s="121">
        <v>45035</v>
      </c>
      <c r="F381" s="8">
        <v>32</v>
      </c>
      <c r="G381" s="8">
        <v>3.6</v>
      </c>
      <c r="H381" s="82">
        <f>IF(MONTH(TABLE_PIVOT[[#This Row],[Date of Call]])&lt;=6,YEAR(TABLE_PIVOT[[#This Row],[Date of Call]]),YEAR(TABLE_PIVOT[[#This Row],[Date of Call]])+1)</f>
        <v>2023</v>
      </c>
      <c r="I381" s="82" t="str">
        <f>TEXT(TABLE_PIVOT[[#This Row],[Date of Call]],"DDDD")</f>
        <v>Wednesday</v>
      </c>
      <c r="J381" s="82" t="str" cm="1">
        <f t="array" ref="J381">_xlfn.IFS(TABLE_PIVOT[[#This Row],[Duration]]&lt;=10,"Under 10 Mins",TABLE_PIVOT[[#This Row],[Duration]]&lt;=30,"10 to 30 Mins",TABLE_PIVOT[[#This Row],[Duration]]&lt;=60,"30 to 60 Mins",TABLE_PIVOT[[#This Row],[Duration]]&lt;=120,"1 to 2 Hours",TRUE,"More Than 2 Hours")</f>
        <v>1 to 2 Hours</v>
      </c>
      <c r="K381" s="82">
        <f>ROUND(TABLE_PIVOT[[#This Row],[Satisfaction Rating]],0)</f>
        <v>4</v>
      </c>
    </row>
    <row r="382" spans="1:11" x14ac:dyDescent="0.3">
      <c r="A382" s="8" t="s">
        <v>2008</v>
      </c>
      <c r="B382" s="8" t="s">
        <v>1662</v>
      </c>
      <c r="C382" s="8">
        <v>107</v>
      </c>
      <c r="D382" s="120" t="s">
        <v>1621</v>
      </c>
      <c r="E382" s="121">
        <v>45035</v>
      </c>
      <c r="F382" s="8">
        <v>156</v>
      </c>
      <c r="G382" s="8">
        <v>3.8</v>
      </c>
      <c r="H382" s="82">
        <f>IF(MONTH(TABLE_PIVOT[[#This Row],[Date of Call]])&lt;=6,YEAR(TABLE_PIVOT[[#This Row],[Date of Call]]),YEAR(TABLE_PIVOT[[#This Row],[Date of Call]])+1)</f>
        <v>2023</v>
      </c>
      <c r="I382" s="82" t="str">
        <f>TEXT(TABLE_PIVOT[[#This Row],[Date of Call]],"DDDD")</f>
        <v>Wednesday</v>
      </c>
      <c r="J382" s="82" t="str" cm="1">
        <f t="array" ref="J382">_xlfn.IFS(TABLE_PIVOT[[#This Row],[Duration]]&lt;=10,"Under 10 Mins",TABLE_PIVOT[[#This Row],[Duration]]&lt;=30,"10 to 30 Mins",TABLE_PIVOT[[#This Row],[Duration]]&lt;=60,"30 to 60 Mins",TABLE_PIVOT[[#This Row],[Duration]]&lt;=120,"1 to 2 Hours",TRUE,"More Than 2 Hours")</f>
        <v>1 to 2 Hours</v>
      </c>
      <c r="K382" s="82">
        <f>ROUND(TABLE_PIVOT[[#This Row],[Satisfaction Rating]],0)</f>
        <v>4</v>
      </c>
    </row>
    <row r="383" spans="1:11" x14ac:dyDescent="0.3">
      <c r="A383" s="8" t="s">
        <v>2009</v>
      </c>
      <c r="B383" s="8" t="s">
        <v>1613</v>
      </c>
      <c r="C383" s="8">
        <v>90</v>
      </c>
      <c r="D383" s="120" t="s">
        <v>1616</v>
      </c>
      <c r="E383" s="121">
        <v>45035</v>
      </c>
      <c r="F383" s="8">
        <v>99</v>
      </c>
      <c r="G383" s="8">
        <v>4.9000000000000004</v>
      </c>
      <c r="H383" s="82">
        <f>IF(MONTH(TABLE_PIVOT[[#This Row],[Date of Call]])&lt;=6,YEAR(TABLE_PIVOT[[#This Row],[Date of Call]]),YEAR(TABLE_PIVOT[[#This Row],[Date of Call]])+1)</f>
        <v>2023</v>
      </c>
      <c r="I383" s="82" t="str">
        <f>TEXT(TABLE_PIVOT[[#This Row],[Date of Call]],"DDDD")</f>
        <v>Wednesday</v>
      </c>
      <c r="J383" s="82" t="str" cm="1">
        <f t="array" ref="J383">_xlfn.IFS(TABLE_PIVOT[[#This Row],[Duration]]&lt;=10,"Under 10 Mins",TABLE_PIVOT[[#This Row],[Duration]]&lt;=30,"10 to 30 Mins",TABLE_PIVOT[[#This Row],[Duration]]&lt;=60,"30 to 60 Mins",TABLE_PIVOT[[#This Row],[Duration]]&lt;=120,"1 to 2 Hours",TRUE,"More Than 2 Hours")</f>
        <v>1 to 2 Hours</v>
      </c>
      <c r="K383" s="82">
        <f>ROUND(TABLE_PIVOT[[#This Row],[Satisfaction Rating]],0)</f>
        <v>5</v>
      </c>
    </row>
    <row r="384" spans="1:11" x14ac:dyDescent="0.3">
      <c r="A384" s="8" t="s">
        <v>2010</v>
      </c>
      <c r="B384" s="8" t="s">
        <v>1610</v>
      </c>
      <c r="C384" s="8">
        <v>120</v>
      </c>
      <c r="D384" s="120" t="s">
        <v>1630</v>
      </c>
      <c r="E384" s="121">
        <v>45035</v>
      </c>
      <c r="F384" s="8">
        <v>26</v>
      </c>
      <c r="G384" s="8">
        <v>4</v>
      </c>
      <c r="H384" s="82">
        <f>IF(MONTH(TABLE_PIVOT[[#This Row],[Date of Call]])&lt;=6,YEAR(TABLE_PIVOT[[#This Row],[Date of Call]]),YEAR(TABLE_PIVOT[[#This Row],[Date of Call]])+1)</f>
        <v>2023</v>
      </c>
      <c r="I384" s="82" t="str">
        <f>TEXT(TABLE_PIVOT[[#This Row],[Date of Call]],"DDDD")</f>
        <v>Wednesday</v>
      </c>
      <c r="J384" s="82" t="str" cm="1">
        <f t="array" ref="J384">_xlfn.IFS(TABLE_PIVOT[[#This Row],[Duration]]&lt;=10,"Under 10 Mins",TABLE_PIVOT[[#This Row],[Duration]]&lt;=30,"10 to 30 Mins",TABLE_PIVOT[[#This Row],[Duration]]&lt;=60,"30 to 60 Mins",TABLE_PIVOT[[#This Row],[Duration]]&lt;=120,"1 to 2 Hours",TRUE,"More Than 2 Hours")</f>
        <v>1 to 2 Hours</v>
      </c>
      <c r="K384" s="82">
        <f>ROUND(TABLE_PIVOT[[#This Row],[Satisfaction Rating]],0)</f>
        <v>4</v>
      </c>
    </row>
    <row r="385" spans="1:11" x14ac:dyDescent="0.3">
      <c r="A385" s="8" t="s">
        <v>2011</v>
      </c>
      <c r="B385" s="8" t="s">
        <v>1620</v>
      </c>
      <c r="C385" s="8">
        <v>47</v>
      </c>
      <c r="D385" s="120" t="s">
        <v>1621</v>
      </c>
      <c r="E385" s="121">
        <v>45035</v>
      </c>
      <c r="F385" s="8">
        <v>84</v>
      </c>
      <c r="G385" s="8">
        <v>4.0999999999999996</v>
      </c>
      <c r="H385" s="82">
        <f>IF(MONTH(TABLE_PIVOT[[#This Row],[Date of Call]])&lt;=6,YEAR(TABLE_PIVOT[[#This Row],[Date of Call]]),YEAR(TABLE_PIVOT[[#This Row],[Date of Call]])+1)</f>
        <v>2023</v>
      </c>
      <c r="I385" s="82" t="str">
        <f>TEXT(TABLE_PIVOT[[#This Row],[Date of Call]],"DDDD")</f>
        <v>Wednesday</v>
      </c>
      <c r="J385" s="82" t="str" cm="1">
        <f t="array" ref="J385">_xlfn.IFS(TABLE_PIVOT[[#This Row],[Duration]]&lt;=10,"Under 10 Mins",TABLE_PIVOT[[#This Row],[Duration]]&lt;=30,"10 to 30 Mins",TABLE_PIVOT[[#This Row],[Duration]]&lt;=60,"30 to 60 Mins",TABLE_PIVOT[[#This Row],[Duration]]&lt;=120,"1 to 2 Hours",TRUE,"More Than 2 Hours")</f>
        <v>30 to 60 Mins</v>
      </c>
      <c r="K385" s="82">
        <f>ROUND(TABLE_PIVOT[[#This Row],[Satisfaction Rating]],0)</f>
        <v>4</v>
      </c>
    </row>
    <row r="386" spans="1:11" x14ac:dyDescent="0.3">
      <c r="A386" s="8" t="s">
        <v>2012</v>
      </c>
      <c r="B386" s="8" t="s">
        <v>1618</v>
      </c>
      <c r="C386" s="8">
        <v>60</v>
      </c>
      <c r="D386" s="120" t="s">
        <v>1630</v>
      </c>
      <c r="E386" s="121">
        <v>45035</v>
      </c>
      <c r="F386" s="8">
        <v>84</v>
      </c>
      <c r="G386" s="8">
        <v>4.8</v>
      </c>
      <c r="H386" s="82">
        <f>IF(MONTH(TABLE_PIVOT[[#This Row],[Date of Call]])&lt;=6,YEAR(TABLE_PIVOT[[#This Row],[Date of Call]]),YEAR(TABLE_PIVOT[[#This Row],[Date of Call]])+1)</f>
        <v>2023</v>
      </c>
      <c r="I386" s="82" t="str">
        <f>TEXT(TABLE_PIVOT[[#This Row],[Date of Call]],"DDDD")</f>
        <v>Wednesday</v>
      </c>
      <c r="J386" s="82" t="str" cm="1">
        <f t="array" ref="J386">_xlfn.IFS(TABLE_PIVOT[[#This Row],[Duration]]&lt;=10,"Under 10 Mins",TABLE_PIVOT[[#This Row],[Duration]]&lt;=30,"10 to 30 Mins",TABLE_PIVOT[[#This Row],[Duration]]&lt;=60,"30 to 60 Mins",TABLE_PIVOT[[#This Row],[Duration]]&lt;=120,"1 to 2 Hours",TRUE,"More Than 2 Hours")</f>
        <v>30 to 60 Mins</v>
      </c>
      <c r="K386" s="82">
        <f>ROUND(TABLE_PIVOT[[#This Row],[Satisfaction Rating]],0)</f>
        <v>5</v>
      </c>
    </row>
    <row r="387" spans="1:11" x14ac:dyDescent="0.3">
      <c r="A387" s="8" t="s">
        <v>2013</v>
      </c>
      <c r="B387" s="8" t="s">
        <v>1644</v>
      </c>
      <c r="C387" s="8">
        <v>64</v>
      </c>
      <c r="D387" s="120" t="s">
        <v>1616</v>
      </c>
      <c r="E387" s="121">
        <v>45035</v>
      </c>
      <c r="F387" s="8">
        <v>170</v>
      </c>
      <c r="G387" s="8">
        <v>2.2999999999999998</v>
      </c>
      <c r="H387" s="82">
        <f>IF(MONTH(TABLE_PIVOT[[#This Row],[Date of Call]])&lt;=6,YEAR(TABLE_PIVOT[[#This Row],[Date of Call]]),YEAR(TABLE_PIVOT[[#This Row],[Date of Call]])+1)</f>
        <v>2023</v>
      </c>
      <c r="I387" s="82" t="str">
        <f>TEXT(TABLE_PIVOT[[#This Row],[Date of Call]],"DDDD")</f>
        <v>Wednesday</v>
      </c>
      <c r="J387" s="82" t="str" cm="1">
        <f t="array" ref="J387">_xlfn.IFS(TABLE_PIVOT[[#This Row],[Duration]]&lt;=10,"Under 10 Mins",TABLE_PIVOT[[#This Row],[Duration]]&lt;=30,"10 to 30 Mins",TABLE_PIVOT[[#This Row],[Duration]]&lt;=60,"30 to 60 Mins",TABLE_PIVOT[[#This Row],[Duration]]&lt;=120,"1 to 2 Hours",TRUE,"More Than 2 Hours")</f>
        <v>1 to 2 Hours</v>
      </c>
      <c r="K387" s="82">
        <f>ROUND(TABLE_PIVOT[[#This Row],[Satisfaction Rating]],0)</f>
        <v>2</v>
      </c>
    </row>
    <row r="388" spans="1:11" x14ac:dyDescent="0.3">
      <c r="A388" s="8" t="s">
        <v>2014</v>
      </c>
      <c r="B388" s="8" t="s">
        <v>1682</v>
      </c>
      <c r="C388" s="8">
        <v>62</v>
      </c>
      <c r="D388" s="120" t="s">
        <v>1621</v>
      </c>
      <c r="E388" s="121">
        <v>45035</v>
      </c>
      <c r="F388" s="8">
        <v>35</v>
      </c>
      <c r="G388" s="8">
        <v>4.4000000000000004</v>
      </c>
      <c r="H388" s="82">
        <f>IF(MONTH(TABLE_PIVOT[[#This Row],[Date of Call]])&lt;=6,YEAR(TABLE_PIVOT[[#This Row],[Date of Call]]),YEAR(TABLE_PIVOT[[#This Row],[Date of Call]])+1)</f>
        <v>2023</v>
      </c>
      <c r="I388" s="82" t="str">
        <f>TEXT(TABLE_PIVOT[[#This Row],[Date of Call]],"DDDD")</f>
        <v>Wednesday</v>
      </c>
      <c r="J388" s="82" t="str" cm="1">
        <f t="array" ref="J388">_xlfn.IFS(TABLE_PIVOT[[#This Row],[Duration]]&lt;=10,"Under 10 Mins",TABLE_PIVOT[[#This Row],[Duration]]&lt;=30,"10 to 30 Mins",TABLE_PIVOT[[#This Row],[Duration]]&lt;=60,"30 to 60 Mins",TABLE_PIVOT[[#This Row],[Duration]]&lt;=120,"1 to 2 Hours",TRUE,"More Than 2 Hours")</f>
        <v>1 to 2 Hours</v>
      </c>
      <c r="K388" s="82">
        <f>ROUND(TABLE_PIVOT[[#This Row],[Satisfaction Rating]],0)</f>
        <v>4</v>
      </c>
    </row>
    <row r="389" spans="1:11" x14ac:dyDescent="0.3">
      <c r="A389" s="8" t="s">
        <v>2015</v>
      </c>
      <c r="B389" s="8" t="s">
        <v>1629</v>
      </c>
      <c r="C389" s="8">
        <v>88</v>
      </c>
      <c r="D389" s="120" t="s">
        <v>1621</v>
      </c>
      <c r="E389" s="121">
        <v>45036</v>
      </c>
      <c r="F389" s="8">
        <v>35</v>
      </c>
      <c r="G389" s="8">
        <v>3.8</v>
      </c>
      <c r="H389" s="82">
        <f>IF(MONTH(TABLE_PIVOT[[#This Row],[Date of Call]])&lt;=6,YEAR(TABLE_PIVOT[[#This Row],[Date of Call]]),YEAR(TABLE_PIVOT[[#This Row],[Date of Call]])+1)</f>
        <v>2023</v>
      </c>
      <c r="I389" s="82" t="str">
        <f>TEXT(TABLE_PIVOT[[#This Row],[Date of Call]],"DDDD")</f>
        <v>Thursday</v>
      </c>
      <c r="J389" s="82" t="str" cm="1">
        <f t="array" ref="J389">_xlfn.IFS(TABLE_PIVOT[[#This Row],[Duration]]&lt;=10,"Under 10 Mins",TABLE_PIVOT[[#This Row],[Duration]]&lt;=30,"10 to 30 Mins",TABLE_PIVOT[[#This Row],[Duration]]&lt;=60,"30 to 60 Mins",TABLE_PIVOT[[#This Row],[Duration]]&lt;=120,"1 to 2 Hours",TRUE,"More Than 2 Hours")</f>
        <v>1 to 2 Hours</v>
      </c>
      <c r="K389" s="82">
        <f>ROUND(TABLE_PIVOT[[#This Row],[Satisfaction Rating]],0)</f>
        <v>4</v>
      </c>
    </row>
    <row r="390" spans="1:11" x14ac:dyDescent="0.3">
      <c r="A390" s="8" t="s">
        <v>2016</v>
      </c>
      <c r="B390" s="8" t="s">
        <v>1649</v>
      </c>
      <c r="C390" s="8">
        <v>116</v>
      </c>
      <c r="D390" s="120" t="s">
        <v>1621</v>
      </c>
      <c r="E390" s="121">
        <v>45036</v>
      </c>
      <c r="F390" s="8">
        <v>132</v>
      </c>
      <c r="G390" s="8">
        <v>5</v>
      </c>
      <c r="H390" s="82">
        <f>IF(MONTH(TABLE_PIVOT[[#This Row],[Date of Call]])&lt;=6,YEAR(TABLE_PIVOT[[#This Row],[Date of Call]]),YEAR(TABLE_PIVOT[[#This Row],[Date of Call]])+1)</f>
        <v>2023</v>
      </c>
      <c r="I390" s="82" t="str">
        <f>TEXT(TABLE_PIVOT[[#This Row],[Date of Call]],"DDDD")</f>
        <v>Thursday</v>
      </c>
      <c r="J390" s="82" t="str" cm="1">
        <f t="array" ref="J390">_xlfn.IFS(TABLE_PIVOT[[#This Row],[Duration]]&lt;=10,"Under 10 Mins",TABLE_PIVOT[[#This Row],[Duration]]&lt;=30,"10 to 30 Mins",TABLE_PIVOT[[#This Row],[Duration]]&lt;=60,"30 to 60 Mins",TABLE_PIVOT[[#This Row],[Duration]]&lt;=120,"1 to 2 Hours",TRUE,"More Than 2 Hours")</f>
        <v>1 to 2 Hours</v>
      </c>
      <c r="K390" s="82">
        <f>ROUND(TABLE_PIVOT[[#This Row],[Satisfaction Rating]],0)</f>
        <v>5</v>
      </c>
    </row>
    <row r="391" spans="1:11" x14ac:dyDescent="0.3">
      <c r="A391" s="8" t="s">
        <v>2017</v>
      </c>
      <c r="B391" s="8" t="s">
        <v>1613</v>
      </c>
      <c r="C391" s="8">
        <v>82</v>
      </c>
      <c r="D391" s="120" t="s">
        <v>1611</v>
      </c>
      <c r="E391" s="121">
        <v>45037</v>
      </c>
      <c r="F391" s="8">
        <v>144</v>
      </c>
      <c r="G391" s="8">
        <v>3.3</v>
      </c>
      <c r="H391" s="82">
        <f>IF(MONTH(TABLE_PIVOT[[#This Row],[Date of Call]])&lt;=6,YEAR(TABLE_PIVOT[[#This Row],[Date of Call]]),YEAR(TABLE_PIVOT[[#This Row],[Date of Call]])+1)</f>
        <v>2023</v>
      </c>
      <c r="I391" s="82" t="str">
        <f>TEXT(TABLE_PIVOT[[#This Row],[Date of Call]],"DDDD")</f>
        <v>Friday</v>
      </c>
      <c r="J391" s="82" t="str" cm="1">
        <f t="array" ref="J391">_xlfn.IFS(TABLE_PIVOT[[#This Row],[Duration]]&lt;=10,"Under 10 Mins",TABLE_PIVOT[[#This Row],[Duration]]&lt;=30,"10 to 30 Mins",TABLE_PIVOT[[#This Row],[Duration]]&lt;=60,"30 to 60 Mins",TABLE_PIVOT[[#This Row],[Duration]]&lt;=120,"1 to 2 Hours",TRUE,"More Than 2 Hours")</f>
        <v>1 to 2 Hours</v>
      </c>
      <c r="K391" s="82">
        <f>ROUND(TABLE_PIVOT[[#This Row],[Satisfaction Rating]],0)</f>
        <v>3</v>
      </c>
    </row>
    <row r="392" spans="1:11" x14ac:dyDescent="0.3">
      <c r="A392" s="8" t="s">
        <v>2018</v>
      </c>
      <c r="B392" s="8" t="s">
        <v>1682</v>
      </c>
      <c r="C392" s="8">
        <v>99</v>
      </c>
      <c r="D392" s="120" t="s">
        <v>1616</v>
      </c>
      <c r="E392" s="121">
        <v>45037</v>
      </c>
      <c r="F392" s="8">
        <v>48</v>
      </c>
      <c r="G392" s="8">
        <v>5</v>
      </c>
      <c r="H392" s="82">
        <f>IF(MONTH(TABLE_PIVOT[[#This Row],[Date of Call]])&lt;=6,YEAR(TABLE_PIVOT[[#This Row],[Date of Call]]),YEAR(TABLE_PIVOT[[#This Row],[Date of Call]])+1)</f>
        <v>2023</v>
      </c>
      <c r="I392" s="82" t="str">
        <f>TEXT(TABLE_PIVOT[[#This Row],[Date of Call]],"DDDD")</f>
        <v>Friday</v>
      </c>
      <c r="J392" s="82" t="str" cm="1">
        <f t="array" ref="J392">_xlfn.IFS(TABLE_PIVOT[[#This Row],[Duration]]&lt;=10,"Under 10 Mins",TABLE_PIVOT[[#This Row],[Duration]]&lt;=30,"10 to 30 Mins",TABLE_PIVOT[[#This Row],[Duration]]&lt;=60,"30 to 60 Mins",TABLE_PIVOT[[#This Row],[Duration]]&lt;=120,"1 to 2 Hours",TRUE,"More Than 2 Hours")</f>
        <v>1 to 2 Hours</v>
      </c>
      <c r="K392" s="82">
        <f>ROUND(TABLE_PIVOT[[#This Row],[Satisfaction Rating]],0)</f>
        <v>5</v>
      </c>
    </row>
    <row r="393" spans="1:11" x14ac:dyDescent="0.3">
      <c r="A393" s="8" t="s">
        <v>2019</v>
      </c>
      <c r="B393" s="8" t="s">
        <v>1682</v>
      </c>
      <c r="C393" s="8">
        <v>55</v>
      </c>
      <c r="D393" s="120" t="s">
        <v>1611</v>
      </c>
      <c r="E393" s="121">
        <v>45037</v>
      </c>
      <c r="F393" s="8">
        <v>200</v>
      </c>
      <c r="G393" s="8">
        <v>2.2999999999999998</v>
      </c>
      <c r="H393" s="82">
        <f>IF(MONTH(TABLE_PIVOT[[#This Row],[Date of Call]])&lt;=6,YEAR(TABLE_PIVOT[[#This Row],[Date of Call]]),YEAR(TABLE_PIVOT[[#This Row],[Date of Call]])+1)</f>
        <v>2023</v>
      </c>
      <c r="I393" s="82" t="str">
        <f>TEXT(TABLE_PIVOT[[#This Row],[Date of Call]],"DDDD")</f>
        <v>Friday</v>
      </c>
      <c r="J393" s="82" t="str" cm="1">
        <f t="array" ref="J393">_xlfn.IFS(TABLE_PIVOT[[#This Row],[Duration]]&lt;=10,"Under 10 Mins",TABLE_PIVOT[[#This Row],[Duration]]&lt;=30,"10 to 30 Mins",TABLE_PIVOT[[#This Row],[Duration]]&lt;=60,"30 to 60 Mins",TABLE_PIVOT[[#This Row],[Duration]]&lt;=120,"1 to 2 Hours",TRUE,"More Than 2 Hours")</f>
        <v>30 to 60 Mins</v>
      </c>
      <c r="K393" s="82">
        <f>ROUND(TABLE_PIVOT[[#This Row],[Satisfaction Rating]],0)</f>
        <v>2</v>
      </c>
    </row>
    <row r="394" spans="1:11" x14ac:dyDescent="0.3">
      <c r="A394" s="8" t="s">
        <v>2020</v>
      </c>
      <c r="B394" s="8" t="s">
        <v>1644</v>
      </c>
      <c r="C394" s="8">
        <v>61</v>
      </c>
      <c r="D394" s="120" t="s">
        <v>1630</v>
      </c>
      <c r="E394" s="121">
        <v>45037</v>
      </c>
      <c r="F394" s="8">
        <v>38</v>
      </c>
      <c r="G394" s="8">
        <v>4.8</v>
      </c>
      <c r="H394" s="82">
        <f>IF(MONTH(TABLE_PIVOT[[#This Row],[Date of Call]])&lt;=6,YEAR(TABLE_PIVOT[[#This Row],[Date of Call]]),YEAR(TABLE_PIVOT[[#This Row],[Date of Call]])+1)</f>
        <v>2023</v>
      </c>
      <c r="I394" s="82" t="str">
        <f>TEXT(TABLE_PIVOT[[#This Row],[Date of Call]],"DDDD")</f>
        <v>Friday</v>
      </c>
      <c r="J394" s="82" t="str" cm="1">
        <f t="array" ref="J394">_xlfn.IFS(TABLE_PIVOT[[#This Row],[Duration]]&lt;=10,"Under 10 Mins",TABLE_PIVOT[[#This Row],[Duration]]&lt;=30,"10 to 30 Mins",TABLE_PIVOT[[#This Row],[Duration]]&lt;=60,"30 to 60 Mins",TABLE_PIVOT[[#This Row],[Duration]]&lt;=120,"1 to 2 Hours",TRUE,"More Than 2 Hours")</f>
        <v>1 to 2 Hours</v>
      </c>
      <c r="K394" s="82">
        <f>ROUND(TABLE_PIVOT[[#This Row],[Satisfaction Rating]],0)</f>
        <v>5</v>
      </c>
    </row>
    <row r="395" spans="1:11" x14ac:dyDescent="0.3">
      <c r="A395" s="8" t="s">
        <v>2021</v>
      </c>
      <c r="B395" s="8" t="s">
        <v>1649</v>
      </c>
      <c r="C395" s="8">
        <v>36</v>
      </c>
      <c r="D395" s="120" t="s">
        <v>1626</v>
      </c>
      <c r="E395" s="121">
        <v>45037</v>
      </c>
      <c r="F395" s="8">
        <v>81</v>
      </c>
      <c r="G395" s="8">
        <v>3.7</v>
      </c>
      <c r="H395" s="82">
        <f>IF(MONTH(TABLE_PIVOT[[#This Row],[Date of Call]])&lt;=6,YEAR(TABLE_PIVOT[[#This Row],[Date of Call]]),YEAR(TABLE_PIVOT[[#This Row],[Date of Call]])+1)</f>
        <v>2023</v>
      </c>
      <c r="I395" s="82" t="str">
        <f>TEXT(TABLE_PIVOT[[#This Row],[Date of Call]],"DDDD")</f>
        <v>Friday</v>
      </c>
      <c r="J395" s="82" t="str" cm="1">
        <f t="array" ref="J395">_xlfn.IFS(TABLE_PIVOT[[#This Row],[Duration]]&lt;=10,"Under 10 Mins",TABLE_PIVOT[[#This Row],[Duration]]&lt;=30,"10 to 30 Mins",TABLE_PIVOT[[#This Row],[Duration]]&lt;=60,"30 to 60 Mins",TABLE_PIVOT[[#This Row],[Duration]]&lt;=120,"1 to 2 Hours",TRUE,"More Than 2 Hours")</f>
        <v>30 to 60 Mins</v>
      </c>
      <c r="K395" s="82">
        <f>ROUND(TABLE_PIVOT[[#This Row],[Satisfaction Rating]],0)</f>
        <v>4</v>
      </c>
    </row>
    <row r="396" spans="1:11" x14ac:dyDescent="0.3">
      <c r="A396" s="8" t="s">
        <v>2022</v>
      </c>
      <c r="B396" s="8" t="s">
        <v>1613</v>
      </c>
      <c r="C396" s="8">
        <v>123</v>
      </c>
      <c r="D396" s="120" t="s">
        <v>1621</v>
      </c>
      <c r="E396" s="121">
        <v>45037</v>
      </c>
      <c r="F396" s="8">
        <v>120</v>
      </c>
      <c r="G396" s="8">
        <v>4.2</v>
      </c>
      <c r="H396" s="82">
        <f>IF(MONTH(TABLE_PIVOT[[#This Row],[Date of Call]])&lt;=6,YEAR(TABLE_PIVOT[[#This Row],[Date of Call]]),YEAR(TABLE_PIVOT[[#This Row],[Date of Call]])+1)</f>
        <v>2023</v>
      </c>
      <c r="I396" s="82" t="str">
        <f>TEXT(TABLE_PIVOT[[#This Row],[Date of Call]],"DDDD")</f>
        <v>Friday</v>
      </c>
      <c r="J396" s="82" t="str" cm="1">
        <f t="array" ref="J396">_xlfn.IFS(TABLE_PIVOT[[#This Row],[Duration]]&lt;=10,"Under 10 Mins",TABLE_PIVOT[[#This Row],[Duration]]&lt;=30,"10 to 30 Mins",TABLE_PIVOT[[#This Row],[Duration]]&lt;=60,"30 to 60 Mins",TABLE_PIVOT[[#This Row],[Duration]]&lt;=120,"1 to 2 Hours",TRUE,"More Than 2 Hours")</f>
        <v>More Than 2 Hours</v>
      </c>
      <c r="K396" s="82">
        <f>ROUND(TABLE_PIVOT[[#This Row],[Satisfaction Rating]],0)</f>
        <v>4</v>
      </c>
    </row>
    <row r="397" spans="1:11" x14ac:dyDescent="0.3">
      <c r="A397" s="8" t="s">
        <v>2023</v>
      </c>
      <c r="B397" s="8" t="s">
        <v>1635</v>
      </c>
      <c r="C397" s="8">
        <v>24</v>
      </c>
      <c r="D397" s="120" t="s">
        <v>1630</v>
      </c>
      <c r="E397" s="121">
        <v>45037</v>
      </c>
      <c r="F397" s="8">
        <v>74</v>
      </c>
      <c r="G397" s="8">
        <v>4.8</v>
      </c>
      <c r="H397" s="82">
        <f>IF(MONTH(TABLE_PIVOT[[#This Row],[Date of Call]])&lt;=6,YEAR(TABLE_PIVOT[[#This Row],[Date of Call]]),YEAR(TABLE_PIVOT[[#This Row],[Date of Call]])+1)</f>
        <v>2023</v>
      </c>
      <c r="I397" s="82" t="str">
        <f>TEXT(TABLE_PIVOT[[#This Row],[Date of Call]],"DDDD")</f>
        <v>Friday</v>
      </c>
      <c r="J397" s="82" t="str" cm="1">
        <f t="array" ref="J397">_xlfn.IFS(TABLE_PIVOT[[#This Row],[Duration]]&lt;=10,"Under 10 Mins",TABLE_PIVOT[[#This Row],[Duration]]&lt;=30,"10 to 30 Mins",TABLE_PIVOT[[#This Row],[Duration]]&lt;=60,"30 to 60 Mins",TABLE_PIVOT[[#This Row],[Duration]]&lt;=120,"1 to 2 Hours",TRUE,"More Than 2 Hours")</f>
        <v>10 to 30 Mins</v>
      </c>
      <c r="K397" s="82">
        <f>ROUND(TABLE_PIVOT[[#This Row],[Satisfaction Rating]],0)</f>
        <v>5</v>
      </c>
    </row>
    <row r="398" spans="1:11" x14ac:dyDescent="0.3">
      <c r="A398" s="8" t="s">
        <v>2024</v>
      </c>
      <c r="B398" s="8" t="s">
        <v>1613</v>
      </c>
      <c r="C398" s="8">
        <v>43</v>
      </c>
      <c r="D398" s="120" t="s">
        <v>1621</v>
      </c>
      <c r="E398" s="121">
        <v>45038</v>
      </c>
      <c r="F398" s="8">
        <v>128</v>
      </c>
      <c r="G398" s="8">
        <v>4.7</v>
      </c>
      <c r="H398" s="82">
        <f>IF(MONTH(TABLE_PIVOT[[#This Row],[Date of Call]])&lt;=6,YEAR(TABLE_PIVOT[[#This Row],[Date of Call]]),YEAR(TABLE_PIVOT[[#This Row],[Date of Call]])+1)</f>
        <v>2023</v>
      </c>
      <c r="I398" s="82" t="str">
        <f>TEXT(TABLE_PIVOT[[#This Row],[Date of Call]],"DDDD")</f>
        <v>Saturday</v>
      </c>
      <c r="J398" s="82" t="str" cm="1">
        <f t="array" ref="J398">_xlfn.IFS(TABLE_PIVOT[[#This Row],[Duration]]&lt;=10,"Under 10 Mins",TABLE_PIVOT[[#This Row],[Duration]]&lt;=30,"10 to 30 Mins",TABLE_PIVOT[[#This Row],[Duration]]&lt;=60,"30 to 60 Mins",TABLE_PIVOT[[#This Row],[Duration]]&lt;=120,"1 to 2 Hours",TRUE,"More Than 2 Hours")</f>
        <v>30 to 60 Mins</v>
      </c>
      <c r="K398" s="82">
        <f>ROUND(TABLE_PIVOT[[#This Row],[Satisfaction Rating]],0)</f>
        <v>5</v>
      </c>
    </row>
    <row r="399" spans="1:11" x14ac:dyDescent="0.3">
      <c r="A399" s="8" t="s">
        <v>2025</v>
      </c>
      <c r="B399" s="8" t="s">
        <v>1618</v>
      </c>
      <c r="C399" s="8">
        <v>95</v>
      </c>
      <c r="D399" s="120" t="s">
        <v>1616</v>
      </c>
      <c r="E399" s="121">
        <v>45038</v>
      </c>
      <c r="F399" s="8">
        <v>21</v>
      </c>
      <c r="G399" s="8">
        <v>3.9</v>
      </c>
      <c r="H399" s="82">
        <f>IF(MONTH(TABLE_PIVOT[[#This Row],[Date of Call]])&lt;=6,YEAR(TABLE_PIVOT[[#This Row],[Date of Call]]),YEAR(TABLE_PIVOT[[#This Row],[Date of Call]])+1)</f>
        <v>2023</v>
      </c>
      <c r="I399" s="82" t="str">
        <f>TEXT(TABLE_PIVOT[[#This Row],[Date of Call]],"DDDD")</f>
        <v>Saturday</v>
      </c>
      <c r="J399" s="82" t="str" cm="1">
        <f t="array" ref="J399">_xlfn.IFS(TABLE_PIVOT[[#This Row],[Duration]]&lt;=10,"Under 10 Mins",TABLE_PIVOT[[#This Row],[Duration]]&lt;=30,"10 to 30 Mins",TABLE_PIVOT[[#This Row],[Duration]]&lt;=60,"30 to 60 Mins",TABLE_PIVOT[[#This Row],[Duration]]&lt;=120,"1 to 2 Hours",TRUE,"More Than 2 Hours")</f>
        <v>1 to 2 Hours</v>
      </c>
      <c r="K399" s="82">
        <f>ROUND(TABLE_PIVOT[[#This Row],[Satisfaction Rating]],0)</f>
        <v>4</v>
      </c>
    </row>
    <row r="400" spans="1:11" x14ac:dyDescent="0.3">
      <c r="A400" s="8" t="s">
        <v>2026</v>
      </c>
      <c r="B400" s="8" t="s">
        <v>1682</v>
      </c>
      <c r="C400" s="8">
        <v>53</v>
      </c>
      <c r="D400" s="120" t="s">
        <v>1621</v>
      </c>
      <c r="E400" s="121">
        <v>45038</v>
      </c>
      <c r="F400" s="8">
        <v>110</v>
      </c>
      <c r="G400" s="8">
        <v>4.3</v>
      </c>
      <c r="H400" s="82">
        <f>IF(MONTH(TABLE_PIVOT[[#This Row],[Date of Call]])&lt;=6,YEAR(TABLE_PIVOT[[#This Row],[Date of Call]]),YEAR(TABLE_PIVOT[[#This Row],[Date of Call]])+1)</f>
        <v>2023</v>
      </c>
      <c r="I400" s="82" t="str">
        <f>TEXT(TABLE_PIVOT[[#This Row],[Date of Call]],"DDDD")</f>
        <v>Saturday</v>
      </c>
      <c r="J400" s="82" t="str" cm="1">
        <f t="array" ref="J400">_xlfn.IFS(TABLE_PIVOT[[#This Row],[Duration]]&lt;=10,"Under 10 Mins",TABLE_PIVOT[[#This Row],[Duration]]&lt;=30,"10 to 30 Mins",TABLE_PIVOT[[#This Row],[Duration]]&lt;=60,"30 to 60 Mins",TABLE_PIVOT[[#This Row],[Duration]]&lt;=120,"1 to 2 Hours",TRUE,"More Than 2 Hours")</f>
        <v>30 to 60 Mins</v>
      </c>
      <c r="K400" s="82">
        <f>ROUND(TABLE_PIVOT[[#This Row],[Satisfaction Rating]],0)</f>
        <v>4</v>
      </c>
    </row>
    <row r="401" spans="1:11" x14ac:dyDescent="0.3">
      <c r="A401" s="8" t="s">
        <v>2027</v>
      </c>
      <c r="B401" s="8" t="s">
        <v>1613</v>
      </c>
      <c r="C401" s="8">
        <v>113</v>
      </c>
      <c r="D401" s="120" t="s">
        <v>1621</v>
      </c>
      <c r="E401" s="121">
        <v>45038</v>
      </c>
      <c r="F401" s="8">
        <v>145</v>
      </c>
      <c r="G401" s="8">
        <v>4</v>
      </c>
      <c r="H401" s="82">
        <f>IF(MONTH(TABLE_PIVOT[[#This Row],[Date of Call]])&lt;=6,YEAR(TABLE_PIVOT[[#This Row],[Date of Call]]),YEAR(TABLE_PIVOT[[#This Row],[Date of Call]])+1)</f>
        <v>2023</v>
      </c>
      <c r="I401" s="82" t="str">
        <f>TEXT(TABLE_PIVOT[[#This Row],[Date of Call]],"DDDD")</f>
        <v>Saturday</v>
      </c>
      <c r="J401" s="82" t="str" cm="1">
        <f t="array" ref="J401">_xlfn.IFS(TABLE_PIVOT[[#This Row],[Duration]]&lt;=10,"Under 10 Mins",TABLE_PIVOT[[#This Row],[Duration]]&lt;=30,"10 to 30 Mins",TABLE_PIVOT[[#This Row],[Duration]]&lt;=60,"30 to 60 Mins",TABLE_PIVOT[[#This Row],[Duration]]&lt;=120,"1 to 2 Hours",TRUE,"More Than 2 Hours")</f>
        <v>1 to 2 Hours</v>
      </c>
      <c r="K401" s="82">
        <f>ROUND(TABLE_PIVOT[[#This Row],[Satisfaction Rating]],0)</f>
        <v>4</v>
      </c>
    </row>
    <row r="402" spans="1:11" x14ac:dyDescent="0.3">
      <c r="A402" s="8" t="s">
        <v>2028</v>
      </c>
      <c r="B402" s="8" t="s">
        <v>1682</v>
      </c>
      <c r="C402" s="8">
        <v>89</v>
      </c>
      <c r="D402" s="120" t="s">
        <v>1626</v>
      </c>
      <c r="E402" s="121">
        <v>45038</v>
      </c>
      <c r="F402" s="8">
        <v>129</v>
      </c>
      <c r="G402" s="8">
        <v>4</v>
      </c>
      <c r="H402" s="82">
        <f>IF(MONTH(TABLE_PIVOT[[#This Row],[Date of Call]])&lt;=6,YEAR(TABLE_PIVOT[[#This Row],[Date of Call]]),YEAR(TABLE_PIVOT[[#This Row],[Date of Call]])+1)</f>
        <v>2023</v>
      </c>
      <c r="I402" s="82" t="str">
        <f>TEXT(TABLE_PIVOT[[#This Row],[Date of Call]],"DDDD")</f>
        <v>Saturday</v>
      </c>
      <c r="J402" s="82" t="str" cm="1">
        <f t="array" ref="J402">_xlfn.IFS(TABLE_PIVOT[[#This Row],[Duration]]&lt;=10,"Under 10 Mins",TABLE_PIVOT[[#This Row],[Duration]]&lt;=30,"10 to 30 Mins",TABLE_PIVOT[[#This Row],[Duration]]&lt;=60,"30 to 60 Mins",TABLE_PIVOT[[#This Row],[Duration]]&lt;=120,"1 to 2 Hours",TRUE,"More Than 2 Hours")</f>
        <v>1 to 2 Hours</v>
      </c>
      <c r="K402" s="82">
        <f>ROUND(TABLE_PIVOT[[#This Row],[Satisfaction Rating]],0)</f>
        <v>4</v>
      </c>
    </row>
    <row r="403" spans="1:11" x14ac:dyDescent="0.3">
      <c r="A403" s="8" t="s">
        <v>2029</v>
      </c>
      <c r="B403" s="8" t="s">
        <v>1629</v>
      </c>
      <c r="C403" s="8">
        <v>84</v>
      </c>
      <c r="D403" s="120" t="s">
        <v>1611</v>
      </c>
      <c r="E403" s="121">
        <v>45038</v>
      </c>
      <c r="F403" s="8">
        <v>156</v>
      </c>
      <c r="G403" s="8">
        <v>3.2</v>
      </c>
      <c r="H403" s="82">
        <f>IF(MONTH(TABLE_PIVOT[[#This Row],[Date of Call]])&lt;=6,YEAR(TABLE_PIVOT[[#This Row],[Date of Call]]),YEAR(TABLE_PIVOT[[#This Row],[Date of Call]])+1)</f>
        <v>2023</v>
      </c>
      <c r="I403" s="82" t="str">
        <f>TEXT(TABLE_PIVOT[[#This Row],[Date of Call]],"DDDD")</f>
        <v>Saturday</v>
      </c>
      <c r="J403" s="82" t="str" cm="1">
        <f t="array" ref="J403">_xlfn.IFS(TABLE_PIVOT[[#This Row],[Duration]]&lt;=10,"Under 10 Mins",TABLE_PIVOT[[#This Row],[Duration]]&lt;=30,"10 to 30 Mins",TABLE_PIVOT[[#This Row],[Duration]]&lt;=60,"30 to 60 Mins",TABLE_PIVOT[[#This Row],[Duration]]&lt;=120,"1 to 2 Hours",TRUE,"More Than 2 Hours")</f>
        <v>1 to 2 Hours</v>
      </c>
      <c r="K403" s="82">
        <f>ROUND(TABLE_PIVOT[[#This Row],[Satisfaction Rating]],0)</f>
        <v>3</v>
      </c>
    </row>
    <row r="404" spans="1:11" x14ac:dyDescent="0.3">
      <c r="A404" s="8" t="s">
        <v>2030</v>
      </c>
      <c r="B404" s="8" t="s">
        <v>1635</v>
      </c>
      <c r="C404" s="8">
        <v>130</v>
      </c>
      <c r="D404" s="120" t="s">
        <v>1621</v>
      </c>
      <c r="E404" s="121">
        <v>45039</v>
      </c>
      <c r="F404" s="8">
        <v>120</v>
      </c>
      <c r="G404" s="8">
        <v>3.8</v>
      </c>
      <c r="H404" s="82">
        <f>IF(MONTH(TABLE_PIVOT[[#This Row],[Date of Call]])&lt;=6,YEAR(TABLE_PIVOT[[#This Row],[Date of Call]]),YEAR(TABLE_PIVOT[[#This Row],[Date of Call]])+1)</f>
        <v>2023</v>
      </c>
      <c r="I404" s="82" t="str">
        <f>TEXT(TABLE_PIVOT[[#This Row],[Date of Call]],"DDDD")</f>
        <v>Sunday</v>
      </c>
      <c r="J404" s="82" t="str" cm="1">
        <f t="array" ref="J404">_xlfn.IFS(TABLE_PIVOT[[#This Row],[Duration]]&lt;=10,"Under 10 Mins",TABLE_PIVOT[[#This Row],[Duration]]&lt;=30,"10 to 30 Mins",TABLE_PIVOT[[#This Row],[Duration]]&lt;=60,"30 to 60 Mins",TABLE_PIVOT[[#This Row],[Duration]]&lt;=120,"1 to 2 Hours",TRUE,"More Than 2 Hours")</f>
        <v>More Than 2 Hours</v>
      </c>
      <c r="K404" s="82">
        <f>ROUND(TABLE_PIVOT[[#This Row],[Satisfaction Rating]],0)</f>
        <v>4</v>
      </c>
    </row>
    <row r="405" spans="1:11" x14ac:dyDescent="0.3">
      <c r="A405" s="8" t="s">
        <v>2031</v>
      </c>
      <c r="B405" s="8" t="s">
        <v>1618</v>
      </c>
      <c r="C405" s="8">
        <v>163</v>
      </c>
      <c r="D405" s="120" t="s">
        <v>1626</v>
      </c>
      <c r="E405" s="121">
        <v>45039</v>
      </c>
      <c r="F405" s="8">
        <v>62</v>
      </c>
      <c r="G405" s="8">
        <v>3.4</v>
      </c>
      <c r="H405" s="82">
        <f>IF(MONTH(TABLE_PIVOT[[#This Row],[Date of Call]])&lt;=6,YEAR(TABLE_PIVOT[[#This Row],[Date of Call]]),YEAR(TABLE_PIVOT[[#This Row],[Date of Call]])+1)</f>
        <v>2023</v>
      </c>
      <c r="I405" s="82" t="str">
        <f>TEXT(TABLE_PIVOT[[#This Row],[Date of Call]],"DDDD")</f>
        <v>Sunday</v>
      </c>
      <c r="J405" s="82" t="str" cm="1">
        <f t="array" ref="J405">_xlfn.IFS(TABLE_PIVOT[[#This Row],[Duration]]&lt;=10,"Under 10 Mins",TABLE_PIVOT[[#This Row],[Duration]]&lt;=30,"10 to 30 Mins",TABLE_PIVOT[[#This Row],[Duration]]&lt;=60,"30 to 60 Mins",TABLE_PIVOT[[#This Row],[Duration]]&lt;=120,"1 to 2 Hours",TRUE,"More Than 2 Hours")</f>
        <v>More Than 2 Hours</v>
      </c>
      <c r="K405" s="82">
        <f>ROUND(TABLE_PIVOT[[#This Row],[Satisfaction Rating]],0)</f>
        <v>3</v>
      </c>
    </row>
    <row r="406" spans="1:11" x14ac:dyDescent="0.3">
      <c r="A406" s="8" t="s">
        <v>2032</v>
      </c>
      <c r="B406" s="8" t="s">
        <v>1641</v>
      </c>
      <c r="C406" s="8">
        <v>127</v>
      </c>
      <c r="D406" s="120" t="s">
        <v>1621</v>
      </c>
      <c r="E406" s="121">
        <v>45039</v>
      </c>
      <c r="F406" s="8">
        <v>160</v>
      </c>
      <c r="G406" s="8">
        <v>3.2</v>
      </c>
      <c r="H406" s="82">
        <f>IF(MONTH(TABLE_PIVOT[[#This Row],[Date of Call]])&lt;=6,YEAR(TABLE_PIVOT[[#This Row],[Date of Call]]),YEAR(TABLE_PIVOT[[#This Row],[Date of Call]])+1)</f>
        <v>2023</v>
      </c>
      <c r="I406" s="82" t="str">
        <f>TEXT(TABLE_PIVOT[[#This Row],[Date of Call]],"DDDD")</f>
        <v>Sunday</v>
      </c>
      <c r="J406" s="82" t="str" cm="1">
        <f t="array" ref="J406">_xlfn.IFS(TABLE_PIVOT[[#This Row],[Duration]]&lt;=10,"Under 10 Mins",TABLE_PIVOT[[#This Row],[Duration]]&lt;=30,"10 to 30 Mins",TABLE_PIVOT[[#This Row],[Duration]]&lt;=60,"30 to 60 Mins",TABLE_PIVOT[[#This Row],[Duration]]&lt;=120,"1 to 2 Hours",TRUE,"More Than 2 Hours")</f>
        <v>More Than 2 Hours</v>
      </c>
      <c r="K406" s="82">
        <f>ROUND(TABLE_PIVOT[[#This Row],[Satisfaction Rating]],0)</f>
        <v>3</v>
      </c>
    </row>
    <row r="407" spans="1:11" x14ac:dyDescent="0.3">
      <c r="A407" s="8" t="s">
        <v>2033</v>
      </c>
      <c r="B407" s="8" t="s">
        <v>1613</v>
      </c>
      <c r="C407" s="8">
        <v>50</v>
      </c>
      <c r="D407" s="120" t="s">
        <v>1621</v>
      </c>
      <c r="E407" s="121">
        <v>45039</v>
      </c>
      <c r="F407" s="8">
        <v>56</v>
      </c>
      <c r="G407" s="8">
        <v>4.7</v>
      </c>
      <c r="H407" s="82">
        <f>IF(MONTH(TABLE_PIVOT[[#This Row],[Date of Call]])&lt;=6,YEAR(TABLE_PIVOT[[#This Row],[Date of Call]]),YEAR(TABLE_PIVOT[[#This Row],[Date of Call]])+1)</f>
        <v>2023</v>
      </c>
      <c r="I407" s="82" t="str">
        <f>TEXT(TABLE_PIVOT[[#This Row],[Date of Call]],"DDDD")</f>
        <v>Sunday</v>
      </c>
      <c r="J407" s="82" t="str" cm="1">
        <f t="array" ref="J407">_xlfn.IFS(TABLE_PIVOT[[#This Row],[Duration]]&lt;=10,"Under 10 Mins",TABLE_PIVOT[[#This Row],[Duration]]&lt;=30,"10 to 30 Mins",TABLE_PIVOT[[#This Row],[Duration]]&lt;=60,"30 to 60 Mins",TABLE_PIVOT[[#This Row],[Duration]]&lt;=120,"1 to 2 Hours",TRUE,"More Than 2 Hours")</f>
        <v>30 to 60 Mins</v>
      </c>
      <c r="K407" s="82">
        <f>ROUND(TABLE_PIVOT[[#This Row],[Satisfaction Rating]],0)</f>
        <v>5</v>
      </c>
    </row>
    <row r="408" spans="1:11" x14ac:dyDescent="0.3">
      <c r="A408" s="8" t="s">
        <v>2034</v>
      </c>
      <c r="B408" s="8" t="s">
        <v>1624</v>
      </c>
      <c r="C408" s="8">
        <v>88</v>
      </c>
      <c r="D408" s="120" t="s">
        <v>1630</v>
      </c>
      <c r="E408" s="121">
        <v>45039</v>
      </c>
      <c r="F408" s="8">
        <v>72</v>
      </c>
      <c r="G408" s="8">
        <v>4</v>
      </c>
      <c r="H408" s="82">
        <f>IF(MONTH(TABLE_PIVOT[[#This Row],[Date of Call]])&lt;=6,YEAR(TABLE_PIVOT[[#This Row],[Date of Call]]),YEAR(TABLE_PIVOT[[#This Row],[Date of Call]])+1)</f>
        <v>2023</v>
      </c>
      <c r="I408" s="82" t="str">
        <f>TEXT(TABLE_PIVOT[[#This Row],[Date of Call]],"DDDD")</f>
        <v>Sunday</v>
      </c>
      <c r="J408" s="82" t="str" cm="1">
        <f t="array" ref="J408">_xlfn.IFS(TABLE_PIVOT[[#This Row],[Duration]]&lt;=10,"Under 10 Mins",TABLE_PIVOT[[#This Row],[Duration]]&lt;=30,"10 to 30 Mins",TABLE_PIVOT[[#This Row],[Duration]]&lt;=60,"30 to 60 Mins",TABLE_PIVOT[[#This Row],[Duration]]&lt;=120,"1 to 2 Hours",TRUE,"More Than 2 Hours")</f>
        <v>1 to 2 Hours</v>
      </c>
      <c r="K408" s="82">
        <f>ROUND(TABLE_PIVOT[[#This Row],[Satisfaction Rating]],0)</f>
        <v>4</v>
      </c>
    </row>
    <row r="409" spans="1:11" x14ac:dyDescent="0.3">
      <c r="A409" s="8" t="s">
        <v>2035</v>
      </c>
      <c r="B409" s="8" t="s">
        <v>1613</v>
      </c>
      <c r="C409" s="8">
        <v>139</v>
      </c>
      <c r="D409" s="120" t="s">
        <v>1616</v>
      </c>
      <c r="E409" s="121">
        <v>45040</v>
      </c>
      <c r="F409" s="8">
        <v>81</v>
      </c>
      <c r="G409" s="8">
        <v>4.8</v>
      </c>
      <c r="H409" s="82">
        <f>IF(MONTH(TABLE_PIVOT[[#This Row],[Date of Call]])&lt;=6,YEAR(TABLE_PIVOT[[#This Row],[Date of Call]]),YEAR(TABLE_PIVOT[[#This Row],[Date of Call]])+1)</f>
        <v>2023</v>
      </c>
      <c r="I409" s="82" t="str">
        <f>TEXT(TABLE_PIVOT[[#This Row],[Date of Call]],"DDDD")</f>
        <v>Monday</v>
      </c>
      <c r="J409" s="82" t="str" cm="1">
        <f t="array" ref="J409">_xlfn.IFS(TABLE_PIVOT[[#This Row],[Duration]]&lt;=10,"Under 10 Mins",TABLE_PIVOT[[#This Row],[Duration]]&lt;=30,"10 to 30 Mins",TABLE_PIVOT[[#This Row],[Duration]]&lt;=60,"30 to 60 Mins",TABLE_PIVOT[[#This Row],[Duration]]&lt;=120,"1 to 2 Hours",TRUE,"More Than 2 Hours")</f>
        <v>More Than 2 Hours</v>
      </c>
      <c r="K409" s="82">
        <f>ROUND(TABLE_PIVOT[[#This Row],[Satisfaction Rating]],0)</f>
        <v>5</v>
      </c>
    </row>
    <row r="410" spans="1:11" x14ac:dyDescent="0.3">
      <c r="A410" s="8" t="s">
        <v>2036</v>
      </c>
      <c r="B410" s="8" t="s">
        <v>1618</v>
      </c>
      <c r="C410" s="8">
        <v>111</v>
      </c>
      <c r="D410" s="120" t="s">
        <v>1621</v>
      </c>
      <c r="E410" s="121">
        <v>45040</v>
      </c>
      <c r="F410" s="8">
        <v>144</v>
      </c>
      <c r="G410" s="8">
        <v>3.9</v>
      </c>
      <c r="H410" s="82">
        <f>IF(MONTH(TABLE_PIVOT[[#This Row],[Date of Call]])&lt;=6,YEAR(TABLE_PIVOT[[#This Row],[Date of Call]]),YEAR(TABLE_PIVOT[[#This Row],[Date of Call]])+1)</f>
        <v>2023</v>
      </c>
      <c r="I410" s="82" t="str">
        <f>TEXT(TABLE_PIVOT[[#This Row],[Date of Call]],"DDDD")</f>
        <v>Monday</v>
      </c>
      <c r="J410" s="82" t="str" cm="1">
        <f t="array" ref="J410">_xlfn.IFS(TABLE_PIVOT[[#This Row],[Duration]]&lt;=10,"Under 10 Mins",TABLE_PIVOT[[#This Row],[Duration]]&lt;=30,"10 to 30 Mins",TABLE_PIVOT[[#This Row],[Duration]]&lt;=60,"30 to 60 Mins",TABLE_PIVOT[[#This Row],[Duration]]&lt;=120,"1 to 2 Hours",TRUE,"More Than 2 Hours")</f>
        <v>1 to 2 Hours</v>
      </c>
      <c r="K410" s="82">
        <f>ROUND(TABLE_PIVOT[[#This Row],[Satisfaction Rating]],0)</f>
        <v>4</v>
      </c>
    </row>
    <row r="411" spans="1:11" x14ac:dyDescent="0.3">
      <c r="A411" s="8" t="s">
        <v>2037</v>
      </c>
      <c r="B411" s="8" t="s">
        <v>1615</v>
      </c>
      <c r="C411" s="8">
        <v>115</v>
      </c>
      <c r="D411" s="120" t="s">
        <v>1616</v>
      </c>
      <c r="E411" s="121">
        <v>45040</v>
      </c>
      <c r="F411" s="8">
        <v>111</v>
      </c>
      <c r="G411" s="8">
        <v>4.3</v>
      </c>
      <c r="H411" s="82">
        <f>IF(MONTH(TABLE_PIVOT[[#This Row],[Date of Call]])&lt;=6,YEAR(TABLE_PIVOT[[#This Row],[Date of Call]]),YEAR(TABLE_PIVOT[[#This Row],[Date of Call]])+1)</f>
        <v>2023</v>
      </c>
      <c r="I411" s="82" t="str">
        <f>TEXT(TABLE_PIVOT[[#This Row],[Date of Call]],"DDDD")</f>
        <v>Monday</v>
      </c>
      <c r="J411" s="82" t="str" cm="1">
        <f t="array" ref="J411">_xlfn.IFS(TABLE_PIVOT[[#This Row],[Duration]]&lt;=10,"Under 10 Mins",TABLE_PIVOT[[#This Row],[Duration]]&lt;=30,"10 to 30 Mins",TABLE_PIVOT[[#This Row],[Duration]]&lt;=60,"30 to 60 Mins",TABLE_PIVOT[[#This Row],[Duration]]&lt;=120,"1 to 2 Hours",TRUE,"More Than 2 Hours")</f>
        <v>1 to 2 Hours</v>
      </c>
      <c r="K411" s="82">
        <f>ROUND(TABLE_PIVOT[[#This Row],[Satisfaction Rating]],0)</f>
        <v>4</v>
      </c>
    </row>
    <row r="412" spans="1:11" x14ac:dyDescent="0.3">
      <c r="A412" s="8" t="s">
        <v>2038</v>
      </c>
      <c r="B412" s="8" t="s">
        <v>1682</v>
      </c>
      <c r="C412" s="8">
        <v>26</v>
      </c>
      <c r="D412" s="120" t="s">
        <v>1626</v>
      </c>
      <c r="E412" s="121">
        <v>45040</v>
      </c>
      <c r="F412" s="8">
        <v>43</v>
      </c>
      <c r="G412" s="8">
        <v>4.2</v>
      </c>
      <c r="H412" s="82">
        <f>IF(MONTH(TABLE_PIVOT[[#This Row],[Date of Call]])&lt;=6,YEAR(TABLE_PIVOT[[#This Row],[Date of Call]]),YEAR(TABLE_PIVOT[[#This Row],[Date of Call]])+1)</f>
        <v>2023</v>
      </c>
      <c r="I412" s="82" t="str">
        <f>TEXT(TABLE_PIVOT[[#This Row],[Date of Call]],"DDDD")</f>
        <v>Monday</v>
      </c>
      <c r="J412" s="82" t="str" cm="1">
        <f t="array" ref="J412">_xlfn.IFS(TABLE_PIVOT[[#This Row],[Duration]]&lt;=10,"Under 10 Mins",TABLE_PIVOT[[#This Row],[Duration]]&lt;=30,"10 to 30 Mins",TABLE_PIVOT[[#This Row],[Duration]]&lt;=60,"30 to 60 Mins",TABLE_PIVOT[[#This Row],[Duration]]&lt;=120,"1 to 2 Hours",TRUE,"More Than 2 Hours")</f>
        <v>10 to 30 Mins</v>
      </c>
      <c r="K412" s="82">
        <f>ROUND(TABLE_PIVOT[[#This Row],[Satisfaction Rating]],0)</f>
        <v>4</v>
      </c>
    </row>
    <row r="413" spans="1:11" x14ac:dyDescent="0.3">
      <c r="A413" s="8" t="s">
        <v>2039</v>
      </c>
      <c r="B413" s="8" t="s">
        <v>1629</v>
      </c>
      <c r="C413" s="8">
        <v>131</v>
      </c>
      <c r="D413" s="120" t="s">
        <v>1630</v>
      </c>
      <c r="E413" s="121">
        <v>45040</v>
      </c>
      <c r="F413" s="8">
        <v>41</v>
      </c>
      <c r="G413" s="8">
        <v>4.9000000000000004</v>
      </c>
      <c r="H413" s="82">
        <f>IF(MONTH(TABLE_PIVOT[[#This Row],[Date of Call]])&lt;=6,YEAR(TABLE_PIVOT[[#This Row],[Date of Call]]),YEAR(TABLE_PIVOT[[#This Row],[Date of Call]])+1)</f>
        <v>2023</v>
      </c>
      <c r="I413" s="82" t="str">
        <f>TEXT(TABLE_PIVOT[[#This Row],[Date of Call]],"DDDD")</f>
        <v>Monday</v>
      </c>
      <c r="J413" s="82" t="str" cm="1">
        <f t="array" ref="J413">_xlfn.IFS(TABLE_PIVOT[[#This Row],[Duration]]&lt;=10,"Under 10 Mins",TABLE_PIVOT[[#This Row],[Duration]]&lt;=30,"10 to 30 Mins",TABLE_PIVOT[[#This Row],[Duration]]&lt;=60,"30 to 60 Mins",TABLE_PIVOT[[#This Row],[Duration]]&lt;=120,"1 to 2 Hours",TRUE,"More Than 2 Hours")</f>
        <v>More Than 2 Hours</v>
      </c>
      <c r="K413" s="82">
        <f>ROUND(TABLE_PIVOT[[#This Row],[Satisfaction Rating]],0)</f>
        <v>5</v>
      </c>
    </row>
    <row r="414" spans="1:11" x14ac:dyDescent="0.3">
      <c r="A414" s="8" t="s">
        <v>2040</v>
      </c>
      <c r="B414" s="8" t="s">
        <v>1615</v>
      </c>
      <c r="C414" s="8">
        <v>27</v>
      </c>
      <c r="D414" s="120" t="s">
        <v>1630</v>
      </c>
      <c r="E414" s="121">
        <v>45040</v>
      </c>
      <c r="F414" s="8">
        <v>74</v>
      </c>
      <c r="G414" s="8">
        <v>4</v>
      </c>
      <c r="H414" s="82">
        <f>IF(MONTH(TABLE_PIVOT[[#This Row],[Date of Call]])&lt;=6,YEAR(TABLE_PIVOT[[#This Row],[Date of Call]]),YEAR(TABLE_PIVOT[[#This Row],[Date of Call]])+1)</f>
        <v>2023</v>
      </c>
      <c r="I414" s="82" t="str">
        <f>TEXT(TABLE_PIVOT[[#This Row],[Date of Call]],"DDDD")</f>
        <v>Monday</v>
      </c>
      <c r="J414" s="82" t="str" cm="1">
        <f t="array" ref="J414">_xlfn.IFS(TABLE_PIVOT[[#This Row],[Duration]]&lt;=10,"Under 10 Mins",TABLE_PIVOT[[#This Row],[Duration]]&lt;=30,"10 to 30 Mins",TABLE_PIVOT[[#This Row],[Duration]]&lt;=60,"30 to 60 Mins",TABLE_PIVOT[[#This Row],[Duration]]&lt;=120,"1 to 2 Hours",TRUE,"More Than 2 Hours")</f>
        <v>10 to 30 Mins</v>
      </c>
      <c r="K414" s="82">
        <f>ROUND(TABLE_PIVOT[[#This Row],[Satisfaction Rating]],0)</f>
        <v>4</v>
      </c>
    </row>
    <row r="415" spans="1:11" x14ac:dyDescent="0.3">
      <c r="A415" s="8" t="s">
        <v>2041</v>
      </c>
      <c r="B415" s="8" t="s">
        <v>1652</v>
      </c>
      <c r="C415" s="8">
        <v>75</v>
      </c>
      <c r="D415" s="120" t="s">
        <v>1621</v>
      </c>
      <c r="E415" s="121">
        <v>45040</v>
      </c>
      <c r="F415" s="8">
        <v>43</v>
      </c>
      <c r="G415" s="8">
        <v>4.9000000000000004</v>
      </c>
      <c r="H415" s="82">
        <f>IF(MONTH(TABLE_PIVOT[[#This Row],[Date of Call]])&lt;=6,YEAR(TABLE_PIVOT[[#This Row],[Date of Call]]),YEAR(TABLE_PIVOT[[#This Row],[Date of Call]])+1)</f>
        <v>2023</v>
      </c>
      <c r="I415" s="82" t="str">
        <f>TEXT(TABLE_PIVOT[[#This Row],[Date of Call]],"DDDD")</f>
        <v>Monday</v>
      </c>
      <c r="J415" s="82" t="str" cm="1">
        <f t="array" ref="J415">_xlfn.IFS(TABLE_PIVOT[[#This Row],[Duration]]&lt;=10,"Under 10 Mins",TABLE_PIVOT[[#This Row],[Duration]]&lt;=30,"10 to 30 Mins",TABLE_PIVOT[[#This Row],[Duration]]&lt;=60,"30 to 60 Mins",TABLE_PIVOT[[#This Row],[Duration]]&lt;=120,"1 to 2 Hours",TRUE,"More Than 2 Hours")</f>
        <v>1 to 2 Hours</v>
      </c>
      <c r="K415" s="82">
        <f>ROUND(TABLE_PIVOT[[#This Row],[Satisfaction Rating]],0)</f>
        <v>5</v>
      </c>
    </row>
    <row r="416" spans="1:11" x14ac:dyDescent="0.3">
      <c r="A416" s="8" t="s">
        <v>2042</v>
      </c>
      <c r="B416" s="8" t="s">
        <v>1644</v>
      </c>
      <c r="C416" s="8">
        <v>123</v>
      </c>
      <c r="D416" s="120" t="s">
        <v>1630</v>
      </c>
      <c r="E416" s="121">
        <v>45040</v>
      </c>
      <c r="F416" s="8">
        <v>128</v>
      </c>
      <c r="G416" s="8">
        <v>3.6</v>
      </c>
      <c r="H416" s="82">
        <f>IF(MONTH(TABLE_PIVOT[[#This Row],[Date of Call]])&lt;=6,YEAR(TABLE_PIVOT[[#This Row],[Date of Call]]),YEAR(TABLE_PIVOT[[#This Row],[Date of Call]])+1)</f>
        <v>2023</v>
      </c>
      <c r="I416" s="82" t="str">
        <f>TEXT(TABLE_PIVOT[[#This Row],[Date of Call]],"DDDD")</f>
        <v>Monday</v>
      </c>
      <c r="J416" s="82" t="str" cm="1">
        <f t="array" ref="J416">_xlfn.IFS(TABLE_PIVOT[[#This Row],[Duration]]&lt;=10,"Under 10 Mins",TABLE_PIVOT[[#This Row],[Duration]]&lt;=30,"10 to 30 Mins",TABLE_PIVOT[[#This Row],[Duration]]&lt;=60,"30 to 60 Mins",TABLE_PIVOT[[#This Row],[Duration]]&lt;=120,"1 to 2 Hours",TRUE,"More Than 2 Hours")</f>
        <v>More Than 2 Hours</v>
      </c>
      <c r="K416" s="82">
        <f>ROUND(TABLE_PIVOT[[#This Row],[Satisfaction Rating]],0)</f>
        <v>4</v>
      </c>
    </row>
    <row r="417" spans="1:11" x14ac:dyDescent="0.3">
      <c r="A417" s="8" t="s">
        <v>2043</v>
      </c>
      <c r="B417" s="8" t="s">
        <v>1610</v>
      </c>
      <c r="C417" s="8">
        <v>129</v>
      </c>
      <c r="D417" s="120" t="s">
        <v>1630</v>
      </c>
      <c r="E417" s="121">
        <v>45041</v>
      </c>
      <c r="F417" s="8">
        <v>144</v>
      </c>
      <c r="G417" s="8">
        <v>4.0999999999999996</v>
      </c>
      <c r="H417" s="82">
        <f>IF(MONTH(TABLE_PIVOT[[#This Row],[Date of Call]])&lt;=6,YEAR(TABLE_PIVOT[[#This Row],[Date of Call]]),YEAR(TABLE_PIVOT[[#This Row],[Date of Call]])+1)</f>
        <v>2023</v>
      </c>
      <c r="I417" s="82" t="str">
        <f>TEXT(TABLE_PIVOT[[#This Row],[Date of Call]],"DDDD")</f>
        <v>Tuesday</v>
      </c>
      <c r="J417" s="82" t="str" cm="1">
        <f t="array" ref="J417">_xlfn.IFS(TABLE_PIVOT[[#This Row],[Duration]]&lt;=10,"Under 10 Mins",TABLE_PIVOT[[#This Row],[Duration]]&lt;=30,"10 to 30 Mins",TABLE_PIVOT[[#This Row],[Duration]]&lt;=60,"30 to 60 Mins",TABLE_PIVOT[[#This Row],[Duration]]&lt;=120,"1 to 2 Hours",TRUE,"More Than 2 Hours")</f>
        <v>More Than 2 Hours</v>
      </c>
      <c r="K417" s="82">
        <f>ROUND(TABLE_PIVOT[[#This Row],[Satisfaction Rating]],0)</f>
        <v>4</v>
      </c>
    </row>
    <row r="418" spans="1:11" x14ac:dyDescent="0.3">
      <c r="A418" s="8" t="s">
        <v>2044</v>
      </c>
      <c r="B418" s="8" t="s">
        <v>1652</v>
      </c>
      <c r="C418" s="8">
        <v>124</v>
      </c>
      <c r="D418" s="120" t="s">
        <v>1616</v>
      </c>
      <c r="E418" s="121">
        <v>45041</v>
      </c>
      <c r="F418" s="8">
        <v>132</v>
      </c>
      <c r="G418" s="8">
        <v>4.9000000000000004</v>
      </c>
      <c r="H418" s="82">
        <f>IF(MONTH(TABLE_PIVOT[[#This Row],[Date of Call]])&lt;=6,YEAR(TABLE_PIVOT[[#This Row],[Date of Call]]),YEAR(TABLE_PIVOT[[#This Row],[Date of Call]])+1)</f>
        <v>2023</v>
      </c>
      <c r="I418" s="82" t="str">
        <f>TEXT(TABLE_PIVOT[[#This Row],[Date of Call]],"DDDD")</f>
        <v>Tuesday</v>
      </c>
      <c r="J418" s="82" t="str" cm="1">
        <f t="array" ref="J418">_xlfn.IFS(TABLE_PIVOT[[#This Row],[Duration]]&lt;=10,"Under 10 Mins",TABLE_PIVOT[[#This Row],[Duration]]&lt;=30,"10 to 30 Mins",TABLE_PIVOT[[#This Row],[Duration]]&lt;=60,"30 to 60 Mins",TABLE_PIVOT[[#This Row],[Duration]]&lt;=120,"1 to 2 Hours",TRUE,"More Than 2 Hours")</f>
        <v>More Than 2 Hours</v>
      </c>
      <c r="K418" s="82">
        <f>ROUND(TABLE_PIVOT[[#This Row],[Satisfaction Rating]],0)</f>
        <v>5</v>
      </c>
    </row>
    <row r="419" spans="1:11" x14ac:dyDescent="0.3">
      <c r="A419" s="8" t="s">
        <v>2045</v>
      </c>
      <c r="B419" s="8" t="s">
        <v>1615</v>
      </c>
      <c r="C419" s="8">
        <v>108</v>
      </c>
      <c r="D419" s="120" t="s">
        <v>1616</v>
      </c>
      <c r="E419" s="121">
        <v>45041</v>
      </c>
      <c r="F419" s="8">
        <v>180</v>
      </c>
      <c r="G419" s="8">
        <v>3.9</v>
      </c>
      <c r="H419" s="82">
        <f>IF(MONTH(TABLE_PIVOT[[#This Row],[Date of Call]])&lt;=6,YEAR(TABLE_PIVOT[[#This Row],[Date of Call]]),YEAR(TABLE_PIVOT[[#This Row],[Date of Call]])+1)</f>
        <v>2023</v>
      </c>
      <c r="I419" s="82" t="str">
        <f>TEXT(TABLE_PIVOT[[#This Row],[Date of Call]],"DDDD")</f>
        <v>Tuesday</v>
      </c>
      <c r="J419" s="82" t="str" cm="1">
        <f t="array" ref="J419">_xlfn.IFS(TABLE_PIVOT[[#This Row],[Duration]]&lt;=10,"Under 10 Mins",TABLE_PIVOT[[#This Row],[Duration]]&lt;=30,"10 to 30 Mins",TABLE_PIVOT[[#This Row],[Duration]]&lt;=60,"30 to 60 Mins",TABLE_PIVOT[[#This Row],[Duration]]&lt;=120,"1 to 2 Hours",TRUE,"More Than 2 Hours")</f>
        <v>1 to 2 Hours</v>
      </c>
      <c r="K419" s="82">
        <f>ROUND(TABLE_PIVOT[[#This Row],[Satisfaction Rating]],0)</f>
        <v>4</v>
      </c>
    </row>
    <row r="420" spans="1:11" x14ac:dyDescent="0.3">
      <c r="A420" s="8" t="s">
        <v>2046</v>
      </c>
      <c r="B420" s="8" t="s">
        <v>1620</v>
      </c>
      <c r="C420" s="8">
        <v>15</v>
      </c>
      <c r="D420" s="120" t="s">
        <v>1616</v>
      </c>
      <c r="E420" s="121">
        <v>45041</v>
      </c>
      <c r="F420" s="8">
        <v>31</v>
      </c>
      <c r="G420" s="8">
        <v>4.0999999999999996</v>
      </c>
      <c r="H420" s="82">
        <f>IF(MONTH(TABLE_PIVOT[[#This Row],[Date of Call]])&lt;=6,YEAR(TABLE_PIVOT[[#This Row],[Date of Call]]),YEAR(TABLE_PIVOT[[#This Row],[Date of Call]])+1)</f>
        <v>2023</v>
      </c>
      <c r="I420" s="82" t="str">
        <f>TEXT(TABLE_PIVOT[[#This Row],[Date of Call]],"DDDD")</f>
        <v>Tuesday</v>
      </c>
      <c r="J420" s="82" t="str" cm="1">
        <f t="array" ref="J420">_xlfn.IFS(TABLE_PIVOT[[#This Row],[Duration]]&lt;=10,"Under 10 Mins",TABLE_PIVOT[[#This Row],[Duration]]&lt;=30,"10 to 30 Mins",TABLE_PIVOT[[#This Row],[Duration]]&lt;=60,"30 to 60 Mins",TABLE_PIVOT[[#This Row],[Duration]]&lt;=120,"1 to 2 Hours",TRUE,"More Than 2 Hours")</f>
        <v>10 to 30 Mins</v>
      </c>
      <c r="K420" s="82">
        <f>ROUND(TABLE_PIVOT[[#This Row],[Satisfaction Rating]],0)</f>
        <v>4</v>
      </c>
    </row>
    <row r="421" spans="1:11" x14ac:dyDescent="0.3">
      <c r="A421" s="8" t="s">
        <v>2047</v>
      </c>
      <c r="B421" s="8" t="s">
        <v>1615</v>
      </c>
      <c r="C421" s="8">
        <v>66</v>
      </c>
      <c r="D421" s="120" t="s">
        <v>1616</v>
      </c>
      <c r="E421" s="121">
        <v>45041</v>
      </c>
      <c r="F421" s="8">
        <v>102</v>
      </c>
      <c r="G421" s="8">
        <v>3.8</v>
      </c>
      <c r="H421" s="82">
        <f>IF(MONTH(TABLE_PIVOT[[#This Row],[Date of Call]])&lt;=6,YEAR(TABLE_PIVOT[[#This Row],[Date of Call]]),YEAR(TABLE_PIVOT[[#This Row],[Date of Call]])+1)</f>
        <v>2023</v>
      </c>
      <c r="I421" s="82" t="str">
        <f>TEXT(TABLE_PIVOT[[#This Row],[Date of Call]],"DDDD")</f>
        <v>Tuesday</v>
      </c>
      <c r="J421" s="82" t="str" cm="1">
        <f t="array" ref="J421">_xlfn.IFS(TABLE_PIVOT[[#This Row],[Duration]]&lt;=10,"Under 10 Mins",TABLE_PIVOT[[#This Row],[Duration]]&lt;=30,"10 to 30 Mins",TABLE_PIVOT[[#This Row],[Duration]]&lt;=60,"30 to 60 Mins",TABLE_PIVOT[[#This Row],[Duration]]&lt;=120,"1 to 2 Hours",TRUE,"More Than 2 Hours")</f>
        <v>1 to 2 Hours</v>
      </c>
      <c r="K421" s="82">
        <f>ROUND(TABLE_PIVOT[[#This Row],[Satisfaction Rating]],0)</f>
        <v>4</v>
      </c>
    </row>
    <row r="422" spans="1:11" x14ac:dyDescent="0.3">
      <c r="A422" s="8" t="s">
        <v>2048</v>
      </c>
      <c r="B422" s="8" t="s">
        <v>1624</v>
      </c>
      <c r="C422" s="8">
        <v>126</v>
      </c>
      <c r="D422" s="120" t="s">
        <v>1621</v>
      </c>
      <c r="E422" s="121">
        <v>45042</v>
      </c>
      <c r="F422" s="8">
        <v>175</v>
      </c>
      <c r="G422" s="8">
        <v>4.8</v>
      </c>
      <c r="H422" s="82">
        <f>IF(MONTH(TABLE_PIVOT[[#This Row],[Date of Call]])&lt;=6,YEAR(TABLE_PIVOT[[#This Row],[Date of Call]]),YEAR(TABLE_PIVOT[[#This Row],[Date of Call]])+1)</f>
        <v>2023</v>
      </c>
      <c r="I422" s="82" t="str">
        <f>TEXT(TABLE_PIVOT[[#This Row],[Date of Call]],"DDDD")</f>
        <v>Wednesday</v>
      </c>
      <c r="J422" s="82" t="str" cm="1">
        <f t="array" ref="J422">_xlfn.IFS(TABLE_PIVOT[[#This Row],[Duration]]&lt;=10,"Under 10 Mins",TABLE_PIVOT[[#This Row],[Duration]]&lt;=30,"10 to 30 Mins",TABLE_PIVOT[[#This Row],[Duration]]&lt;=60,"30 to 60 Mins",TABLE_PIVOT[[#This Row],[Duration]]&lt;=120,"1 to 2 Hours",TRUE,"More Than 2 Hours")</f>
        <v>More Than 2 Hours</v>
      </c>
      <c r="K422" s="82">
        <f>ROUND(TABLE_PIVOT[[#This Row],[Satisfaction Rating]],0)</f>
        <v>5</v>
      </c>
    </row>
    <row r="423" spans="1:11" x14ac:dyDescent="0.3">
      <c r="A423" s="8" t="s">
        <v>2049</v>
      </c>
      <c r="B423" s="8" t="s">
        <v>1652</v>
      </c>
      <c r="C423" s="8">
        <v>26</v>
      </c>
      <c r="D423" s="120" t="s">
        <v>1611</v>
      </c>
      <c r="E423" s="121">
        <v>45042</v>
      </c>
      <c r="F423" s="8">
        <v>87</v>
      </c>
      <c r="G423" s="8">
        <v>4.7</v>
      </c>
      <c r="H423" s="82">
        <f>IF(MONTH(TABLE_PIVOT[[#This Row],[Date of Call]])&lt;=6,YEAR(TABLE_PIVOT[[#This Row],[Date of Call]]),YEAR(TABLE_PIVOT[[#This Row],[Date of Call]])+1)</f>
        <v>2023</v>
      </c>
      <c r="I423" s="82" t="str">
        <f>TEXT(TABLE_PIVOT[[#This Row],[Date of Call]],"DDDD")</f>
        <v>Wednesday</v>
      </c>
      <c r="J423" s="82" t="str" cm="1">
        <f t="array" ref="J423">_xlfn.IFS(TABLE_PIVOT[[#This Row],[Duration]]&lt;=10,"Under 10 Mins",TABLE_PIVOT[[#This Row],[Duration]]&lt;=30,"10 to 30 Mins",TABLE_PIVOT[[#This Row],[Duration]]&lt;=60,"30 to 60 Mins",TABLE_PIVOT[[#This Row],[Duration]]&lt;=120,"1 to 2 Hours",TRUE,"More Than 2 Hours")</f>
        <v>10 to 30 Mins</v>
      </c>
      <c r="K423" s="82">
        <f>ROUND(TABLE_PIVOT[[#This Row],[Satisfaction Rating]],0)</f>
        <v>5</v>
      </c>
    </row>
    <row r="424" spans="1:11" x14ac:dyDescent="0.3">
      <c r="A424" s="8" t="s">
        <v>2050</v>
      </c>
      <c r="B424" s="8" t="s">
        <v>1635</v>
      </c>
      <c r="C424" s="8">
        <v>105</v>
      </c>
      <c r="D424" s="120" t="s">
        <v>1621</v>
      </c>
      <c r="E424" s="121">
        <v>45042</v>
      </c>
      <c r="F424" s="8">
        <v>66</v>
      </c>
      <c r="G424" s="8">
        <v>4.2</v>
      </c>
      <c r="H424" s="82">
        <f>IF(MONTH(TABLE_PIVOT[[#This Row],[Date of Call]])&lt;=6,YEAR(TABLE_PIVOT[[#This Row],[Date of Call]]),YEAR(TABLE_PIVOT[[#This Row],[Date of Call]])+1)</f>
        <v>2023</v>
      </c>
      <c r="I424" s="82" t="str">
        <f>TEXT(TABLE_PIVOT[[#This Row],[Date of Call]],"DDDD")</f>
        <v>Wednesday</v>
      </c>
      <c r="J424" s="82" t="str" cm="1">
        <f t="array" ref="J424">_xlfn.IFS(TABLE_PIVOT[[#This Row],[Duration]]&lt;=10,"Under 10 Mins",TABLE_PIVOT[[#This Row],[Duration]]&lt;=30,"10 to 30 Mins",TABLE_PIVOT[[#This Row],[Duration]]&lt;=60,"30 to 60 Mins",TABLE_PIVOT[[#This Row],[Duration]]&lt;=120,"1 to 2 Hours",TRUE,"More Than 2 Hours")</f>
        <v>1 to 2 Hours</v>
      </c>
      <c r="K424" s="82">
        <f>ROUND(TABLE_PIVOT[[#This Row],[Satisfaction Rating]],0)</f>
        <v>4</v>
      </c>
    </row>
    <row r="425" spans="1:11" x14ac:dyDescent="0.3">
      <c r="A425" s="8" t="s">
        <v>2051</v>
      </c>
      <c r="B425" s="8" t="s">
        <v>1635</v>
      </c>
      <c r="C425" s="8">
        <v>31</v>
      </c>
      <c r="D425" s="120" t="s">
        <v>1621</v>
      </c>
      <c r="E425" s="121">
        <v>45042</v>
      </c>
      <c r="F425" s="8">
        <v>25</v>
      </c>
      <c r="G425" s="8">
        <v>3.2</v>
      </c>
      <c r="H425" s="82">
        <f>IF(MONTH(TABLE_PIVOT[[#This Row],[Date of Call]])&lt;=6,YEAR(TABLE_PIVOT[[#This Row],[Date of Call]]),YEAR(TABLE_PIVOT[[#This Row],[Date of Call]])+1)</f>
        <v>2023</v>
      </c>
      <c r="I425" s="82" t="str">
        <f>TEXT(TABLE_PIVOT[[#This Row],[Date of Call]],"DDDD")</f>
        <v>Wednesday</v>
      </c>
      <c r="J425" s="82" t="str" cm="1">
        <f t="array" ref="J425">_xlfn.IFS(TABLE_PIVOT[[#This Row],[Duration]]&lt;=10,"Under 10 Mins",TABLE_PIVOT[[#This Row],[Duration]]&lt;=30,"10 to 30 Mins",TABLE_PIVOT[[#This Row],[Duration]]&lt;=60,"30 to 60 Mins",TABLE_PIVOT[[#This Row],[Duration]]&lt;=120,"1 to 2 Hours",TRUE,"More Than 2 Hours")</f>
        <v>30 to 60 Mins</v>
      </c>
      <c r="K425" s="82">
        <f>ROUND(TABLE_PIVOT[[#This Row],[Satisfaction Rating]],0)</f>
        <v>3</v>
      </c>
    </row>
    <row r="426" spans="1:11" x14ac:dyDescent="0.3">
      <c r="A426" s="8" t="s">
        <v>2052</v>
      </c>
      <c r="B426" s="8" t="s">
        <v>1615</v>
      </c>
      <c r="C426" s="8">
        <v>109</v>
      </c>
      <c r="D426" s="120" t="s">
        <v>1616</v>
      </c>
      <c r="E426" s="121">
        <v>45042</v>
      </c>
      <c r="F426" s="8">
        <v>126</v>
      </c>
      <c r="G426" s="8">
        <v>3.4</v>
      </c>
      <c r="H426" s="82">
        <f>IF(MONTH(TABLE_PIVOT[[#This Row],[Date of Call]])&lt;=6,YEAR(TABLE_PIVOT[[#This Row],[Date of Call]]),YEAR(TABLE_PIVOT[[#This Row],[Date of Call]])+1)</f>
        <v>2023</v>
      </c>
      <c r="I426" s="82" t="str">
        <f>TEXT(TABLE_PIVOT[[#This Row],[Date of Call]],"DDDD")</f>
        <v>Wednesday</v>
      </c>
      <c r="J426" s="82" t="str" cm="1">
        <f t="array" ref="J426">_xlfn.IFS(TABLE_PIVOT[[#This Row],[Duration]]&lt;=10,"Under 10 Mins",TABLE_PIVOT[[#This Row],[Duration]]&lt;=30,"10 to 30 Mins",TABLE_PIVOT[[#This Row],[Duration]]&lt;=60,"30 to 60 Mins",TABLE_PIVOT[[#This Row],[Duration]]&lt;=120,"1 to 2 Hours",TRUE,"More Than 2 Hours")</f>
        <v>1 to 2 Hours</v>
      </c>
      <c r="K426" s="82">
        <f>ROUND(TABLE_PIVOT[[#This Row],[Satisfaction Rating]],0)</f>
        <v>3</v>
      </c>
    </row>
    <row r="427" spans="1:11" x14ac:dyDescent="0.3">
      <c r="A427" s="8" t="s">
        <v>2053</v>
      </c>
      <c r="B427" s="8" t="s">
        <v>1610</v>
      </c>
      <c r="C427" s="8">
        <v>113</v>
      </c>
      <c r="D427" s="120" t="s">
        <v>1626</v>
      </c>
      <c r="E427" s="121">
        <v>45043</v>
      </c>
      <c r="F427" s="8">
        <v>42</v>
      </c>
      <c r="G427" s="8">
        <v>4.5999999999999996</v>
      </c>
      <c r="H427" s="82">
        <f>IF(MONTH(TABLE_PIVOT[[#This Row],[Date of Call]])&lt;=6,YEAR(TABLE_PIVOT[[#This Row],[Date of Call]]),YEAR(TABLE_PIVOT[[#This Row],[Date of Call]])+1)</f>
        <v>2023</v>
      </c>
      <c r="I427" s="82" t="str">
        <f>TEXT(TABLE_PIVOT[[#This Row],[Date of Call]],"DDDD")</f>
        <v>Thursday</v>
      </c>
      <c r="J427" s="82" t="str" cm="1">
        <f t="array" ref="J427">_xlfn.IFS(TABLE_PIVOT[[#This Row],[Duration]]&lt;=10,"Under 10 Mins",TABLE_PIVOT[[#This Row],[Duration]]&lt;=30,"10 to 30 Mins",TABLE_PIVOT[[#This Row],[Duration]]&lt;=60,"30 to 60 Mins",TABLE_PIVOT[[#This Row],[Duration]]&lt;=120,"1 to 2 Hours",TRUE,"More Than 2 Hours")</f>
        <v>1 to 2 Hours</v>
      </c>
      <c r="K427" s="82">
        <f>ROUND(TABLE_PIVOT[[#This Row],[Satisfaction Rating]],0)</f>
        <v>5</v>
      </c>
    </row>
    <row r="428" spans="1:11" x14ac:dyDescent="0.3">
      <c r="A428" s="8" t="s">
        <v>2054</v>
      </c>
      <c r="B428" s="8" t="s">
        <v>1624</v>
      </c>
      <c r="C428" s="8">
        <v>101</v>
      </c>
      <c r="D428" s="120" t="s">
        <v>1611</v>
      </c>
      <c r="E428" s="121">
        <v>45043</v>
      </c>
      <c r="F428" s="8">
        <v>225</v>
      </c>
      <c r="G428" s="8">
        <v>1.9</v>
      </c>
      <c r="H428" s="82">
        <f>IF(MONTH(TABLE_PIVOT[[#This Row],[Date of Call]])&lt;=6,YEAR(TABLE_PIVOT[[#This Row],[Date of Call]]),YEAR(TABLE_PIVOT[[#This Row],[Date of Call]])+1)</f>
        <v>2023</v>
      </c>
      <c r="I428" s="82" t="str">
        <f>TEXT(TABLE_PIVOT[[#This Row],[Date of Call]],"DDDD")</f>
        <v>Thursday</v>
      </c>
      <c r="J428" s="82" t="str" cm="1">
        <f t="array" ref="J428">_xlfn.IFS(TABLE_PIVOT[[#This Row],[Duration]]&lt;=10,"Under 10 Mins",TABLE_PIVOT[[#This Row],[Duration]]&lt;=30,"10 to 30 Mins",TABLE_PIVOT[[#This Row],[Duration]]&lt;=60,"30 to 60 Mins",TABLE_PIVOT[[#This Row],[Duration]]&lt;=120,"1 to 2 Hours",TRUE,"More Than 2 Hours")</f>
        <v>1 to 2 Hours</v>
      </c>
      <c r="K428" s="82">
        <f>ROUND(TABLE_PIVOT[[#This Row],[Satisfaction Rating]],0)</f>
        <v>2</v>
      </c>
    </row>
    <row r="429" spans="1:11" x14ac:dyDescent="0.3">
      <c r="A429" s="8" t="s">
        <v>2055</v>
      </c>
      <c r="B429" s="8" t="s">
        <v>1618</v>
      </c>
      <c r="C429" s="8">
        <v>156</v>
      </c>
      <c r="D429" s="120" t="s">
        <v>1611</v>
      </c>
      <c r="E429" s="121">
        <v>45043</v>
      </c>
      <c r="F429" s="8">
        <v>42</v>
      </c>
      <c r="G429" s="8">
        <v>3.3</v>
      </c>
      <c r="H429" s="82">
        <f>IF(MONTH(TABLE_PIVOT[[#This Row],[Date of Call]])&lt;=6,YEAR(TABLE_PIVOT[[#This Row],[Date of Call]]),YEAR(TABLE_PIVOT[[#This Row],[Date of Call]])+1)</f>
        <v>2023</v>
      </c>
      <c r="I429" s="82" t="str">
        <f>TEXT(TABLE_PIVOT[[#This Row],[Date of Call]],"DDDD")</f>
        <v>Thursday</v>
      </c>
      <c r="J429" s="82" t="str" cm="1">
        <f t="array" ref="J429">_xlfn.IFS(TABLE_PIVOT[[#This Row],[Duration]]&lt;=10,"Under 10 Mins",TABLE_PIVOT[[#This Row],[Duration]]&lt;=30,"10 to 30 Mins",TABLE_PIVOT[[#This Row],[Duration]]&lt;=60,"30 to 60 Mins",TABLE_PIVOT[[#This Row],[Duration]]&lt;=120,"1 to 2 Hours",TRUE,"More Than 2 Hours")</f>
        <v>More Than 2 Hours</v>
      </c>
      <c r="K429" s="82">
        <f>ROUND(TABLE_PIVOT[[#This Row],[Satisfaction Rating]],0)</f>
        <v>3</v>
      </c>
    </row>
    <row r="430" spans="1:11" x14ac:dyDescent="0.3">
      <c r="A430" s="8" t="s">
        <v>2056</v>
      </c>
      <c r="B430" s="8" t="s">
        <v>1615</v>
      </c>
      <c r="C430" s="8">
        <v>145</v>
      </c>
      <c r="D430" s="120" t="s">
        <v>1626</v>
      </c>
      <c r="E430" s="121">
        <v>45044</v>
      </c>
      <c r="F430" s="8">
        <v>110</v>
      </c>
      <c r="G430" s="8">
        <v>3.1</v>
      </c>
      <c r="H430" s="82">
        <f>IF(MONTH(TABLE_PIVOT[[#This Row],[Date of Call]])&lt;=6,YEAR(TABLE_PIVOT[[#This Row],[Date of Call]]),YEAR(TABLE_PIVOT[[#This Row],[Date of Call]])+1)</f>
        <v>2023</v>
      </c>
      <c r="I430" s="82" t="str">
        <f>TEXT(TABLE_PIVOT[[#This Row],[Date of Call]],"DDDD")</f>
        <v>Friday</v>
      </c>
      <c r="J430" s="82" t="str" cm="1">
        <f t="array" ref="J430">_xlfn.IFS(TABLE_PIVOT[[#This Row],[Duration]]&lt;=10,"Under 10 Mins",TABLE_PIVOT[[#This Row],[Duration]]&lt;=30,"10 to 30 Mins",TABLE_PIVOT[[#This Row],[Duration]]&lt;=60,"30 to 60 Mins",TABLE_PIVOT[[#This Row],[Duration]]&lt;=120,"1 to 2 Hours",TRUE,"More Than 2 Hours")</f>
        <v>More Than 2 Hours</v>
      </c>
      <c r="K430" s="82">
        <f>ROUND(TABLE_PIVOT[[#This Row],[Satisfaction Rating]],0)</f>
        <v>3</v>
      </c>
    </row>
    <row r="431" spans="1:11" x14ac:dyDescent="0.3">
      <c r="A431" s="8" t="s">
        <v>2057</v>
      </c>
      <c r="B431" s="8" t="s">
        <v>1644</v>
      </c>
      <c r="C431" s="8">
        <v>36</v>
      </c>
      <c r="D431" s="120" t="s">
        <v>1616</v>
      </c>
      <c r="E431" s="121">
        <v>45044</v>
      </c>
      <c r="F431" s="8">
        <v>225</v>
      </c>
      <c r="G431" s="8">
        <v>4.8</v>
      </c>
      <c r="H431" s="82">
        <f>IF(MONTH(TABLE_PIVOT[[#This Row],[Date of Call]])&lt;=6,YEAR(TABLE_PIVOT[[#This Row],[Date of Call]]),YEAR(TABLE_PIVOT[[#This Row],[Date of Call]])+1)</f>
        <v>2023</v>
      </c>
      <c r="I431" s="82" t="str">
        <f>TEXT(TABLE_PIVOT[[#This Row],[Date of Call]],"DDDD")</f>
        <v>Friday</v>
      </c>
      <c r="J431" s="82" t="str" cm="1">
        <f t="array" ref="J431">_xlfn.IFS(TABLE_PIVOT[[#This Row],[Duration]]&lt;=10,"Under 10 Mins",TABLE_PIVOT[[#This Row],[Duration]]&lt;=30,"10 to 30 Mins",TABLE_PIVOT[[#This Row],[Duration]]&lt;=60,"30 to 60 Mins",TABLE_PIVOT[[#This Row],[Duration]]&lt;=120,"1 to 2 Hours",TRUE,"More Than 2 Hours")</f>
        <v>30 to 60 Mins</v>
      </c>
      <c r="K431" s="82">
        <f>ROUND(TABLE_PIVOT[[#This Row],[Satisfaction Rating]],0)</f>
        <v>5</v>
      </c>
    </row>
    <row r="432" spans="1:11" x14ac:dyDescent="0.3">
      <c r="A432" s="8" t="s">
        <v>2058</v>
      </c>
      <c r="B432" s="8" t="s">
        <v>1635</v>
      </c>
      <c r="C432" s="8">
        <v>135</v>
      </c>
      <c r="D432" s="120" t="s">
        <v>1630</v>
      </c>
      <c r="E432" s="121">
        <v>45045</v>
      </c>
      <c r="F432" s="8">
        <v>125</v>
      </c>
      <c r="G432" s="8">
        <v>3.3</v>
      </c>
      <c r="H432" s="82">
        <f>IF(MONTH(TABLE_PIVOT[[#This Row],[Date of Call]])&lt;=6,YEAR(TABLE_PIVOT[[#This Row],[Date of Call]]),YEAR(TABLE_PIVOT[[#This Row],[Date of Call]])+1)</f>
        <v>2023</v>
      </c>
      <c r="I432" s="82" t="str">
        <f>TEXT(TABLE_PIVOT[[#This Row],[Date of Call]],"DDDD")</f>
        <v>Saturday</v>
      </c>
      <c r="J432" s="82" t="str" cm="1">
        <f t="array" ref="J432">_xlfn.IFS(TABLE_PIVOT[[#This Row],[Duration]]&lt;=10,"Under 10 Mins",TABLE_PIVOT[[#This Row],[Duration]]&lt;=30,"10 to 30 Mins",TABLE_PIVOT[[#This Row],[Duration]]&lt;=60,"30 to 60 Mins",TABLE_PIVOT[[#This Row],[Duration]]&lt;=120,"1 to 2 Hours",TRUE,"More Than 2 Hours")</f>
        <v>More Than 2 Hours</v>
      </c>
      <c r="K432" s="82">
        <f>ROUND(TABLE_PIVOT[[#This Row],[Satisfaction Rating]],0)</f>
        <v>3</v>
      </c>
    </row>
    <row r="433" spans="1:11" x14ac:dyDescent="0.3">
      <c r="A433" s="8" t="s">
        <v>2059</v>
      </c>
      <c r="B433" s="8" t="s">
        <v>1624</v>
      </c>
      <c r="C433" s="8">
        <v>81</v>
      </c>
      <c r="D433" s="120" t="s">
        <v>1616</v>
      </c>
      <c r="E433" s="121">
        <v>45045</v>
      </c>
      <c r="F433" s="8">
        <v>78</v>
      </c>
      <c r="G433" s="8">
        <v>2.9</v>
      </c>
      <c r="H433" s="82">
        <f>IF(MONTH(TABLE_PIVOT[[#This Row],[Date of Call]])&lt;=6,YEAR(TABLE_PIVOT[[#This Row],[Date of Call]]),YEAR(TABLE_PIVOT[[#This Row],[Date of Call]])+1)</f>
        <v>2023</v>
      </c>
      <c r="I433" s="82" t="str">
        <f>TEXT(TABLE_PIVOT[[#This Row],[Date of Call]],"DDDD")</f>
        <v>Saturday</v>
      </c>
      <c r="J433" s="82" t="str" cm="1">
        <f t="array" ref="J433">_xlfn.IFS(TABLE_PIVOT[[#This Row],[Duration]]&lt;=10,"Under 10 Mins",TABLE_PIVOT[[#This Row],[Duration]]&lt;=30,"10 to 30 Mins",TABLE_PIVOT[[#This Row],[Duration]]&lt;=60,"30 to 60 Mins",TABLE_PIVOT[[#This Row],[Duration]]&lt;=120,"1 to 2 Hours",TRUE,"More Than 2 Hours")</f>
        <v>1 to 2 Hours</v>
      </c>
      <c r="K433" s="82">
        <f>ROUND(TABLE_PIVOT[[#This Row],[Satisfaction Rating]],0)</f>
        <v>3</v>
      </c>
    </row>
    <row r="434" spans="1:11" x14ac:dyDescent="0.3">
      <c r="A434" s="8" t="s">
        <v>2060</v>
      </c>
      <c r="B434" s="8" t="s">
        <v>1624</v>
      </c>
      <c r="C434" s="8">
        <v>81</v>
      </c>
      <c r="D434" s="120" t="s">
        <v>1626</v>
      </c>
      <c r="E434" s="121">
        <v>45045</v>
      </c>
      <c r="F434" s="8">
        <v>40</v>
      </c>
      <c r="G434" s="8">
        <v>2.4</v>
      </c>
      <c r="H434" s="82">
        <f>IF(MONTH(TABLE_PIVOT[[#This Row],[Date of Call]])&lt;=6,YEAR(TABLE_PIVOT[[#This Row],[Date of Call]]),YEAR(TABLE_PIVOT[[#This Row],[Date of Call]])+1)</f>
        <v>2023</v>
      </c>
      <c r="I434" s="82" t="str">
        <f>TEXT(TABLE_PIVOT[[#This Row],[Date of Call]],"DDDD")</f>
        <v>Saturday</v>
      </c>
      <c r="J434" s="82" t="str" cm="1">
        <f t="array" ref="J434">_xlfn.IFS(TABLE_PIVOT[[#This Row],[Duration]]&lt;=10,"Under 10 Mins",TABLE_PIVOT[[#This Row],[Duration]]&lt;=30,"10 to 30 Mins",TABLE_PIVOT[[#This Row],[Duration]]&lt;=60,"30 to 60 Mins",TABLE_PIVOT[[#This Row],[Duration]]&lt;=120,"1 to 2 Hours",TRUE,"More Than 2 Hours")</f>
        <v>1 to 2 Hours</v>
      </c>
      <c r="K434" s="82">
        <f>ROUND(TABLE_PIVOT[[#This Row],[Satisfaction Rating]],0)</f>
        <v>2</v>
      </c>
    </row>
    <row r="435" spans="1:11" x14ac:dyDescent="0.3">
      <c r="A435" s="8" t="s">
        <v>2061</v>
      </c>
      <c r="B435" s="8" t="s">
        <v>1641</v>
      </c>
      <c r="C435" s="8">
        <v>93</v>
      </c>
      <c r="D435" s="120" t="s">
        <v>1621</v>
      </c>
      <c r="E435" s="121">
        <v>45045</v>
      </c>
      <c r="F435" s="8">
        <v>150</v>
      </c>
      <c r="G435" s="8">
        <v>4.5999999999999996</v>
      </c>
      <c r="H435" s="82">
        <f>IF(MONTH(TABLE_PIVOT[[#This Row],[Date of Call]])&lt;=6,YEAR(TABLE_PIVOT[[#This Row],[Date of Call]]),YEAR(TABLE_PIVOT[[#This Row],[Date of Call]])+1)</f>
        <v>2023</v>
      </c>
      <c r="I435" s="82" t="str">
        <f>TEXT(TABLE_PIVOT[[#This Row],[Date of Call]],"DDDD")</f>
        <v>Saturday</v>
      </c>
      <c r="J435" s="82" t="str" cm="1">
        <f t="array" ref="J435">_xlfn.IFS(TABLE_PIVOT[[#This Row],[Duration]]&lt;=10,"Under 10 Mins",TABLE_PIVOT[[#This Row],[Duration]]&lt;=30,"10 to 30 Mins",TABLE_PIVOT[[#This Row],[Duration]]&lt;=60,"30 to 60 Mins",TABLE_PIVOT[[#This Row],[Duration]]&lt;=120,"1 to 2 Hours",TRUE,"More Than 2 Hours")</f>
        <v>1 to 2 Hours</v>
      </c>
      <c r="K435" s="82">
        <f>ROUND(TABLE_PIVOT[[#This Row],[Satisfaction Rating]],0)</f>
        <v>5</v>
      </c>
    </row>
    <row r="436" spans="1:11" x14ac:dyDescent="0.3">
      <c r="A436" s="8" t="s">
        <v>2062</v>
      </c>
      <c r="B436" s="8" t="s">
        <v>1615</v>
      </c>
      <c r="C436" s="8">
        <v>14</v>
      </c>
      <c r="D436" s="120" t="s">
        <v>1616</v>
      </c>
      <c r="E436" s="121">
        <v>45045</v>
      </c>
      <c r="F436" s="8">
        <v>96</v>
      </c>
      <c r="G436" s="8">
        <v>4.8</v>
      </c>
      <c r="H436" s="82">
        <f>IF(MONTH(TABLE_PIVOT[[#This Row],[Date of Call]])&lt;=6,YEAR(TABLE_PIVOT[[#This Row],[Date of Call]]),YEAR(TABLE_PIVOT[[#This Row],[Date of Call]])+1)</f>
        <v>2023</v>
      </c>
      <c r="I436" s="82" t="str">
        <f>TEXT(TABLE_PIVOT[[#This Row],[Date of Call]],"DDDD")</f>
        <v>Saturday</v>
      </c>
      <c r="J436" s="82" t="str" cm="1">
        <f t="array" ref="J436">_xlfn.IFS(TABLE_PIVOT[[#This Row],[Duration]]&lt;=10,"Under 10 Mins",TABLE_PIVOT[[#This Row],[Duration]]&lt;=30,"10 to 30 Mins",TABLE_PIVOT[[#This Row],[Duration]]&lt;=60,"30 to 60 Mins",TABLE_PIVOT[[#This Row],[Duration]]&lt;=120,"1 to 2 Hours",TRUE,"More Than 2 Hours")</f>
        <v>10 to 30 Mins</v>
      </c>
      <c r="K436" s="82">
        <f>ROUND(TABLE_PIVOT[[#This Row],[Satisfaction Rating]],0)</f>
        <v>5</v>
      </c>
    </row>
    <row r="437" spans="1:11" x14ac:dyDescent="0.3">
      <c r="A437" s="8" t="s">
        <v>2063</v>
      </c>
      <c r="B437" s="8" t="s">
        <v>1635</v>
      </c>
      <c r="C437" s="8">
        <v>95</v>
      </c>
      <c r="D437" s="120" t="s">
        <v>1626</v>
      </c>
      <c r="E437" s="121">
        <v>45046</v>
      </c>
      <c r="F437" s="8">
        <v>75</v>
      </c>
      <c r="G437" s="8">
        <v>4.8</v>
      </c>
      <c r="H437" s="82">
        <f>IF(MONTH(TABLE_PIVOT[[#This Row],[Date of Call]])&lt;=6,YEAR(TABLE_PIVOT[[#This Row],[Date of Call]]),YEAR(TABLE_PIVOT[[#This Row],[Date of Call]])+1)</f>
        <v>2023</v>
      </c>
      <c r="I437" s="82" t="str">
        <f>TEXT(TABLE_PIVOT[[#This Row],[Date of Call]],"DDDD")</f>
        <v>Sunday</v>
      </c>
      <c r="J437" s="82" t="str" cm="1">
        <f t="array" ref="J437">_xlfn.IFS(TABLE_PIVOT[[#This Row],[Duration]]&lt;=10,"Under 10 Mins",TABLE_PIVOT[[#This Row],[Duration]]&lt;=30,"10 to 30 Mins",TABLE_PIVOT[[#This Row],[Duration]]&lt;=60,"30 to 60 Mins",TABLE_PIVOT[[#This Row],[Duration]]&lt;=120,"1 to 2 Hours",TRUE,"More Than 2 Hours")</f>
        <v>1 to 2 Hours</v>
      </c>
      <c r="K437" s="82">
        <f>ROUND(TABLE_PIVOT[[#This Row],[Satisfaction Rating]],0)</f>
        <v>5</v>
      </c>
    </row>
    <row r="438" spans="1:11" x14ac:dyDescent="0.3">
      <c r="A438" s="8" t="s">
        <v>2064</v>
      </c>
      <c r="B438" s="8" t="s">
        <v>1641</v>
      </c>
      <c r="C438" s="8">
        <v>81</v>
      </c>
      <c r="D438" s="120" t="s">
        <v>1626</v>
      </c>
      <c r="E438" s="121">
        <v>45046</v>
      </c>
      <c r="F438" s="8">
        <v>60</v>
      </c>
      <c r="G438" s="8">
        <v>3.6</v>
      </c>
      <c r="H438" s="82">
        <f>IF(MONTH(TABLE_PIVOT[[#This Row],[Date of Call]])&lt;=6,YEAR(TABLE_PIVOT[[#This Row],[Date of Call]]),YEAR(TABLE_PIVOT[[#This Row],[Date of Call]])+1)</f>
        <v>2023</v>
      </c>
      <c r="I438" s="82" t="str">
        <f>TEXT(TABLE_PIVOT[[#This Row],[Date of Call]],"DDDD")</f>
        <v>Sunday</v>
      </c>
      <c r="J438" s="82" t="str" cm="1">
        <f t="array" ref="J438">_xlfn.IFS(TABLE_PIVOT[[#This Row],[Duration]]&lt;=10,"Under 10 Mins",TABLE_PIVOT[[#This Row],[Duration]]&lt;=30,"10 to 30 Mins",TABLE_PIVOT[[#This Row],[Duration]]&lt;=60,"30 to 60 Mins",TABLE_PIVOT[[#This Row],[Duration]]&lt;=120,"1 to 2 Hours",TRUE,"More Than 2 Hours")</f>
        <v>1 to 2 Hours</v>
      </c>
      <c r="K438" s="82">
        <f>ROUND(TABLE_PIVOT[[#This Row],[Satisfaction Rating]],0)</f>
        <v>4</v>
      </c>
    </row>
    <row r="439" spans="1:11" x14ac:dyDescent="0.3">
      <c r="A439" s="8" t="s">
        <v>2065</v>
      </c>
      <c r="B439" s="8" t="s">
        <v>1682</v>
      </c>
      <c r="C439" s="8">
        <v>60</v>
      </c>
      <c r="D439" s="120" t="s">
        <v>1616</v>
      </c>
      <c r="E439" s="121">
        <v>45047</v>
      </c>
      <c r="F439" s="8">
        <v>41</v>
      </c>
      <c r="G439" s="8">
        <v>4.8</v>
      </c>
      <c r="H439" s="82">
        <f>IF(MONTH(TABLE_PIVOT[[#This Row],[Date of Call]])&lt;=6,YEAR(TABLE_PIVOT[[#This Row],[Date of Call]]),YEAR(TABLE_PIVOT[[#This Row],[Date of Call]])+1)</f>
        <v>2023</v>
      </c>
      <c r="I439" s="82" t="str">
        <f>TEXT(TABLE_PIVOT[[#This Row],[Date of Call]],"DDDD")</f>
        <v>Monday</v>
      </c>
      <c r="J439" s="82" t="str" cm="1">
        <f t="array" ref="J439">_xlfn.IFS(TABLE_PIVOT[[#This Row],[Duration]]&lt;=10,"Under 10 Mins",TABLE_PIVOT[[#This Row],[Duration]]&lt;=30,"10 to 30 Mins",TABLE_PIVOT[[#This Row],[Duration]]&lt;=60,"30 to 60 Mins",TABLE_PIVOT[[#This Row],[Duration]]&lt;=120,"1 to 2 Hours",TRUE,"More Than 2 Hours")</f>
        <v>30 to 60 Mins</v>
      </c>
      <c r="K439" s="82">
        <f>ROUND(TABLE_PIVOT[[#This Row],[Satisfaction Rating]],0)</f>
        <v>5</v>
      </c>
    </row>
    <row r="440" spans="1:11" x14ac:dyDescent="0.3">
      <c r="A440" s="8" t="s">
        <v>2066</v>
      </c>
      <c r="B440" s="8" t="s">
        <v>1633</v>
      </c>
      <c r="C440" s="8">
        <v>137</v>
      </c>
      <c r="D440" s="120" t="s">
        <v>1621</v>
      </c>
      <c r="E440" s="121">
        <v>45047</v>
      </c>
      <c r="F440" s="8">
        <v>20</v>
      </c>
      <c r="G440" s="8">
        <v>4.2</v>
      </c>
      <c r="H440" s="82">
        <f>IF(MONTH(TABLE_PIVOT[[#This Row],[Date of Call]])&lt;=6,YEAR(TABLE_PIVOT[[#This Row],[Date of Call]]),YEAR(TABLE_PIVOT[[#This Row],[Date of Call]])+1)</f>
        <v>2023</v>
      </c>
      <c r="I440" s="82" t="str">
        <f>TEXT(TABLE_PIVOT[[#This Row],[Date of Call]],"DDDD")</f>
        <v>Monday</v>
      </c>
      <c r="J440" s="82" t="str" cm="1">
        <f t="array" ref="J440">_xlfn.IFS(TABLE_PIVOT[[#This Row],[Duration]]&lt;=10,"Under 10 Mins",TABLE_PIVOT[[#This Row],[Duration]]&lt;=30,"10 to 30 Mins",TABLE_PIVOT[[#This Row],[Duration]]&lt;=60,"30 to 60 Mins",TABLE_PIVOT[[#This Row],[Duration]]&lt;=120,"1 to 2 Hours",TRUE,"More Than 2 Hours")</f>
        <v>More Than 2 Hours</v>
      </c>
      <c r="K440" s="82">
        <f>ROUND(TABLE_PIVOT[[#This Row],[Satisfaction Rating]],0)</f>
        <v>4</v>
      </c>
    </row>
    <row r="441" spans="1:11" x14ac:dyDescent="0.3">
      <c r="A441" s="8" t="s">
        <v>2067</v>
      </c>
      <c r="B441" s="8" t="s">
        <v>1613</v>
      </c>
      <c r="C441" s="8">
        <v>112</v>
      </c>
      <c r="D441" s="120" t="s">
        <v>1630</v>
      </c>
      <c r="E441" s="121">
        <v>45047</v>
      </c>
      <c r="F441" s="8">
        <v>84</v>
      </c>
      <c r="G441" s="8">
        <v>2.6</v>
      </c>
      <c r="H441" s="82">
        <f>IF(MONTH(TABLE_PIVOT[[#This Row],[Date of Call]])&lt;=6,YEAR(TABLE_PIVOT[[#This Row],[Date of Call]]),YEAR(TABLE_PIVOT[[#This Row],[Date of Call]])+1)</f>
        <v>2023</v>
      </c>
      <c r="I441" s="82" t="str">
        <f>TEXT(TABLE_PIVOT[[#This Row],[Date of Call]],"DDDD")</f>
        <v>Monday</v>
      </c>
      <c r="J441" s="82" t="str" cm="1">
        <f t="array" ref="J441">_xlfn.IFS(TABLE_PIVOT[[#This Row],[Duration]]&lt;=10,"Under 10 Mins",TABLE_PIVOT[[#This Row],[Duration]]&lt;=30,"10 to 30 Mins",TABLE_PIVOT[[#This Row],[Duration]]&lt;=60,"30 to 60 Mins",TABLE_PIVOT[[#This Row],[Duration]]&lt;=120,"1 to 2 Hours",TRUE,"More Than 2 Hours")</f>
        <v>1 to 2 Hours</v>
      </c>
      <c r="K441" s="82">
        <f>ROUND(TABLE_PIVOT[[#This Row],[Satisfaction Rating]],0)</f>
        <v>3</v>
      </c>
    </row>
    <row r="442" spans="1:11" x14ac:dyDescent="0.3">
      <c r="A442" s="8" t="s">
        <v>2068</v>
      </c>
      <c r="B442" s="8" t="s">
        <v>1635</v>
      </c>
      <c r="C442" s="8">
        <v>76</v>
      </c>
      <c r="D442" s="120" t="s">
        <v>1611</v>
      </c>
      <c r="E442" s="121">
        <v>45047</v>
      </c>
      <c r="F442" s="8">
        <v>140</v>
      </c>
      <c r="G442" s="8">
        <v>3.7</v>
      </c>
      <c r="H442" s="82">
        <f>IF(MONTH(TABLE_PIVOT[[#This Row],[Date of Call]])&lt;=6,YEAR(TABLE_PIVOT[[#This Row],[Date of Call]]),YEAR(TABLE_PIVOT[[#This Row],[Date of Call]])+1)</f>
        <v>2023</v>
      </c>
      <c r="I442" s="82" t="str">
        <f>TEXT(TABLE_PIVOT[[#This Row],[Date of Call]],"DDDD")</f>
        <v>Monday</v>
      </c>
      <c r="J442" s="82" t="str" cm="1">
        <f t="array" ref="J442">_xlfn.IFS(TABLE_PIVOT[[#This Row],[Duration]]&lt;=10,"Under 10 Mins",TABLE_PIVOT[[#This Row],[Duration]]&lt;=30,"10 to 30 Mins",TABLE_PIVOT[[#This Row],[Duration]]&lt;=60,"30 to 60 Mins",TABLE_PIVOT[[#This Row],[Duration]]&lt;=120,"1 to 2 Hours",TRUE,"More Than 2 Hours")</f>
        <v>1 to 2 Hours</v>
      </c>
      <c r="K442" s="82">
        <f>ROUND(TABLE_PIVOT[[#This Row],[Satisfaction Rating]],0)</f>
        <v>4</v>
      </c>
    </row>
    <row r="443" spans="1:11" x14ac:dyDescent="0.3">
      <c r="A443" s="8" t="s">
        <v>2069</v>
      </c>
      <c r="B443" s="8" t="s">
        <v>1649</v>
      </c>
      <c r="C443" s="8">
        <v>73</v>
      </c>
      <c r="D443" s="120" t="s">
        <v>1616</v>
      </c>
      <c r="E443" s="121">
        <v>45047</v>
      </c>
      <c r="F443" s="8">
        <v>66</v>
      </c>
      <c r="G443" s="8">
        <v>4.8</v>
      </c>
      <c r="H443" s="82">
        <f>IF(MONTH(TABLE_PIVOT[[#This Row],[Date of Call]])&lt;=6,YEAR(TABLE_PIVOT[[#This Row],[Date of Call]]),YEAR(TABLE_PIVOT[[#This Row],[Date of Call]])+1)</f>
        <v>2023</v>
      </c>
      <c r="I443" s="82" t="str">
        <f>TEXT(TABLE_PIVOT[[#This Row],[Date of Call]],"DDDD")</f>
        <v>Monday</v>
      </c>
      <c r="J443" s="82" t="str" cm="1">
        <f t="array" ref="J443">_xlfn.IFS(TABLE_PIVOT[[#This Row],[Duration]]&lt;=10,"Under 10 Mins",TABLE_PIVOT[[#This Row],[Duration]]&lt;=30,"10 to 30 Mins",TABLE_PIVOT[[#This Row],[Duration]]&lt;=60,"30 to 60 Mins",TABLE_PIVOT[[#This Row],[Duration]]&lt;=120,"1 to 2 Hours",TRUE,"More Than 2 Hours")</f>
        <v>1 to 2 Hours</v>
      </c>
      <c r="K443" s="82">
        <f>ROUND(TABLE_PIVOT[[#This Row],[Satisfaction Rating]],0)</f>
        <v>5</v>
      </c>
    </row>
    <row r="444" spans="1:11" x14ac:dyDescent="0.3">
      <c r="A444" s="8" t="s">
        <v>2070</v>
      </c>
      <c r="B444" s="8" t="s">
        <v>1629</v>
      </c>
      <c r="C444" s="8">
        <v>119</v>
      </c>
      <c r="D444" s="120" t="s">
        <v>1621</v>
      </c>
      <c r="E444" s="121">
        <v>45047</v>
      </c>
      <c r="F444" s="8">
        <v>105</v>
      </c>
      <c r="G444" s="8">
        <v>4.7</v>
      </c>
      <c r="H444" s="82">
        <f>IF(MONTH(TABLE_PIVOT[[#This Row],[Date of Call]])&lt;=6,YEAR(TABLE_PIVOT[[#This Row],[Date of Call]]),YEAR(TABLE_PIVOT[[#This Row],[Date of Call]])+1)</f>
        <v>2023</v>
      </c>
      <c r="I444" s="82" t="str">
        <f>TEXT(TABLE_PIVOT[[#This Row],[Date of Call]],"DDDD")</f>
        <v>Monday</v>
      </c>
      <c r="J444" s="82" t="str" cm="1">
        <f t="array" ref="J444">_xlfn.IFS(TABLE_PIVOT[[#This Row],[Duration]]&lt;=10,"Under 10 Mins",TABLE_PIVOT[[#This Row],[Duration]]&lt;=30,"10 to 30 Mins",TABLE_PIVOT[[#This Row],[Duration]]&lt;=60,"30 to 60 Mins",TABLE_PIVOT[[#This Row],[Duration]]&lt;=120,"1 to 2 Hours",TRUE,"More Than 2 Hours")</f>
        <v>1 to 2 Hours</v>
      </c>
      <c r="K444" s="82">
        <f>ROUND(TABLE_PIVOT[[#This Row],[Satisfaction Rating]],0)</f>
        <v>5</v>
      </c>
    </row>
    <row r="445" spans="1:11" x14ac:dyDescent="0.3">
      <c r="A445" s="8" t="s">
        <v>2071</v>
      </c>
      <c r="B445" s="8" t="s">
        <v>1610</v>
      </c>
      <c r="C445" s="8">
        <v>135</v>
      </c>
      <c r="D445" s="120" t="s">
        <v>1626</v>
      </c>
      <c r="E445" s="121">
        <v>45048</v>
      </c>
      <c r="F445" s="8">
        <v>104</v>
      </c>
      <c r="G445" s="8">
        <v>4.0999999999999996</v>
      </c>
      <c r="H445" s="82">
        <f>IF(MONTH(TABLE_PIVOT[[#This Row],[Date of Call]])&lt;=6,YEAR(TABLE_PIVOT[[#This Row],[Date of Call]]),YEAR(TABLE_PIVOT[[#This Row],[Date of Call]])+1)</f>
        <v>2023</v>
      </c>
      <c r="I445" s="82" t="str">
        <f>TEXT(TABLE_PIVOT[[#This Row],[Date of Call]],"DDDD")</f>
        <v>Tuesday</v>
      </c>
      <c r="J445" s="82" t="str" cm="1">
        <f t="array" ref="J445">_xlfn.IFS(TABLE_PIVOT[[#This Row],[Duration]]&lt;=10,"Under 10 Mins",TABLE_PIVOT[[#This Row],[Duration]]&lt;=30,"10 to 30 Mins",TABLE_PIVOT[[#This Row],[Duration]]&lt;=60,"30 to 60 Mins",TABLE_PIVOT[[#This Row],[Duration]]&lt;=120,"1 to 2 Hours",TRUE,"More Than 2 Hours")</f>
        <v>More Than 2 Hours</v>
      </c>
      <c r="K445" s="82">
        <f>ROUND(TABLE_PIVOT[[#This Row],[Satisfaction Rating]],0)</f>
        <v>4</v>
      </c>
    </row>
    <row r="446" spans="1:11" x14ac:dyDescent="0.3">
      <c r="A446" s="8" t="s">
        <v>2072</v>
      </c>
      <c r="B446" s="8" t="s">
        <v>1633</v>
      </c>
      <c r="C446" s="8">
        <v>41</v>
      </c>
      <c r="D446" s="120" t="s">
        <v>1630</v>
      </c>
      <c r="E446" s="121">
        <v>45048</v>
      </c>
      <c r="F446" s="8">
        <v>123</v>
      </c>
      <c r="G446" s="8">
        <v>3.2</v>
      </c>
      <c r="H446" s="82">
        <f>IF(MONTH(TABLE_PIVOT[[#This Row],[Date of Call]])&lt;=6,YEAR(TABLE_PIVOT[[#This Row],[Date of Call]]),YEAR(TABLE_PIVOT[[#This Row],[Date of Call]])+1)</f>
        <v>2023</v>
      </c>
      <c r="I446" s="82" t="str">
        <f>TEXT(TABLE_PIVOT[[#This Row],[Date of Call]],"DDDD")</f>
        <v>Tuesday</v>
      </c>
      <c r="J446" s="82" t="str" cm="1">
        <f t="array" ref="J446">_xlfn.IFS(TABLE_PIVOT[[#This Row],[Duration]]&lt;=10,"Under 10 Mins",TABLE_PIVOT[[#This Row],[Duration]]&lt;=30,"10 to 30 Mins",TABLE_PIVOT[[#This Row],[Duration]]&lt;=60,"30 to 60 Mins",TABLE_PIVOT[[#This Row],[Duration]]&lt;=120,"1 to 2 Hours",TRUE,"More Than 2 Hours")</f>
        <v>30 to 60 Mins</v>
      </c>
      <c r="K446" s="82">
        <f>ROUND(TABLE_PIVOT[[#This Row],[Satisfaction Rating]],0)</f>
        <v>3</v>
      </c>
    </row>
    <row r="447" spans="1:11" x14ac:dyDescent="0.3">
      <c r="A447" s="8" t="s">
        <v>2073</v>
      </c>
      <c r="B447" s="8" t="s">
        <v>1615</v>
      </c>
      <c r="C447" s="8">
        <v>35</v>
      </c>
      <c r="D447" s="120" t="s">
        <v>1626</v>
      </c>
      <c r="E447" s="121">
        <v>45049</v>
      </c>
      <c r="F447" s="8">
        <v>215</v>
      </c>
      <c r="G447" s="8">
        <v>4.3</v>
      </c>
      <c r="H447" s="82">
        <f>IF(MONTH(TABLE_PIVOT[[#This Row],[Date of Call]])&lt;=6,YEAR(TABLE_PIVOT[[#This Row],[Date of Call]]),YEAR(TABLE_PIVOT[[#This Row],[Date of Call]])+1)</f>
        <v>2023</v>
      </c>
      <c r="I447" s="82" t="str">
        <f>TEXT(TABLE_PIVOT[[#This Row],[Date of Call]],"DDDD")</f>
        <v>Wednesday</v>
      </c>
      <c r="J447" s="82" t="str" cm="1">
        <f t="array" ref="J447">_xlfn.IFS(TABLE_PIVOT[[#This Row],[Duration]]&lt;=10,"Under 10 Mins",TABLE_PIVOT[[#This Row],[Duration]]&lt;=30,"10 to 30 Mins",TABLE_PIVOT[[#This Row],[Duration]]&lt;=60,"30 to 60 Mins",TABLE_PIVOT[[#This Row],[Duration]]&lt;=120,"1 to 2 Hours",TRUE,"More Than 2 Hours")</f>
        <v>30 to 60 Mins</v>
      </c>
      <c r="K447" s="82">
        <f>ROUND(TABLE_PIVOT[[#This Row],[Satisfaction Rating]],0)</f>
        <v>4</v>
      </c>
    </row>
    <row r="448" spans="1:11" x14ac:dyDescent="0.3">
      <c r="A448" s="8" t="s">
        <v>2074</v>
      </c>
      <c r="B448" s="8" t="s">
        <v>1610</v>
      </c>
      <c r="C448" s="8">
        <v>96</v>
      </c>
      <c r="D448" s="120" t="s">
        <v>1616</v>
      </c>
      <c r="E448" s="121">
        <v>45049</v>
      </c>
      <c r="F448" s="8">
        <v>46</v>
      </c>
      <c r="G448" s="8">
        <v>0.7</v>
      </c>
      <c r="H448" s="82">
        <f>IF(MONTH(TABLE_PIVOT[[#This Row],[Date of Call]])&lt;=6,YEAR(TABLE_PIVOT[[#This Row],[Date of Call]]),YEAR(TABLE_PIVOT[[#This Row],[Date of Call]])+1)</f>
        <v>2023</v>
      </c>
      <c r="I448" s="82" t="str">
        <f>TEXT(TABLE_PIVOT[[#This Row],[Date of Call]],"DDDD")</f>
        <v>Wednesday</v>
      </c>
      <c r="J448" s="82" t="str" cm="1">
        <f t="array" ref="J448">_xlfn.IFS(TABLE_PIVOT[[#This Row],[Duration]]&lt;=10,"Under 10 Mins",TABLE_PIVOT[[#This Row],[Duration]]&lt;=30,"10 to 30 Mins",TABLE_PIVOT[[#This Row],[Duration]]&lt;=60,"30 to 60 Mins",TABLE_PIVOT[[#This Row],[Duration]]&lt;=120,"1 to 2 Hours",TRUE,"More Than 2 Hours")</f>
        <v>1 to 2 Hours</v>
      </c>
      <c r="K448" s="82">
        <f>ROUND(TABLE_PIVOT[[#This Row],[Satisfaction Rating]],0)</f>
        <v>1</v>
      </c>
    </row>
    <row r="449" spans="1:11" x14ac:dyDescent="0.3">
      <c r="A449" s="8" t="s">
        <v>2075</v>
      </c>
      <c r="B449" s="8" t="s">
        <v>1641</v>
      </c>
      <c r="C449" s="8">
        <v>61</v>
      </c>
      <c r="D449" s="120" t="s">
        <v>1630</v>
      </c>
      <c r="E449" s="121">
        <v>45049</v>
      </c>
      <c r="F449" s="8">
        <v>115</v>
      </c>
      <c r="G449" s="8">
        <v>3.7</v>
      </c>
      <c r="H449" s="82">
        <f>IF(MONTH(TABLE_PIVOT[[#This Row],[Date of Call]])&lt;=6,YEAR(TABLE_PIVOT[[#This Row],[Date of Call]]),YEAR(TABLE_PIVOT[[#This Row],[Date of Call]])+1)</f>
        <v>2023</v>
      </c>
      <c r="I449" s="82" t="str">
        <f>TEXT(TABLE_PIVOT[[#This Row],[Date of Call]],"DDDD")</f>
        <v>Wednesday</v>
      </c>
      <c r="J449" s="82" t="str" cm="1">
        <f t="array" ref="J449">_xlfn.IFS(TABLE_PIVOT[[#This Row],[Duration]]&lt;=10,"Under 10 Mins",TABLE_PIVOT[[#This Row],[Duration]]&lt;=30,"10 to 30 Mins",TABLE_PIVOT[[#This Row],[Duration]]&lt;=60,"30 to 60 Mins",TABLE_PIVOT[[#This Row],[Duration]]&lt;=120,"1 to 2 Hours",TRUE,"More Than 2 Hours")</f>
        <v>1 to 2 Hours</v>
      </c>
      <c r="K449" s="82">
        <f>ROUND(TABLE_PIVOT[[#This Row],[Satisfaction Rating]],0)</f>
        <v>4</v>
      </c>
    </row>
    <row r="450" spans="1:11" x14ac:dyDescent="0.3">
      <c r="A450" s="8" t="s">
        <v>2076</v>
      </c>
      <c r="B450" s="8" t="s">
        <v>1610</v>
      </c>
      <c r="C450" s="8">
        <v>91</v>
      </c>
      <c r="D450" s="120" t="s">
        <v>1630</v>
      </c>
      <c r="E450" s="121">
        <v>45049</v>
      </c>
      <c r="F450" s="8">
        <v>124</v>
      </c>
      <c r="G450" s="8">
        <v>3.9</v>
      </c>
      <c r="H450" s="82">
        <f>IF(MONTH(TABLE_PIVOT[[#This Row],[Date of Call]])&lt;=6,YEAR(TABLE_PIVOT[[#This Row],[Date of Call]]),YEAR(TABLE_PIVOT[[#This Row],[Date of Call]])+1)</f>
        <v>2023</v>
      </c>
      <c r="I450" s="82" t="str">
        <f>TEXT(TABLE_PIVOT[[#This Row],[Date of Call]],"DDDD")</f>
        <v>Wednesday</v>
      </c>
      <c r="J450" s="82" t="str" cm="1">
        <f t="array" ref="J450">_xlfn.IFS(TABLE_PIVOT[[#This Row],[Duration]]&lt;=10,"Under 10 Mins",TABLE_PIVOT[[#This Row],[Duration]]&lt;=30,"10 to 30 Mins",TABLE_PIVOT[[#This Row],[Duration]]&lt;=60,"30 to 60 Mins",TABLE_PIVOT[[#This Row],[Duration]]&lt;=120,"1 to 2 Hours",TRUE,"More Than 2 Hours")</f>
        <v>1 to 2 Hours</v>
      </c>
      <c r="K450" s="82">
        <f>ROUND(TABLE_PIVOT[[#This Row],[Satisfaction Rating]],0)</f>
        <v>4</v>
      </c>
    </row>
    <row r="451" spans="1:11" x14ac:dyDescent="0.3">
      <c r="A451" s="8" t="s">
        <v>2077</v>
      </c>
      <c r="B451" s="8" t="s">
        <v>1662</v>
      </c>
      <c r="C451" s="8">
        <v>30</v>
      </c>
      <c r="D451" s="120" t="s">
        <v>1630</v>
      </c>
      <c r="E451" s="121">
        <v>45050</v>
      </c>
      <c r="F451" s="8">
        <v>205</v>
      </c>
      <c r="G451" s="8">
        <v>4.5</v>
      </c>
      <c r="H451" s="82">
        <f>IF(MONTH(TABLE_PIVOT[[#This Row],[Date of Call]])&lt;=6,YEAR(TABLE_PIVOT[[#This Row],[Date of Call]]),YEAR(TABLE_PIVOT[[#This Row],[Date of Call]])+1)</f>
        <v>2023</v>
      </c>
      <c r="I451" s="82" t="str">
        <f>TEXT(TABLE_PIVOT[[#This Row],[Date of Call]],"DDDD")</f>
        <v>Thursday</v>
      </c>
      <c r="J451" s="82" t="str" cm="1">
        <f t="array" ref="J451">_xlfn.IFS(TABLE_PIVOT[[#This Row],[Duration]]&lt;=10,"Under 10 Mins",TABLE_PIVOT[[#This Row],[Duration]]&lt;=30,"10 to 30 Mins",TABLE_PIVOT[[#This Row],[Duration]]&lt;=60,"30 to 60 Mins",TABLE_PIVOT[[#This Row],[Duration]]&lt;=120,"1 to 2 Hours",TRUE,"More Than 2 Hours")</f>
        <v>10 to 30 Mins</v>
      </c>
      <c r="K451" s="82">
        <f>ROUND(TABLE_PIVOT[[#This Row],[Satisfaction Rating]],0)</f>
        <v>5</v>
      </c>
    </row>
    <row r="452" spans="1:11" x14ac:dyDescent="0.3">
      <c r="A452" s="8" t="s">
        <v>2078</v>
      </c>
      <c r="B452" s="8" t="s">
        <v>1682</v>
      </c>
      <c r="C452" s="8">
        <v>111</v>
      </c>
      <c r="D452" s="120" t="s">
        <v>1621</v>
      </c>
      <c r="E452" s="121">
        <v>45050</v>
      </c>
      <c r="F452" s="8">
        <v>90</v>
      </c>
      <c r="G452" s="8">
        <v>2.8</v>
      </c>
      <c r="H452" s="82">
        <f>IF(MONTH(TABLE_PIVOT[[#This Row],[Date of Call]])&lt;=6,YEAR(TABLE_PIVOT[[#This Row],[Date of Call]]),YEAR(TABLE_PIVOT[[#This Row],[Date of Call]])+1)</f>
        <v>2023</v>
      </c>
      <c r="I452" s="82" t="str">
        <f>TEXT(TABLE_PIVOT[[#This Row],[Date of Call]],"DDDD")</f>
        <v>Thursday</v>
      </c>
      <c r="J452" s="82" t="str" cm="1">
        <f t="array" ref="J452">_xlfn.IFS(TABLE_PIVOT[[#This Row],[Duration]]&lt;=10,"Under 10 Mins",TABLE_PIVOT[[#This Row],[Duration]]&lt;=30,"10 to 30 Mins",TABLE_PIVOT[[#This Row],[Duration]]&lt;=60,"30 to 60 Mins",TABLE_PIVOT[[#This Row],[Duration]]&lt;=120,"1 to 2 Hours",TRUE,"More Than 2 Hours")</f>
        <v>1 to 2 Hours</v>
      </c>
      <c r="K452" s="82">
        <f>ROUND(TABLE_PIVOT[[#This Row],[Satisfaction Rating]],0)</f>
        <v>3</v>
      </c>
    </row>
    <row r="453" spans="1:11" x14ac:dyDescent="0.3">
      <c r="A453" s="8" t="s">
        <v>2079</v>
      </c>
      <c r="B453" s="8" t="s">
        <v>1641</v>
      </c>
      <c r="C453" s="8">
        <v>81</v>
      </c>
      <c r="D453" s="120" t="s">
        <v>1616</v>
      </c>
      <c r="E453" s="121">
        <v>45050</v>
      </c>
      <c r="F453" s="8">
        <v>92</v>
      </c>
      <c r="G453" s="8">
        <v>4.9000000000000004</v>
      </c>
      <c r="H453" s="82">
        <f>IF(MONTH(TABLE_PIVOT[[#This Row],[Date of Call]])&lt;=6,YEAR(TABLE_PIVOT[[#This Row],[Date of Call]]),YEAR(TABLE_PIVOT[[#This Row],[Date of Call]])+1)</f>
        <v>2023</v>
      </c>
      <c r="I453" s="82" t="str">
        <f>TEXT(TABLE_PIVOT[[#This Row],[Date of Call]],"DDDD")</f>
        <v>Thursday</v>
      </c>
      <c r="J453" s="82" t="str" cm="1">
        <f t="array" ref="J453">_xlfn.IFS(TABLE_PIVOT[[#This Row],[Duration]]&lt;=10,"Under 10 Mins",TABLE_PIVOT[[#This Row],[Duration]]&lt;=30,"10 to 30 Mins",TABLE_PIVOT[[#This Row],[Duration]]&lt;=60,"30 to 60 Mins",TABLE_PIVOT[[#This Row],[Duration]]&lt;=120,"1 to 2 Hours",TRUE,"More Than 2 Hours")</f>
        <v>1 to 2 Hours</v>
      </c>
      <c r="K453" s="82">
        <f>ROUND(TABLE_PIVOT[[#This Row],[Satisfaction Rating]],0)</f>
        <v>5</v>
      </c>
    </row>
    <row r="454" spans="1:11" x14ac:dyDescent="0.3">
      <c r="A454" s="8" t="s">
        <v>2080</v>
      </c>
      <c r="B454" s="8" t="s">
        <v>1635</v>
      </c>
      <c r="C454" s="8">
        <v>40</v>
      </c>
      <c r="D454" s="120" t="s">
        <v>1626</v>
      </c>
      <c r="E454" s="121">
        <v>45052</v>
      </c>
      <c r="F454" s="8">
        <v>108</v>
      </c>
      <c r="G454" s="8">
        <v>4.2</v>
      </c>
      <c r="H454" s="82">
        <f>IF(MONTH(TABLE_PIVOT[[#This Row],[Date of Call]])&lt;=6,YEAR(TABLE_PIVOT[[#This Row],[Date of Call]]),YEAR(TABLE_PIVOT[[#This Row],[Date of Call]])+1)</f>
        <v>2023</v>
      </c>
      <c r="I454" s="82" t="str">
        <f>TEXT(TABLE_PIVOT[[#This Row],[Date of Call]],"DDDD")</f>
        <v>Saturday</v>
      </c>
      <c r="J454" s="82" t="str" cm="1">
        <f t="array" ref="J454">_xlfn.IFS(TABLE_PIVOT[[#This Row],[Duration]]&lt;=10,"Under 10 Mins",TABLE_PIVOT[[#This Row],[Duration]]&lt;=30,"10 to 30 Mins",TABLE_PIVOT[[#This Row],[Duration]]&lt;=60,"30 to 60 Mins",TABLE_PIVOT[[#This Row],[Duration]]&lt;=120,"1 to 2 Hours",TRUE,"More Than 2 Hours")</f>
        <v>30 to 60 Mins</v>
      </c>
      <c r="K454" s="82">
        <f>ROUND(TABLE_PIVOT[[#This Row],[Satisfaction Rating]],0)</f>
        <v>4</v>
      </c>
    </row>
    <row r="455" spans="1:11" x14ac:dyDescent="0.3">
      <c r="A455" s="8" t="s">
        <v>2081</v>
      </c>
      <c r="B455" s="8" t="s">
        <v>1682</v>
      </c>
      <c r="C455" s="8">
        <v>143</v>
      </c>
      <c r="D455" s="120" t="s">
        <v>1626</v>
      </c>
      <c r="E455" s="121">
        <v>45052</v>
      </c>
      <c r="F455" s="8">
        <v>54</v>
      </c>
      <c r="G455" s="8">
        <v>4.4000000000000004</v>
      </c>
      <c r="H455" s="82">
        <f>IF(MONTH(TABLE_PIVOT[[#This Row],[Date of Call]])&lt;=6,YEAR(TABLE_PIVOT[[#This Row],[Date of Call]]),YEAR(TABLE_PIVOT[[#This Row],[Date of Call]])+1)</f>
        <v>2023</v>
      </c>
      <c r="I455" s="82" t="str">
        <f>TEXT(TABLE_PIVOT[[#This Row],[Date of Call]],"DDDD")</f>
        <v>Saturday</v>
      </c>
      <c r="J455" s="82" t="str" cm="1">
        <f t="array" ref="J455">_xlfn.IFS(TABLE_PIVOT[[#This Row],[Duration]]&lt;=10,"Under 10 Mins",TABLE_PIVOT[[#This Row],[Duration]]&lt;=30,"10 to 30 Mins",TABLE_PIVOT[[#This Row],[Duration]]&lt;=60,"30 to 60 Mins",TABLE_PIVOT[[#This Row],[Duration]]&lt;=120,"1 to 2 Hours",TRUE,"More Than 2 Hours")</f>
        <v>More Than 2 Hours</v>
      </c>
      <c r="K455" s="82">
        <f>ROUND(TABLE_PIVOT[[#This Row],[Satisfaction Rating]],0)</f>
        <v>4</v>
      </c>
    </row>
    <row r="456" spans="1:11" x14ac:dyDescent="0.3">
      <c r="A456" s="8" t="s">
        <v>2082</v>
      </c>
      <c r="B456" s="8" t="s">
        <v>1635</v>
      </c>
      <c r="C456" s="8">
        <v>70</v>
      </c>
      <c r="D456" s="120" t="s">
        <v>1626</v>
      </c>
      <c r="E456" s="121">
        <v>45053</v>
      </c>
      <c r="F456" s="8">
        <v>44</v>
      </c>
      <c r="G456" s="8">
        <v>3.5</v>
      </c>
      <c r="H456" s="82">
        <f>IF(MONTH(TABLE_PIVOT[[#This Row],[Date of Call]])&lt;=6,YEAR(TABLE_PIVOT[[#This Row],[Date of Call]]),YEAR(TABLE_PIVOT[[#This Row],[Date of Call]])+1)</f>
        <v>2023</v>
      </c>
      <c r="I456" s="82" t="str">
        <f>TEXT(TABLE_PIVOT[[#This Row],[Date of Call]],"DDDD")</f>
        <v>Sunday</v>
      </c>
      <c r="J456" s="82" t="str" cm="1">
        <f t="array" ref="J456">_xlfn.IFS(TABLE_PIVOT[[#This Row],[Duration]]&lt;=10,"Under 10 Mins",TABLE_PIVOT[[#This Row],[Duration]]&lt;=30,"10 to 30 Mins",TABLE_PIVOT[[#This Row],[Duration]]&lt;=60,"30 to 60 Mins",TABLE_PIVOT[[#This Row],[Duration]]&lt;=120,"1 to 2 Hours",TRUE,"More Than 2 Hours")</f>
        <v>1 to 2 Hours</v>
      </c>
      <c r="K456" s="82">
        <f>ROUND(TABLE_PIVOT[[#This Row],[Satisfaction Rating]],0)</f>
        <v>4</v>
      </c>
    </row>
    <row r="457" spans="1:11" x14ac:dyDescent="0.3">
      <c r="A457" s="8" t="s">
        <v>2083</v>
      </c>
      <c r="B457" s="8" t="s">
        <v>1649</v>
      </c>
      <c r="C457" s="8">
        <v>137</v>
      </c>
      <c r="D457" s="120" t="s">
        <v>1626</v>
      </c>
      <c r="E457" s="121">
        <v>45053</v>
      </c>
      <c r="F457" s="8">
        <v>44</v>
      </c>
      <c r="G457" s="8">
        <v>4.7</v>
      </c>
      <c r="H457" s="82">
        <f>IF(MONTH(TABLE_PIVOT[[#This Row],[Date of Call]])&lt;=6,YEAR(TABLE_PIVOT[[#This Row],[Date of Call]]),YEAR(TABLE_PIVOT[[#This Row],[Date of Call]])+1)</f>
        <v>2023</v>
      </c>
      <c r="I457" s="82" t="str">
        <f>TEXT(TABLE_PIVOT[[#This Row],[Date of Call]],"DDDD")</f>
        <v>Sunday</v>
      </c>
      <c r="J457" s="82" t="str" cm="1">
        <f t="array" ref="J457">_xlfn.IFS(TABLE_PIVOT[[#This Row],[Duration]]&lt;=10,"Under 10 Mins",TABLE_PIVOT[[#This Row],[Duration]]&lt;=30,"10 to 30 Mins",TABLE_PIVOT[[#This Row],[Duration]]&lt;=60,"30 to 60 Mins",TABLE_PIVOT[[#This Row],[Duration]]&lt;=120,"1 to 2 Hours",TRUE,"More Than 2 Hours")</f>
        <v>More Than 2 Hours</v>
      </c>
      <c r="K457" s="82">
        <f>ROUND(TABLE_PIVOT[[#This Row],[Satisfaction Rating]],0)</f>
        <v>5</v>
      </c>
    </row>
    <row r="458" spans="1:11" x14ac:dyDescent="0.3">
      <c r="A458" s="8" t="s">
        <v>2084</v>
      </c>
      <c r="B458" s="8" t="s">
        <v>1610</v>
      </c>
      <c r="C458" s="8">
        <v>52</v>
      </c>
      <c r="D458" s="120" t="s">
        <v>1616</v>
      </c>
      <c r="E458" s="121">
        <v>45054</v>
      </c>
      <c r="F458" s="8">
        <v>37</v>
      </c>
      <c r="G458" s="8">
        <v>4.9000000000000004</v>
      </c>
      <c r="H458" s="82">
        <f>IF(MONTH(TABLE_PIVOT[[#This Row],[Date of Call]])&lt;=6,YEAR(TABLE_PIVOT[[#This Row],[Date of Call]]),YEAR(TABLE_PIVOT[[#This Row],[Date of Call]])+1)</f>
        <v>2023</v>
      </c>
      <c r="I458" s="82" t="str">
        <f>TEXT(TABLE_PIVOT[[#This Row],[Date of Call]],"DDDD")</f>
        <v>Monday</v>
      </c>
      <c r="J458" s="82" t="str" cm="1">
        <f t="array" ref="J458">_xlfn.IFS(TABLE_PIVOT[[#This Row],[Duration]]&lt;=10,"Under 10 Mins",TABLE_PIVOT[[#This Row],[Duration]]&lt;=30,"10 to 30 Mins",TABLE_PIVOT[[#This Row],[Duration]]&lt;=60,"30 to 60 Mins",TABLE_PIVOT[[#This Row],[Duration]]&lt;=120,"1 to 2 Hours",TRUE,"More Than 2 Hours")</f>
        <v>30 to 60 Mins</v>
      </c>
      <c r="K458" s="82">
        <f>ROUND(TABLE_PIVOT[[#This Row],[Satisfaction Rating]],0)</f>
        <v>5</v>
      </c>
    </row>
    <row r="459" spans="1:11" x14ac:dyDescent="0.3">
      <c r="A459" s="8" t="s">
        <v>2085</v>
      </c>
      <c r="B459" s="8" t="s">
        <v>1613</v>
      </c>
      <c r="C459" s="8">
        <v>31</v>
      </c>
      <c r="D459" s="120" t="s">
        <v>1621</v>
      </c>
      <c r="E459" s="121">
        <v>45054</v>
      </c>
      <c r="F459" s="8">
        <v>180</v>
      </c>
      <c r="G459" s="8">
        <v>4.5</v>
      </c>
      <c r="H459" s="82">
        <f>IF(MONTH(TABLE_PIVOT[[#This Row],[Date of Call]])&lt;=6,YEAR(TABLE_PIVOT[[#This Row],[Date of Call]]),YEAR(TABLE_PIVOT[[#This Row],[Date of Call]])+1)</f>
        <v>2023</v>
      </c>
      <c r="I459" s="82" t="str">
        <f>TEXT(TABLE_PIVOT[[#This Row],[Date of Call]],"DDDD")</f>
        <v>Monday</v>
      </c>
      <c r="J459" s="82" t="str" cm="1">
        <f t="array" ref="J459">_xlfn.IFS(TABLE_PIVOT[[#This Row],[Duration]]&lt;=10,"Under 10 Mins",TABLE_PIVOT[[#This Row],[Duration]]&lt;=30,"10 to 30 Mins",TABLE_PIVOT[[#This Row],[Duration]]&lt;=60,"30 to 60 Mins",TABLE_PIVOT[[#This Row],[Duration]]&lt;=120,"1 to 2 Hours",TRUE,"More Than 2 Hours")</f>
        <v>30 to 60 Mins</v>
      </c>
      <c r="K459" s="82">
        <f>ROUND(TABLE_PIVOT[[#This Row],[Satisfaction Rating]],0)</f>
        <v>5</v>
      </c>
    </row>
    <row r="460" spans="1:11" x14ac:dyDescent="0.3">
      <c r="A460" s="8" t="s">
        <v>2086</v>
      </c>
      <c r="B460" s="8" t="s">
        <v>1610</v>
      </c>
      <c r="C460" s="8">
        <v>114</v>
      </c>
      <c r="D460" s="120" t="s">
        <v>1630</v>
      </c>
      <c r="E460" s="121">
        <v>45054</v>
      </c>
      <c r="F460" s="8">
        <v>105</v>
      </c>
      <c r="G460" s="8">
        <v>4.9000000000000004</v>
      </c>
      <c r="H460" s="82">
        <f>IF(MONTH(TABLE_PIVOT[[#This Row],[Date of Call]])&lt;=6,YEAR(TABLE_PIVOT[[#This Row],[Date of Call]]),YEAR(TABLE_PIVOT[[#This Row],[Date of Call]])+1)</f>
        <v>2023</v>
      </c>
      <c r="I460" s="82" t="str">
        <f>TEXT(TABLE_PIVOT[[#This Row],[Date of Call]],"DDDD")</f>
        <v>Monday</v>
      </c>
      <c r="J460" s="82" t="str" cm="1">
        <f t="array" ref="J460">_xlfn.IFS(TABLE_PIVOT[[#This Row],[Duration]]&lt;=10,"Under 10 Mins",TABLE_PIVOT[[#This Row],[Duration]]&lt;=30,"10 to 30 Mins",TABLE_PIVOT[[#This Row],[Duration]]&lt;=60,"30 to 60 Mins",TABLE_PIVOT[[#This Row],[Duration]]&lt;=120,"1 to 2 Hours",TRUE,"More Than 2 Hours")</f>
        <v>1 to 2 Hours</v>
      </c>
      <c r="K460" s="82">
        <f>ROUND(TABLE_PIVOT[[#This Row],[Satisfaction Rating]],0)</f>
        <v>5</v>
      </c>
    </row>
    <row r="461" spans="1:11" x14ac:dyDescent="0.3">
      <c r="A461" s="8" t="s">
        <v>2087</v>
      </c>
      <c r="B461" s="8" t="s">
        <v>1649</v>
      </c>
      <c r="C461" s="8">
        <v>73</v>
      </c>
      <c r="D461" s="120" t="s">
        <v>1611</v>
      </c>
      <c r="E461" s="121">
        <v>45054</v>
      </c>
      <c r="F461" s="8">
        <v>87</v>
      </c>
      <c r="G461" s="8">
        <v>3.6</v>
      </c>
      <c r="H461" s="82">
        <f>IF(MONTH(TABLE_PIVOT[[#This Row],[Date of Call]])&lt;=6,YEAR(TABLE_PIVOT[[#This Row],[Date of Call]]),YEAR(TABLE_PIVOT[[#This Row],[Date of Call]])+1)</f>
        <v>2023</v>
      </c>
      <c r="I461" s="82" t="str">
        <f>TEXT(TABLE_PIVOT[[#This Row],[Date of Call]],"DDDD")</f>
        <v>Monday</v>
      </c>
      <c r="J461" s="82" t="str" cm="1">
        <f t="array" ref="J461">_xlfn.IFS(TABLE_PIVOT[[#This Row],[Duration]]&lt;=10,"Under 10 Mins",TABLE_PIVOT[[#This Row],[Duration]]&lt;=30,"10 to 30 Mins",TABLE_PIVOT[[#This Row],[Duration]]&lt;=60,"30 to 60 Mins",TABLE_PIVOT[[#This Row],[Duration]]&lt;=120,"1 to 2 Hours",TRUE,"More Than 2 Hours")</f>
        <v>1 to 2 Hours</v>
      </c>
      <c r="K461" s="82">
        <f>ROUND(TABLE_PIVOT[[#This Row],[Satisfaction Rating]],0)</f>
        <v>4</v>
      </c>
    </row>
    <row r="462" spans="1:11" x14ac:dyDescent="0.3">
      <c r="A462" s="8" t="s">
        <v>2088</v>
      </c>
      <c r="B462" s="8" t="s">
        <v>1641</v>
      </c>
      <c r="C462" s="8">
        <v>25</v>
      </c>
      <c r="D462" s="120" t="s">
        <v>1621</v>
      </c>
      <c r="E462" s="121">
        <v>45054</v>
      </c>
      <c r="F462" s="8">
        <v>52</v>
      </c>
      <c r="G462" s="8">
        <v>3.8</v>
      </c>
      <c r="H462" s="82">
        <f>IF(MONTH(TABLE_PIVOT[[#This Row],[Date of Call]])&lt;=6,YEAR(TABLE_PIVOT[[#This Row],[Date of Call]]),YEAR(TABLE_PIVOT[[#This Row],[Date of Call]])+1)</f>
        <v>2023</v>
      </c>
      <c r="I462" s="82" t="str">
        <f>TEXT(TABLE_PIVOT[[#This Row],[Date of Call]],"DDDD")</f>
        <v>Monday</v>
      </c>
      <c r="J462" s="82" t="str" cm="1">
        <f t="array" ref="J462">_xlfn.IFS(TABLE_PIVOT[[#This Row],[Duration]]&lt;=10,"Under 10 Mins",TABLE_PIVOT[[#This Row],[Duration]]&lt;=30,"10 to 30 Mins",TABLE_PIVOT[[#This Row],[Duration]]&lt;=60,"30 to 60 Mins",TABLE_PIVOT[[#This Row],[Duration]]&lt;=120,"1 to 2 Hours",TRUE,"More Than 2 Hours")</f>
        <v>10 to 30 Mins</v>
      </c>
      <c r="K462" s="82">
        <f>ROUND(TABLE_PIVOT[[#This Row],[Satisfaction Rating]],0)</f>
        <v>4</v>
      </c>
    </row>
    <row r="463" spans="1:11" x14ac:dyDescent="0.3">
      <c r="A463" s="8" t="s">
        <v>2089</v>
      </c>
      <c r="B463" s="8" t="s">
        <v>1620</v>
      </c>
      <c r="C463" s="8">
        <v>44</v>
      </c>
      <c r="D463" s="120" t="s">
        <v>1630</v>
      </c>
      <c r="E463" s="121">
        <v>45054</v>
      </c>
      <c r="F463" s="8">
        <v>63</v>
      </c>
      <c r="G463" s="8">
        <v>3.5</v>
      </c>
      <c r="H463" s="82">
        <f>IF(MONTH(TABLE_PIVOT[[#This Row],[Date of Call]])&lt;=6,YEAR(TABLE_PIVOT[[#This Row],[Date of Call]]),YEAR(TABLE_PIVOT[[#This Row],[Date of Call]])+1)</f>
        <v>2023</v>
      </c>
      <c r="I463" s="82" t="str">
        <f>TEXT(TABLE_PIVOT[[#This Row],[Date of Call]],"DDDD")</f>
        <v>Monday</v>
      </c>
      <c r="J463" s="82" t="str" cm="1">
        <f t="array" ref="J463">_xlfn.IFS(TABLE_PIVOT[[#This Row],[Duration]]&lt;=10,"Under 10 Mins",TABLE_PIVOT[[#This Row],[Duration]]&lt;=30,"10 to 30 Mins",TABLE_PIVOT[[#This Row],[Duration]]&lt;=60,"30 to 60 Mins",TABLE_PIVOT[[#This Row],[Duration]]&lt;=120,"1 to 2 Hours",TRUE,"More Than 2 Hours")</f>
        <v>30 to 60 Mins</v>
      </c>
      <c r="K463" s="82">
        <f>ROUND(TABLE_PIVOT[[#This Row],[Satisfaction Rating]],0)</f>
        <v>4</v>
      </c>
    </row>
    <row r="464" spans="1:11" x14ac:dyDescent="0.3">
      <c r="A464" s="8" t="s">
        <v>2090</v>
      </c>
      <c r="B464" s="8" t="s">
        <v>1644</v>
      </c>
      <c r="C464" s="8">
        <v>34</v>
      </c>
      <c r="D464" s="120" t="s">
        <v>1616</v>
      </c>
      <c r="E464" s="121">
        <v>45055</v>
      </c>
      <c r="F464" s="8">
        <v>195</v>
      </c>
      <c r="G464" s="8">
        <v>4.8</v>
      </c>
      <c r="H464" s="82">
        <f>IF(MONTH(TABLE_PIVOT[[#This Row],[Date of Call]])&lt;=6,YEAR(TABLE_PIVOT[[#This Row],[Date of Call]]),YEAR(TABLE_PIVOT[[#This Row],[Date of Call]])+1)</f>
        <v>2023</v>
      </c>
      <c r="I464" s="82" t="str">
        <f>TEXT(TABLE_PIVOT[[#This Row],[Date of Call]],"DDDD")</f>
        <v>Tuesday</v>
      </c>
      <c r="J464" s="82" t="str" cm="1">
        <f t="array" ref="J464">_xlfn.IFS(TABLE_PIVOT[[#This Row],[Duration]]&lt;=10,"Under 10 Mins",TABLE_PIVOT[[#This Row],[Duration]]&lt;=30,"10 to 30 Mins",TABLE_PIVOT[[#This Row],[Duration]]&lt;=60,"30 to 60 Mins",TABLE_PIVOT[[#This Row],[Duration]]&lt;=120,"1 to 2 Hours",TRUE,"More Than 2 Hours")</f>
        <v>30 to 60 Mins</v>
      </c>
      <c r="K464" s="82">
        <f>ROUND(TABLE_PIVOT[[#This Row],[Satisfaction Rating]],0)</f>
        <v>5</v>
      </c>
    </row>
    <row r="465" spans="1:11" x14ac:dyDescent="0.3">
      <c r="A465" s="8" t="s">
        <v>2091</v>
      </c>
      <c r="B465" s="8" t="s">
        <v>1682</v>
      </c>
      <c r="C465" s="8">
        <v>89</v>
      </c>
      <c r="D465" s="120" t="s">
        <v>1626</v>
      </c>
      <c r="E465" s="121">
        <v>45056</v>
      </c>
      <c r="F465" s="8">
        <v>176</v>
      </c>
      <c r="G465" s="8">
        <v>4.5</v>
      </c>
      <c r="H465" s="82">
        <f>IF(MONTH(TABLE_PIVOT[[#This Row],[Date of Call]])&lt;=6,YEAR(TABLE_PIVOT[[#This Row],[Date of Call]]),YEAR(TABLE_PIVOT[[#This Row],[Date of Call]])+1)</f>
        <v>2023</v>
      </c>
      <c r="I465" s="82" t="str">
        <f>TEXT(TABLE_PIVOT[[#This Row],[Date of Call]],"DDDD")</f>
        <v>Wednesday</v>
      </c>
      <c r="J465" s="82" t="str" cm="1">
        <f t="array" ref="J465">_xlfn.IFS(TABLE_PIVOT[[#This Row],[Duration]]&lt;=10,"Under 10 Mins",TABLE_PIVOT[[#This Row],[Duration]]&lt;=30,"10 to 30 Mins",TABLE_PIVOT[[#This Row],[Duration]]&lt;=60,"30 to 60 Mins",TABLE_PIVOT[[#This Row],[Duration]]&lt;=120,"1 to 2 Hours",TRUE,"More Than 2 Hours")</f>
        <v>1 to 2 Hours</v>
      </c>
      <c r="K465" s="82">
        <f>ROUND(TABLE_PIVOT[[#This Row],[Satisfaction Rating]],0)</f>
        <v>5</v>
      </c>
    </row>
    <row r="466" spans="1:11" x14ac:dyDescent="0.3">
      <c r="A466" s="8" t="s">
        <v>2092</v>
      </c>
      <c r="B466" s="8" t="s">
        <v>1629</v>
      </c>
      <c r="C466" s="8">
        <v>54</v>
      </c>
      <c r="D466" s="120" t="s">
        <v>1621</v>
      </c>
      <c r="E466" s="121">
        <v>45057</v>
      </c>
      <c r="F466" s="8">
        <v>31</v>
      </c>
      <c r="G466" s="8">
        <v>3.3</v>
      </c>
      <c r="H466" s="82">
        <f>IF(MONTH(TABLE_PIVOT[[#This Row],[Date of Call]])&lt;=6,YEAR(TABLE_PIVOT[[#This Row],[Date of Call]]),YEAR(TABLE_PIVOT[[#This Row],[Date of Call]])+1)</f>
        <v>2023</v>
      </c>
      <c r="I466" s="82" t="str">
        <f>TEXT(TABLE_PIVOT[[#This Row],[Date of Call]],"DDDD")</f>
        <v>Thursday</v>
      </c>
      <c r="J466" s="82" t="str" cm="1">
        <f t="array" ref="J466">_xlfn.IFS(TABLE_PIVOT[[#This Row],[Duration]]&lt;=10,"Under 10 Mins",TABLE_PIVOT[[#This Row],[Duration]]&lt;=30,"10 to 30 Mins",TABLE_PIVOT[[#This Row],[Duration]]&lt;=60,"30 to 60 Mins",TABLE_PIVOT[[#This Row],[Duration]]&lt;=120,"1 to 2 Hours",TRUE,"More Than 2 Hours")</f>
        <v>30 to 60 Mins</v>
      </c>
      <c r="K466" s="82">
        <f>ROUND(TABLE_PIVOT[[#This Row],[Satisfaction Rating]],0)</f>
        <v>3</v>
      </c>
    </row>
    <row r="467" spans="1:11" x14ac:dyDescent="0.3">
      <c r="A467" s="8" t="s">
        <v>2093</v>
      </c>
      <c r="B467" s="8" t="s">
        <v>1615</v>
      </c>
      <c r="C467" s="8">
        <v>25</v>
      </c>
      <c r="D467" s="120" t="s">
        <v>1621</v>
      </c>
      <c r="E467" s="121">
        <v>45058</v>
      </c>
      <c r="F467" s="8">
        <v>27</v>
      </c>
      <c r="G467" s="8">
        <v>3.2</v>
      </c>
      <c r="H467" s="82">
        <f>IF(MONTH(TABLE_PIVOT[[#This Row],[Date of Call]])&lt;=6,YEAR(TABLE_PIVOT[[#This Row],[Date of Call]]),YEAR(TABLE_PIVOT[[#This Row],[Date of Call]])+1)</f>
        <v>2023</v>
      </c>
      <c r="I467" s="82" t="str">
        <f>TEXT(TABLE_PIVOT[[#This Row],[Date of Call]],"DDDD")</f>
        <v>Friday</v>
      </c>
      <c r="J467" s="82" t="str" cm="1">
        <f t="array" ref="J467">_xlfn.IFS(TABLE_PIVOT[[#This Row],[Duration]]&lt;=10,"Under 10 Mins",TABLE_PIVOT[[#This Row],[Duration]]&lt;=30,"10 to 30 Mins",TABLE_PIVOT[[#This Row],[Duration]]&lt;=60,"30 to 60 Mins",TABLE_PIVOT[[#This Row],[Duration]]&lt;=120,"1 to 2 Hours",TRUE,"More Than 2 Hours")</f>
        <v>10 to 30 Mins</v>
      </c>
      <c r="K467" s="82">
        <f>ROUND(TABLE_PIVOT[[#This Row],[Satisfaction Rating]],0)</f>
        <v>3</v>
      </c>
    </row>
    <row r="468" spans="1:11" x14ac:dyDescent="0.3">
      <c r="A468" s="8" t="s">
        <v>2094</v>
      </c>
      <c r="B468" s="8" t="s">
        <v>1633</v>
      </c>
      <c r="C468" s="8">
        <v>91</v>
      </c>
      <c r="D468" s="120" t="s">
        <v>1626</v>
      </c>
      <c r="E468" s="121">
        <v>45058</v>
      </c>
      <c r="F468" s="8">
        <v>76</v>
      </c>
      <c r="G468" s="8">
        <v>4.9000000000000004</v>
      </c>
      <c r="H468" s="82">
        <f>IF(MONTH(TABLE_PIVOT[[#This Row],[Date of Call]])&lt;=6,YEAR(TABLE_PIVOT[[#This Row],[Date of Call]]),YEAR(TABLE_PIVOT[[#This Row],[Date of Call]])+1)</f>
        <v>2023</v>
      </c>
      <c r="I468" s="82" t="str">
        <f>TEXT(TABLE_PIVOT[[#This Row],[Date of Call]],"DDDD")</f>
        <v>Friday</v>
      </c>
      <c r="J468" s="82" t="str" cm="1">
        <f t="array" ref="J468">_xlfn.IFS(TABLE_PIVOT[[#This Row],[Duration]]&lt;=10,"Under 10 Mins",TABLE_PIVOT[[#This Row],[Duration]]&lt;=30,"10 to 30 Mins",TABLE_PIVOT[[#This Row],[Duration]]&lt;=60,"30 to 60 Mins",TABLE_PIVOT[[#This Row],[Duration]]&lt;=120,"1 to 2 Hours",TRUE,"More Than 2 Hours")</f>
        <v>1 to 2 Hours</v>
      </c>
      <c r="K468" s="82">
        <f>ROUND(TABLE_PIVOT[[#This Row],[Satisfaction Rating]],0)</f>
        <v>5</v>
      </c>
    </row>
    <row r="469" spans="1:11" x14ac:dyDescent="0.3">
      <c r="A469" s="8" t="s">
        <v>2095</v>
      </c>
      <c r="B469" s="8" t="s">
        <v>1620</v>
      </c>
      <c r="C469" s="8">
        <v>144</v>
      </c>
      <c r="D469" s="120" t="s">
        <v>1630</v>
      </c>
      <c r="E469" s="121">
        <v>45058</v>
      </c>
      <c r="F469" s="8">
        <v>62</v>
      </c>
      <c r="G469" s="8">
        <v>4.8</v>
      </c>
      <c r="H469" s="82">
        <f>IF(MONTH(TABLE_PIVOT[[#This Row],[Date of Call]])&lt;=6,YEAR(TABLE_PIVOT[[#This Row],[Date of Call]]),YEAR(TABLE_PIVOT[[#This Row],[Date of Call]])+1)</f>
        <v>2023</v>
      </c>
      <c r="I469" s="82" t="str">
        <f>TEXT(TABLE_PIVOT[[#This Row],[Date of Call]],"DDDD")</f>
        <v>Friday</v>
      </c>
      <c r="J469" s="82" t="str" cm="1">
        <f t="array" ref="J469">_xlfn.IFS(TABLE_PIVOT[[#This Row],[Duration]]&lt;=10,"Under 10 Mins",TABLE_PIVOT[[#This Row],[Duration]]&lt;=30,"10 to 30 Mins",TABLE_PIVOT[[#This Row],[Duration]]&lt;=60,"30 to 60 Mins",TABLE_PIVOT[[#This Row],[Duration]]&lt;=120,"1 to 2 Hours",TRUE,"More Than 2 Hours")</f>
        <v>More Than 2 Hours</v>
      </c>
      <c r="K469" s="82">
        <f>ROUND(TABLE_PIVOT[[#This Row],[Satisfaction Rating]],0)</f>
        <v>5</v>
      </c>
    </row>
    <row r="470" spans="1:11" x14ac:dyDescent="0.3">
      <c r="A470" s="8" t="s">
        <v>2096</v>
      </c>
      <c r="B470" s="8" t="s">
        <v>1633</v>
      </c>
      <c r="C470" s="8">
        <v>81</v>
      </c>
      <c r="D470" s="120" t="s">
        <v>1616</v>
      </c>
      <c r="E470" s="121">
        <v>45060</v>
      </c>
      <c r="F470" s="8">
        <v>100</v>
      </c>
      <c r="G470" s="8">
        <v>1.3</v>
      </c>
      <c r="H470" s="82">
        <f>IF(MONTH(TABLE_PIVOT[[#This Row],[Date of Call]])&lt;=6,YEAR(TABLE_PIVOT[[#This Row],[Date of Call]]),YEAR(TABLE_PIVOT[[#This Row],[Date of Call]])+1)</f>
        <v>2023</v>
      </c>
      <c r="I470" s="82" t="str">
        <f>TEXT(TABLE_PIVOT[[#This Row],[Date of Call]],"DDDD")</f>
        <v>Sunday</v>
      </c>
      <c r="J470" s="82" t="str" cm="1">
        <f t="array" ref="J470">_xlfn.IFS(TABLE_PIVOT[[#This Row],[Duration]]&lt;=10,"Under 10 Mins",TABLE_PIVOT[[#This Row],[Duration]]&lt;=30,"10 to 30 Mins",TABLE_PIVOT[[#This Row],[Duration]]&lt;=60,"30 to 60 Mins",TABLE_PIVOT[[#This Row],[Duration]]&lt;=120,"1 to 2 Hours",TRUE,"More Than 2 Hours")</f>
        <v>1 to 2 Hours</v>
      </c>
      <c r="K470" s="82">
        <f>ROUND(TABLE_PIVOT[[#This Row],[Satisfaction Rating]],0)</f>
        <v>1</v>
      </c>
    </row>
    <row r="471" spans="1:11" x14ac:dyDescent="0.3">
      <c r="A471" s="8" t="s">
        <v>2097</v>
      </c>
      <c r="B471" s="8" t="s">
        <v>1662</v>
      </c>
      <c r="C471" s="8">
        <v>92</v>
      </c>
      <c r="D471" s="120" t="s">
        <v>1621</v>
      </c>
      <c r="E471" s="121">
        <v>45060</v>
      </c>
      <c r="F471" s="8">
        <v>44</v>
      </c>
      <c r="G471" s="8">
        <v>3.1</v>
      </c>
      <c r="H471" s="82">
        <f>IF(MONTH(TABLE_PIVOT[[#This Row],[Date of Call]])&lt;=6,YEAR(TABLE_PIVOT[[#This Row],[Date of Call]]),YEAR(TABLE_PIVOT[[#This Row],[Date of Call]])+1)</f>
        <v>2023</v>
      </c>
      <c r="I471" s="82" t="str">
        <f>TEXT(TABLE_PIVOT[[#This Row],[Date of Call]],"DDDD")</f>
        <v>Sunday</v>
      </c>
      <c r="J471" s="82" t="str" cm="1">
        <f t="array" ref="J471">_xlfn.IFS(TABLE_PIVOT[[#This Row],[Duration]]&lt;=10,"Under 10 Mins",TABLE_PIVOT[[#This Row],[Duration]]&lt;=30,"10 to 30 Mins",TABLE_PIVOT[[#This Row],[Duration]]&lt;=60,"30 to 60 Mins",TABLE_PIVOT[[#This Row],[Duration]]&lt;=120,"1 to 2 Hours",TRUE,"More Than 2 Hours")</f>
        <v>1 to 2 Hours</v>
      </c>
      <c r="K471" s="82">
        <f>ROUND(TABLE_PIVOT[[#This Row],[Satisfaction Rating]],0)</f>
        <v>3</v>
      </c>
    </row>
    <row r="472" spans="1:11" x14ac:dyDescent="0.3">
      <c r="A472" s="8" t="s">
        <v>2098</v>
      </c>
      <c r="B472" s="8" t="s">
        <v>1615</v>
      </c>
      <c r="C472" s="8">
        <v>115</v>
      </c>
      <c r="D472" s="120" t="s">
        <v>1626</v>
      </c>
      <c r="E472" s="121">
        <v>45060</v>
      </c>
      <c r="F472" s="8">
        <v>168</v>
      </c>
      <c r="G472" s="8">
        <v>3.4</v>
      </c>
      <c r="H472" s="82">
        <f>IF(MONTH(TABLE_PIVOT[[#This Row],[Date of Call]])&lt;=6,YEAR(TABLE_PIVOT[[#This Row],[Date of Call]]),YEAR(TABLE_PIVOT[[#This Row],[Date of Call]])+1)</f>
        <v>2023</v>
      </c>
      <c r="I472" s="82" t="str">
        <f>TEXT(TABLE_PIVOT[[#This Row],[Date of Call]],"DDDD")</f>
        <v>Sunday</v>
      </c>
      <c r="J472" s="82" t="str" cm="1">
        <f t="array" ref="J472">_xlfn.IFS(TABLE_PIVOT[[#This Row],[Duration]]&lt;=10,"Under 10 Mins",TABLE_PIVOT[[#This Row],[Duration]]&lt;=30,"10 to 30 Mins",TABLE_PIVOT[[#This Row],[Duration]]&lt;=60,"30 to 60 Mins",TABLE_PIVOT[[#This Row],[Duration]]&lt;=120,"1 to 2 Hours",TRUE,"More Than 2 Hours")</f>
        <v>1 to 2 Hours</v>
      </c>
      <c r="K472" s="82">
        <f>ROUND(TABLE_PIVOT[[#This Row],[Satisfaction Rating]],0)</f>
        <v>3</v>
      </c>
    </row>
    <row r="473" spans="1:11" x14ac:dyDescent="0.3">
      <c r="A473" s="8" t="s">
        <v>2099</v>
      </c>
      <c r="B473" s="8" t="s">
        <v>1624</v>
      </c>
      <c r="C473" s="8">
        <v>56</v>
      </c>
      <c r="D473" s="120" t="s">
        <v>1626</v>
      </c>
      <c r="E473" s="121">
        <v>45061</v>
      </c>
      <c r="F473" s="8">
        <v>200</v>
      </c>
      <c r="G473" s="8">
        <v>4.5999999999999996</v>
      </c>
      <c r="H473" s="82">
        <f>IF(MONTH(TABLE_PIVOT[[#This Row],[Date of Call]])&lt;=6,YEAR(TABLE_PIVOT[[#This Row],[Date of Call]]),YEAR(TABLE_PIVOT[[#This Row],[Date of Call]])+1)</f>
        <v>2023</v>
      </c>
      <c r="I473" s="82" t="str">
        <f>TEXT(TABLE_PIVOT[[#This Row],[Date of Call]],"DDDD")</f>
        <v>Monday</v>
      </c>
      <c r="J473" s="82" t="str" cm="1">
        <f t="array" ref="J473">_xlfn.IFS(TABLE_PIVOT[[#This Row],[Duration]]&lt;=10,"Under 10 Mins",TABLE_PIVOT[[#This Row],[Duration]]&lt;=30,"10 to 30 Mins",TABLE_PIVOT[[#This Row],[Duration]]&lt;=60,"30 to 60 Mins",TABLE_PIVOT[[#This Row],[Duration]]&lt;=120,"1 to 2 Hours",TRUE,"More Than 2 Hours")</f>
        <v>30 to 60 Mins</v>
      </c>
      <c r="K473" s="82">
        <f>ROUND(TABLE_PIVOT[[#This Row],[Satisfaction Rating]],0)</f>
        <v>5</v>
      </c>
    </row>
    <row r="474" spans="1:11" x14ac:dyDescent="0.3">
      <c r="A474" s="8" t="s">
        <v>2100</v>
      </c>
      <c r="B474" s="8" t="s">
        <v>1613</v>
      </c>
      <c r="C474" s="8">
        <v>154</v>
      </c>
      <c r="D474" s="120" t="s">
        <v>1621</v>
      </c>
      <c r="E474" s="121">
        <v>45061</v>
      </c>
      <c r="F474" s="8">
        <v>84</v>
      </c>
      <c r="G474" s="8">
        <v>4.3</v>
      </c>
      <c r="H474" s="82">
        <f>IF(MONTH(TABLE_PIVOT[[#This Row],[Date of Call]])&lt;=6,YEAR(TABLE_PIVOT[[#This Row],[Date of Call]]),YEAR(TABLE_PIVOT[[#This Row],[Date of Call]])+1)</f>
        <v>2023</v>
      </c>
      <c r="I474" s="82" t="str">
        <f>TEXT(TABLE_PIVOT[[#This Row],[Date of Call]],"DDDD")</f>
        <v>Monday</v>
      </c>
      <c r="J474" s="82" t="str" cm="1">
        <f t="array" ref="J474">_xlfn.IFS(TABLE_PIVOT[[#This Row],[Duration]]&lt;=10,"Under 10 Mins",TABLE_PIVOT[[#This Row],[Duration]]&lt;=30,"10 to 30 Mins",TABLE_PIVOT[[#This Row],[Duration]]&lt;=60,"30 to 60 Mins",TABLE_PIVOT[[#This Row],[Duration]]&lt;=120,"1 to 2 Hours",TRUE,"More Than 2 Hours")</f>
        <v>More Than 2 Hours</v>
      </c>
      <c r="K474" s="82">
        <f>ROUND(TABLE_PIVOT[[#This Row],[Satisfaction Rating]],0)</f>
        <v>4</v>
      </c>
    </row>
    <row r="475" spans="1:11" x14ac:dyDescent="0.3">
      <c r="A475" s="8" t="s">
        <v>2101</v>
      </c>
      <c r="B475" s="8" t="s">
        <v>1682</v>
      </c>
      <c r="C475" s="8">
        <v>51</v>
      </c>
      <c r="D475" s="120" t="s">
        <v>1626</v>
      </c>
      <c r="E475" s="121">
        <v>45062</v>
      </c>
      <c r="F475" s="8">
        <v>117</v>
      </c>
      <c r="G475" s="8">
        <v>2.7</v>
      </c>
      <c r="H475" s="82">
        <f>IF(MONTH(TABLE_PIVOT[[#This Row],[Date of Call]])&lt;=6,YEAR(TABLE_PIVOT[[#This Row],[Date of Call]]),YEAR(TABLE_PIVOT[[#This Row],[Date of Call]])+1)</f>
        <v>2023</v>
      </c>
      <c r="I475" s="82" t="str">
        <f>TEXT(TABLE_PIVOT[[#This Row],[Date of Call]],"DDDD")</f>
        <v>Tuesday</v>
      </c>
      <c r="J475" s="82" t="str" cm="1">
        <f t="array" ref="J475">_xlfn.IFS(TABLE_PIVOT[[#This Row],[Duration]]&lt;=10,"Under 10 Mins",TABLE_PIVOT[[#This Row],[Duration]]&lt;=30,"10 to 30 Mins",TABLE_PIVOT[[#This Row],[Duration]]&lt;=60,"30 to 60 Mins",TABLE_PIVOT[[#This Row],[Duration]]&lt;=120,"1 to 2 Hours",TRUE,"More Than 2 Hours")</f>
        <v>30 to 60 Mins</v>
      </c>
      <c r="K475" s="82">
        <f>ROUND(TABLE_PIVOT[[#This Row],[Satisfaction Rating]],0)</f>
        <v>3</v>
      </c>
    </row>
    <row r="476" spans="1:11" x14ac:dyDescent="0.3">
      <c r="A476" s="8" t="s">
        <v>2102</v>
      </c>
      <c r="B476" s="8" t="s">
        <v>1644</v>
      </c>
      <c r="C476" s="8">
        <v>21</v>
      </c>
      <c r="D476" s="120" t="s">
        <v>1616</v>
      </c>
      <c r="E476" s="121">
        <v>45062</v>
      </c>
      <c r="F476" s="8">
        <v>63</v>
      </c>
      <c r="G476" s="8">
        <v>4.2</v>
      </c>
      <c r="H476" s="82">
        <f>IF(MONTH(TABLE_PIVOT[[#This Row],[Date of Call]])&lt;=6,YEAR(TABLE_PIVOT[[#This Row],[Date of Call]]),YEAR(TABLE_PIVOT[[#This Row],[Date of Call]])+1)</f>
        <v>2023</v>
      </c>
      <c r="I476" s="82" t="str">
        <f>TEXT(TABLE_PIVOT[[#This Row],[Date of Call]],"DDDD")</f>
        <v>Tuesday</v>
      </c>
      <c r="J476" s="82" t="str" cm="1">
        <f t="array" ref="J476">_xlfn.IFS(TABLE_PIVOT[[#This Row],[Duration]]&lt;=10,"Under 10 Mins",TABLE_PIVOT[[#This Row],[Duration]]&lt;=30,"10 to 30 Mins",TABLE_PIVOT[[#This Row],[Duration]]&lt;=60,"30 to 60 Mins",TABLE_PIVOT[[#This Row],[Duration]]&lt;=120,"1 to 2 Hours",TRUE,"More Than 2 Hours")</f>
        <v>10 to 30 Mins</v>
      </c>
      <c r="K476" s="82">
        <f>ROUND(TABLE_PIVOT[[#This Row],[Satisfaction Rating]],0)</f>
        <v>4</v>
      </c>
    </row>
    <row r="477" spans="1:11" x14ac:dyDescent="0.3">
      <c r="A477" s="8" t="s">
        <v>2103</v>
      </c>
      <c r="B477" s="8" t="s">
        <v>1615</v>
      </c>
      <c r="C477" s="8">
        <v>80</v>
      </c>
      <c r="D477" s="120" t="s">
        <v>1626</v>
      </c>
      <c r="E477" s="121">
        <v>45063</v>
      </c>
      <c r="F477" s="8">
        <v>145</v>
      </c>
      <c r="G477" s="8">
        <v>4.9000000000000004</v>
      </c>
      <c r="H477" s="82">
        <f>IF(MONTH(TABLE_PIVOT[[#This Row],[Date of Call]])&lt;=6,YEAR(TABLE_PIVOT[[#This Row],[Date of Call]]),YEAR(TABLE_PIVOT[[#This Row],[Date of Call]])+1)</f>
        <v>2023</v>
      </c>
      <c r="I477" s="82" t="str">
        <f>TEXT(TABLE_PIVOT[[#This Row],[Date of Call]],"DDDD")</f>
        <v>Wednesday</v>
      </c>
      <c r="J477" s="82" t="str" cm="1">
        <f t="array" ref="J477">_xlfn.IFS(TABLE_PIVOT[[#This Row],[Duration]]&lt;=10,"Under 10 Mins",TABLE_PIVOT[[#This Row],[Duration]]&lt;=30,"10 to 30 Mins",TABLE_PIVOT[[#This Row],[Duration]]&lt;=60,"30 to 60 Mins",TABLE_PIVOT[[#This Row],[Duration]]&lt;=120,"1 to 2 Hours",TRUE,"More Than 2 Hours")</f>
        <v>1 to 2 Hours</v>
      </c>
      <c r="K477" s="82">
        <f>ROUND(TABLE_PIVOT[[#This Row],[Satisfaction Rating]],0)</f>
        <v>5</v>
      </c>
    </row>
    <row r="478" spans="1:11" x14ac:dyDescent="0.3">
      <c r="A478" s="8" t="s">
        <v>2104</v>
      </c>
      <c r="B478" s="8" t="s">
        <v>1682</v>
      </c>
      <c r="C478" s="8">
        <v>139</v>
      </c>
      <c r="D478" s="120" t="s">
        <v>1621</v>
      </c>
      <c r="E478" s="121">
        <v>45063</v>
      </c>
      <c r="F478" s="8">
        <v>220</v>
      </c>
      <c r="G478" s="8">
        <v>3.2</v>
      </c>
      <c r="H478" s="82">
        <f>IF(MONTH(TABLE_PIVOT[[#This Row],[Date of Call]])&lt;=6,YEAR(TABLE_PIVOT[[#This Row],[Date of Call]]),YEAR(TABLE_PIVOT[[#This Row],[Date of Call]])+1)</f>
        <v>2023</v>
      </c>
      <c r="I478" s="82" t="str">
        <f>TEXT(TABLE_PIVOT[[#This Row],[Date of Call]],"DDDD")</f>
        <v>Wednesday</v>
      </c>
      <c r="J478" s="82" t="str" cm="1">
        <f t="array" ref="J478">_xlfn.IFS(TABLE_PIVOT[[#This Row],[Duration]]&lt;=10,"Under 10 Mins",TABLE_PIVOT[[#This Row],[Duration]]&lt;=30,"10 to 30 Mins",TABLE_PIVOT[[#This Row],[Duration]]&lt;=60,"30 to 60 Mins",TABLE_PIVOT[[#This Row],[Duration]]&lt;=120,"1 to 2 Hours",TRUE,"More Than 2 Hours")</f>
        <v>More Than 2 Hours</v>
      </c>
      <c r="K478" s="82">
        <f>ROUND(TABLE_PIVOT[[#This Row],[Satisfaction Rating]],0)</f>
        <v>3</v>
      </c>
    </row>
    <row r="479" spans="1:11" x14ac:dyDescent="0.3">
      <c r="A479" s="8" t="s">
        <v>2105</v>
      </c>
      <c r="B479" s="8" t="s">
        <v>1635</v>
      </c>
      <c r="C479" s="8">
        <v>50</v>
      </c>
      <c r="D479" s="120" t="s">
        <v>1616</v>
      </c>
      <c r="E479" s="121">
        <v>45063</v>
      </c>
      <c r="F479" s="8">
        <v>26</v>
      </c>
      <c r="G479" s="8">
        <v>4.7</v>
      </c>
      <c r="H479" s="82">
        <f>IF(MONTH(TABLE_PIVOT[[#This Row],[Date of Call]])&lt;=6,YEAR(TABLE_PIVOT[[#This Row],[Date of Call]]),YEAR(TABLE_PIVOT[[#This Row],[Date of Call]])+1)</f>
        <v>2023</v>
      </c>
      <c r="I479" s="82" t="str">
        <f>TEXT(TABLE_PIVOT[[#This Row],[Date of Call]],"DDDD")</f>
        <v>Wednesday</v>
      </c>
      <c r="J479" s="82" t="str" cm="1">
        <f t="array" ref="J479">_xlfn.IFS(TABLE_PIVOT[[#This Row],[Duration]]&lt;=10,"Under 10 Mins",TABLE_PIVOT[[#This Row],[Duration]]&lt;=30,"10 to 30 Mins",TABLE_PIVOT[[#This Row],[Duration]]&lt;=60,"30 to 60 Mins",TABLE_PIVOT[[#This Row],[Duration]]&lt;=120,"1 to 2 Hours",TRUE,"More Than 2 Hours")</f>
        <v>30 to 60 Mins</v>
      </c>
      <c r="K479" s="82">
        <f>ROUND(TABLE_PIVOT[[#This Row],[Satisfaction Rating]],0)</f>
        <v>5</v>
      </c>
    </row>
    <row r="480" spans="1:11" x14ac:dyDescent="0.3">
      <c r="A480" s="8" t="s">
        <v>2106</v>
      </c>
      <c r="B480" s="8" t="s">
        <v>1615</v>
      </c>
      <c r="C480" s="8">
        <v>88</v>
      </c>
      <c r="D480" s="120" t="s">
        <v>1626</v>
      </c>
      <c r="E480" s="121">
        <v>45063</v>
      </c>
      <c r="F480" s="8">
        <v>78</v>
      </c>
      <c r="G480" s="8">
        <v>4.3</v>
      </c>
      <c r="H480" s="82">
        <f>IF(MONTH(TABLE_PIVOT[[#This Row],[Date of Call]])&lt;=6,YEAR(TABLE_PIVOT[[#This Row],[Date of Call]]),YEAR(TABLE_PIVOT[[#This Row],[Date of Call]])+1)</f>
        <v>2023</v>
      </c>
      <c r="I480" s="82" t="str">
        <f>TEXT(TABLE_PIVOT[[#This Row],[Date of Call]],"DDDD")</f>
        <v>Wednesday</v>
      </c>
      <c r="J480" s="82" t="str" cm="1">
        <f t="array" ref="J480">_xlfn.IFS(TABLE_PIVOT[[#This Row],[Duration]]&lt;=10,"Under 10 Mins",TABLE_PIVOT[[#This Row],[Duration]]&lt;=30,"10 to 30 Mins",TABLE_PIVOT[[#This Row],[Duration]]&lt;=60,"30 to 60 Mins",TABLE_PIVOT[[#This Row],[Duration]]&lt;=120,"1 to 2 Hours",TRUE,"More Than 2 Hours")</f>
        <v>1 to 2 Hours</v>
      </c>
      <c r="K480" s="82">
        <f>ROUND(TABLE_PIVOT[[#This Row],[Satisfaction Rating]],0)</f>
        <v>4</v>
      </c>
    </row>
    <row r="481" spans="1:11" x14ac:dyDescent="0.3">
      <c r="A481" s="8" t="s">
        <v>2107</v>
      </c>
      <c r="B481" s="8" t="s">
        <v>1629</v>
      </c>
      <c r="C481" s="8">
        <v>19</v>
      </c>
      <c r="D481" s="120" t="s">
        <v>1630</v>
      </c>
      <c r="E481" s="121">
        <v>45064</v>
      </c>
      <c r="F481" s="8">
        <v>132</v>
      </c>
      <c r="G481" s="8">
        <v>4.3</v>
      </c>
      <c r="H481" s="82">
        <f>IF(MONTH(TABLE_PIVOT[[#This Row],[Date of Call]])&lt;=6,YEAR(TABLE_PIVOT[[#This Row],[Date of Call]]),YEAR(TABLE_PIVOT[[#This Row],[Date of Call]])+1)</f>
        <v>2023</v>
      </c>
      <c r="I481" s="82" t="str">
        <f>TEXT(TABLE_PIVOT[[#This Row],[Date of Call]],"DDDD")</f>
        <v>Thursday</v>
      </c>
      <c r="J481" s="82" t="str" cm="1">
        <f t="array" ref="J481">_xlfn.IFS(TABLE_PIVOT[[#This Row],[Duration]]&lt;=10,"Under 10 Mins",TABLE_PIVOT[[#This Row],[Duration]]&lt;=30,"10 to 30 Mins",TABLE_PIVOT[[#This Row],[Duration]]&lt;=60,"30 to 60 Mins",TABLE_PIVOT[[#This Row],[Duration]]&lt;=120,"1 to 2 Hours",TRUE,"More Than 2 Hours")</f>
        <v>10 to 30 Mins</v>
      </c>
      <c r="K481" s="82">
        <f>ROUND(TABLE_PIVOT[[#This Row],[Satisfaction Rating]],0)</f>
        <v>4</v>
      </c>
    </row>
    <row r="482" spans="1:11" x14ac:dyDescent="0.3">
      <c r="A482" s="8" t="s">
        <v>2108</v>
      </c>
      <c r="B482" s="8" t="s">
        <v>1641</v>
      </c>
      <c r="C482" s="8">
        <v>104</v>
      </c>
      <c r="D482" s="120" t="s">
        <v>1630</v>
      </c>
      <c r="E482" s="121">
        <v>45065</v>
      </c>
      <c r="F482" s="8">
        <v>68</v>
      </c>
      <c r="G482" s="8">
        <v>3.7</v>
      </c>
      <c r="H482" s="82">
        <f>IF(MONTH(TABLE_PIVOT[[#This Row],[Date of Call]])&lt;=6,YEAR(TABLE_PIVOT[[#This Row],[Date of Call]]),YEAR(TABLE_PIVOT[[#This Row],[Date of Call]])+1)</f>
        <v>2023</v>
      </c>
      <c r="I482" s="82" t="str">
        <f>TEXT(TABLE_PIVOT[[#This Row],[Date of Call]],"DDDD")</f>
        <v>Friday</v>
      </c>
      <c r="J482" s="82" t="str" cm="1">
        <f t="array" ref="J482">_xlfn.IFS(TABLE_PIVOT[[#This Row],[Duration]]&lt;=10,"Under 10 Mins",TABLE_PIVOT[[#This Row],[Duration]]&lt;=30,"10 to 30 Mins",TABLE_PIVOT[[#This Row],[Duration]]&lt;=60,"30 to 60 Mins",TABLE_PIVOT[[#This Row],[Duration]]&lt;=120,"1 to 2 Hours",TRUE,"More Than 2 Hours")</f>
        <v>1 to 2 Hours</v>
      </c>
      <c r="K482" s="82">
        <f>ROUND(TABLE_PIVOT[[#This Row],[Satisfaction Rating]],0)</f>
        <v>4</v>
      </c>
    </row>
    <row r="483" spans="1:11" x14ac:dyDescent="0.3">
      <c r="A483" s="8" t="s">
        <v>2109</v>
      </c>
      <c r="B483" s="8" t="s">
        <v>1613</v>
      </c>
      <c r="C483" s="8">
        <v>67</v>
      </c>
      <c r="D483" s="120" t="s">
        <v>1621</v>
      </c>
      <c r="E483" s="121">
        <v>45067</v>
      </c>
      <c r="F483" s="8">
        <v>129</v>
      </c>
      <c r="G483" s="8">
        <v>4.7</v>
      </c>
      <c r="H483" s="82">
        <f>IF(MONTH(TABLE_PIVOT[[#This Row],[Date of Call]])&lt;=6,YEAR(TABLE_PIVOT[[#This Row],[Date of Call]]),YEAR(TABLE_PIVOT[[#This Row],[Date of Call]])+1)</f>
        <v>2023</v>
      </c>
      <c r="I483" s="82" t="str">
        <f>TEXT(TABLE_PIVOT[[#This Row],[Date of Call]],"DDDD")</f>
        <v>Sunday</v>
      </c>
      <c r="J483" s="82" t="str" cm="1">
        <f t="array" ref="J483">_xlfn.IFS(TABLE_PIVOT[[#This Row],[Duration]]&lt;=10,"Under 10 Mins",TABLE_PIVOT[[#This Row],[Duration]]&lt;=30,"10 to 30 Mins",TABLE_PIVOT[[#This Row],[Duration]]&lt;=60,"30 to 60 Mins",TABLE_PIVOT[[#This Row],[Duration]]&lt;=120,"1 to 2 Hours",TRUE,"More Than 2 Hours")</f>
        <v>1 to 2 Hours</v>
      </c>
      <c r="K483" s="82">
        <f>ROUND(TABLE_PIVOT[[#This Row],[Satisfaction Rating]],0)</f>
        <v>5</v>
      </c>
    </row>
    <row r="484" spans="1:11" x14ac:dyDescent="0.3">
      <c r="A484" s="8" t="s">
        <v>2110</v>
      </c>
      <c r="B484" s="8" t="s">
        <v>1652</v>
      </c>
      <c r="C484" s="8">
        <v>107</v>
      </c>
      <c r="D484" s="120" t="s">
        <v>1630</v>
      </c>
      <c r="E484" s="121">
        <v>45067</v>
      </c>
      <c r="F484" s="8">
        <v>115</v>
      </c>
      <c r="G484" s="8">
        <v>4.9000000000000004</v>
      </c>
      <c r="H484" s="82">
        <f>IF(MONTH(TABLE_PIVOT[[#This Row],[Date of Call]])&lt;=6,YEAR(TABLE_PIVOT[[#This Row],[Date of Call]]),YEAR(TABLE_PIVOT[[#This Row],[Date of Call]])+1)</f>
        <v>2023</v>
      </c>
      <c r="I484" s="82" t="str">
        <f>TEXT(TABLE_PIVOT[[#This Row],[Date of Call]],"DDDD")</f>
        <v>Sunday</v>
      </c>
      <c r="J484" s="82" t="str" cm="1">
        <f t="array" ref="J484">_xlfn.IFS(TABLE_PIVOT[[#This Row],[Duration]]&lt;=10,"Under 10 Mins",TABLE_PIVOT[[#This Row],[Duration]]&lt;=30,"10 to 30 Mins",TABLE_PIVOT[[#This Row],[Duration]]&lt;=60,"30 to 60 Mins",TABLE_PIVOT[[#This Row],[Duration]]&lt;=120,"1 to 2 Hours",TRUE,"More Than 2 Hours")</f>
        <v>1 to 2 Hours</v>
      </c>
      <c r="K484" s="82">
        <f>ROUND(TABLE_PIVOT[[#This Row],[Satisfaction Rating]],0)</f>
        <v>5</v>
      </c>
    </row>
    <row r="485" spans="1:11" x14ac:dyDescent="0.3">
      <c r="A485" s="8" t="s">
        <v>2111</v>
      </c>
      <c r="B485" s="8" t="s">
        <v>1652</v>
      </c>
      <c r="C485" s="8">
        <v>93</v>
      </c>
      <c r="D485" s="120" t="s">
        <v>1630</v>
      </c>
      <c r="E485" s="121">
        <v>45067</v>
      </c>
      <c r="F485" s="8">
        <v>128</v>
      </c>
      <c r="G485" s="8">
        <v>3.9</v>
      </c>
      <c r="H485" s="82">
        <f>IF(MONTH(TABLE_PIVOT[[#This Row],[Date of Call]])&lt;=6,YEAR(TABLE_PIVOT[[#This Row],[Date of Call]]),YEAR(TABLE_PIVOT[[#This Row],[Date of Call]])+1)</f>
        <v>2023</v>
      </c>
      <c r="I485" s="82" t="str">
        <f>TEXT(TABLE_PIVOT[[#This Row],[Date of Call]],"DDDD")</f>
        <v>Sunday</v>
      </c>
      <c r="J485" s="82" t="str" cm="1">
        <f t="array" ref="J485">_xlfn.IFS(TABLE_PIVOT[[#This Row],[Duration]]&lt;=10,"Under 10 Mins",TABLE_PIVOT[[#This Row],[Duration]]&lt;=30,"10 to 30 Mins",TABLE_PIVOT[[#This Row],[Duration]]&lt;=60,"30 to 60 Mins",TABLE_PIVOT[[#This Row],[Duration]]&lt;=120,"1 to 2 Hours",TRUE,"More Than 2 Hours")</f>
        <v>1 to 2 Hours</v>
      </c>
      <c r="K485" s="82">
        <f>ROUND(TABLE_PIVOT[[#This Row],[Satisfaction Rating]],0)</f>
        <v>4</v>
      </c>
    </row>
    <row r="486" spans="1:11" x14ac:dyDescent="0.3">
      <c r="A486" s="8" t="s">
        <v>2112</v>
      </c>
      <c r="B486" s="8" t="s">
        <v>1652</v>
      </c>
      <c r="C486" s="8">
        <v>117</v>
      </c>
      <c r="D486" s="120" t="s">
        <v>1621</v>
      </c>
      <c r="E486" s="121">
        <v>45067</v>
      </c>
      <c r="F486" s="8">
        <v>90</v>
      </c>
      <c r="G486" s="8">
        <v>4.5</v>
      </c>
      <c r="H486" s="82">
        <f>IF(MONTH(TABLE_PIVOT[[#This Row],[Date of Call]])&lt;=6,YEAR(TABLE_PIVOT[[#This Row],[Date of Call]]),YEAR(TABLE_PIVOT[[#This Row],[Date of Call]])+1)</f>
        <v>2023</v>
      </c>
      <c r="I486" s="82" t="str">
        <f>TEXT(TABLE_PIVOT[[#This Row],[Date of Call]],"DDDD")</f>
        <v>Sunday</v>
      </c>
      <c r="J486" s="82" t="str" cm="1">
        <f t="array" ref="J486">_xlfn.IFS(TABLE_PIVOT[[#This Row],[Duration]]&lt;=10,"Under 10 Mins",TABLE_PIVOT[[#This Row],[Duration]]&lt;=30,"10 to 30 Mins",TABLE_PIVOT[[#This Row],[Duration]]&lt;=60,"30 to 60 Mins",TABLE_PIVOT[[#This Row],[Duration]]&lt;=120,"1 to 2 Hours",TRUE,"More Than 2 Hours")</f>
        <v>1 to 2 Hours</v>
      </c>
      <c r="K486" s="82">
        <f>ROUND(TABLE_PIVOT[[#This Row],[Satisfaction Rating]],0)</f>
        <v>5</v>
      </c>
    </row>
    <row r="487" spans="1:11" x14ac:dyDescent="0.3">
      <c r="A487" s="8" t="s">
        <v>2113</v>
      </c>
      <c r="B487" s="8" t="s">
        <v>1635</v>
      </c>
      <c r="C487" s="8">
        <v>76</v>
      </c>
      <c r="D487" s="120" t="s">
        <v>1626</v>
      </c>
      <c r="E487" s="121">
        <v>45068</v>
      </c>
      <c r="F487" s="8">
        <v>39</v>
      </c>
      <c r="G487" s="8">
        <v>4.5999999999999996</v>
      </c>
      <c r="H487" s="82">
        <f>IF(MONTH(TABLE_PIVOT[[#This Row],[Date of Call]])&lt;=6,YEAR(TABLE_PIVOT[[#This Row],[Date of Call]]),YEAR(TABLE_PIVOT[[#This Row],[Date of Call]])+1)</f>
        <v>2023</v>
      </c>
      <c r="I487" s="82" t="str">
        <f>TEXT(TABLE_PIVOT[[#This Row],[Date of Call]],"DDDD")</f>
        <v>Monday</v>
      </c>
      <c r="J487" s="82" t="str" cm="1">
        <f t="array" ref="J487">_xlfn.IFS(TABLE_PIVOT[[#This Row],[Duration]]&lt;=10,"Under 10 Mins",TABLE_PIVOT[[#This Row],[Duration]]&lt;=30,"10 to 30 Mins",TABLE_PIVOT[[#This Row],[Duration]]&lt;=60,"30 to 60 Mins",TABLE_PIVOT[[#This Row],[Duration]]&lt;=120,"1 to 2 Hours",TRUE,"More Than 2 Hours")</f>
        <v>1 to 2 Hours</v>
      </c>
      <c r="K487" s="82">
        <f>ROUND(TABLE_PIVOT[[#This Row],[Satisfaction Rating]],0)</f>
        <v>5</v>
      </c>
    </row>
    <row r="488" spans="1:11" x14ac:dyDescent="0.3">
      <c r="A488" s="8" t="s">
        <v>2114</v>
      </c>
      <c r="B488" s="8" t="s">
        <v>1629</v>
      </c>
      <c r="C488" s="8">
        <v>64</v>
      </c>
      <c r="D488" s="120" t="s">
        <v>1630</v>
      </c>
      <c r="E488" s="121">
        <v>45068</v>
      </c>
      <c r="F488" s="8">
        <v>132</v>
      </c>
      <c r="G488" s="8">
        <v>3.3</v>
      </c>
      <c r="H488" s="82">
        <f>IF(MONTH(TABLE_PIVOT[[#This Row],[Date of Call]])&lt;=6,YEAR(TABLE_PIVOT[[#This Row],[Date of Call]]),YEAR(TABLE_PIVOT[[#This Row],[Date of Call]])+1)</f>
        <v>2023</v>
      </c>
      <c r="I488" s="82" t="str">
        <f>TEXT(TABLE_PIVOT[[#This Row],[Date of Call]],"DDDD")</f>
        <v>Monday</v>
      </c>
      <c r="J488" s="82" t="str" cm="1">
        <f t="array" ref="J488">_xlfn.IFS(TABLE_PIVOT[[#This Row],[Duration]]&lt;=10,"Under 10 Mins",TABLE_PIVOT[[#This Row],[Duration]]&lt;=30,"10 to 30 Mins",TABLE_PIVOT[[#This Row],[Duration]]&lt;=60,"30 to 60 Mins",TABLE_PIVOT[[#This Row],[Duration]]&lt;=120,"1 to 2 Hours",TRUE,"More Than 2 Hours")</f>
        <v>1 to 2 Hours</v>
      </c>
      <c r="K488" s="82">
        <f>ROUND(TABLE_PIVOT[[#This Row],[Satisfaction Rating]],0)</f>
        <v>3</v>
      </c>
    </row>
    <row r="489" spans="1:11" x14ac:dyDescent="0.3">
      <c r="A489" s="8" t="s">
        <v>2115</v>
      </c>
      <c r="B489" s="8" t="s">
        <v>1620</v>
      </c>
      <c r="C489" s="8">
        <v>33</v>
      </c>
      <c r="D489" s="120" t="s">
        <v>1630</v>
      </c>
      <c r="E489" s="121">
        <v>45068</v>
      </c>
      <c r="F489" s="8">
        <v>170</v>
      </c>
      <c r="G489" s="8">
        <v>3.8</v>
      </c>
      <c r="H489" s="82">
        <f>IF(MONTH(TABLE_PIVOT[[#This Row],[Date of Call]])&lt;=6,YEAR(TABLE_PIVOT[[#This Row],[Date of Call]]),YEAR(TABLE_PIVOT[[#This Row],[Date of Call]])+1)</f>
        <v>2023</v>
      </c>
      <c r="I489" s="82" t="str">
        <f>TEXT(TABLE_PIVOT[[#This Row],[Date of Call]],"DDDD")</f>
        <v>Monday</v>
      </c>
      <c r="J489" s="82" t="str" cm="1">
        <f t="array" ref="J489">_xlfn.IFS(TABLE_PIVOT[[#This Row],[Duration]]&lt;=10,"Under 10 Mins",TABLE_PIVOT[[#This Row],[Duration]]&lt;=30,"10 to 30 Mins",TABLE_PIVOT[[#This Row],[Duration]]&lt;=60,"30 to 60 Mins",TABLE_PIVOT[[#This Row],[Duration]]&lt;=120,"1 to 2 Hours",TRUE,"More Than 2 Hours")</f>
        <v>30 to 60 Mins</v>
      </c>
      <c r="K489" s="82">
        <f>ROUND(TABLE_PIVOT[[#This Row],[Satisfaction Rating]],0)</f>
        <v>4</v>
      </c>
    </row>
    <row r="490" spans="1:11" x14ac:dyDescent="0.3">
      <c r="A490" s="8" t="s">
        <v>2116</v>
      </c>
      <c r="B490" s="8" t="s">
        <v>1652</v>
      </c>
      <c r="C490" s="8">
        <v>115</v>
      </c>
      <c r="D490" s="120" t="s">
        <v>1621</v>
      </c>
      <c r="E490" s="121">
        <v>45068</v>
      </c>
      <c r="F490" s="8">
        <v>42</v>
      </c>
      <c r="G490" s="8">
        <v>4.7</v>
      </c>
      <c r="H490" s="82">
        <f>IF(MONTH(TABLE_PIVOT[[#This Row],[Date of Call]])&lt;=6,YEAR(TABLE_PIVOT[[#This Row],[Date of Call]]),YEAR(TABLE_PIVOT[[#This Row],[Date of Call]])+1)</f>
        <v>2023</v>
      </c>
      <c r="I490" s="82" t="str">
        <f>TEXT(TABLE_PIVOT[[#This Row],[Date of Call]],"DDDD")</f>
        <v>Monday</v>
      </c>
      <c r="J490" s="82" t="str" cm="1">
        <f t="array" ref="J490">_xlfn.IFS(TABLE_PIVOT[[#This Row],[Duration]]&lt;=10,"Under 10 Mins",TABLE_PIVOT[[#This Row],[Duration]]&lt;=30,"10 to 30 Mins",TABLE_PIVOT[[#This Row],[Duration]]&lt;=60,"30 to 60 Mins",TABLE_PIVOT[[#This Row],[Duration]]&lt;=120,"1 to 2 Hours",TRUE,"More Than 2 Hours")</f>
        <v>1 to 2 Hours</v>
      </c>
      <c r="K490" s="82">
        <f>ROUND(TABLE_PIVOT[[#This Row],[Satisfaction Rating]],0)</f>
        <v>5</v>
      </c>
    </row>
    <row r="491" spans="1:11" x14ac:dyDescent="0.3">
      <c r="A491" s="8" t="s">
        <v>2117</v>
      </c>
      <c r="B491" s="8" t="s">
        <v>1618</v>
      </c>
      <c r="C491" s="8">
        <v>155</v>
      </c>
      <c r="D491" s="120" t="s">
        <v>1626</v>
      </c>
      <c r="E491" s="121">
        <v>45069</v>
      </c>
      <c r="F491" s="8">
        <v>37</v>
      </c>
      <c r="G491" s="8">
        <v>4</v>
      </c>
      <c r="H491" s="82">
        <f>IF(MONTH(TABLE_PIVOT[[#This Row],[Date of Call]])&lt;=6,YEAR(TABLE_PIVOT[[#This Row],[Date of Call]]),YEAR(TABLE_PIVOT[[#This Row],[Date of Call]])+1)</f>
        <v>2023</v>
      </c>
      <c r="I491" s="82" t="str">
        <f>TEXT(TABLE_PIVOT[[#This Row],[Date of Call]],"DDDD")</f>
        <v>Tuesday</v>
      </c>
      <c r="J491" s="82" t="str" cm="1">
        <f t="array" ref="J491">_xlfn.IFS(TABLE_PIVOT[[#This Row],[Duration]]&lt;=10,"Under 10 Mins",TABLE_PIVOT[[#This Row],[Duration]]&lt;=30,"10 to 30 Mins",TABLE_PIVOT[[#This Row],[Duration]]&lt;=60,"30 to 60 Mins",TABLE_PIVOT[[#This Row],[Duration]]&lt;=120,"1 to 2 Hours",TRUE,"More Than 2 Hours")</f>
        <v>More Than 2 Hours</v>
      </c>
      <c r="K491" s="82">
        <f>ROUND(TABLE_PIVOT[[#This Row],[Satisfaction Rating]],0)</f>
        <v>4</v>
      </c>
    </row>
    <row r="492" spans="1:11" x14ac:dyDescent="0.3">
      <c r="A492" s="8" t="s">
        <v>2118</v>
      </c>
      <c r="B492" s="8" t="s">
        <v>1613</v>
      </c>
      <c r="C492" s="8">
        <v>117</v>
      </c>
      <c r="D492" s="120" t="s">
        <v>1626</v>
      </c>
      <c r="E492" s="121">
        <v>45069</v>
      </c>
      <c r="F492" s="8">
        <v>88</v>
      </c>
      <c r="G492" s="8">
        <v>4.7</v>
      </c>
      <c r="H492" s="82">
        <f>IF(MONTH(TABLE_PIVOT[[#This Row],[Date of Call]])&lt;=6,YEAR(TABLE_PIVOT[[#This Row],[Date of Call]]),YEAR(TABLE_PIVOT[[#This Row],[Date of Call]])+1)</f>
        <v>2023</v>
      </c>
      <c r="I492" s="82" t="str">
        <f>TEXT(TABLE_PIVOT[[#This Row],[Date of Call]],"DDDD")</f>
        <v>Tuesday</v>
      </c>
      <c r="J492" s="82" t="str" cm="1">
        <f t="array" ref="J492">_xlfn.IFS(TABLE_PIVOT[[#This Row],[Duration]]&lt;=10,"Under 10 Mins",TABLE_PIVOT[[#This Row],[Duration]]&lt;=30,"10 to 30 Mins",TABLE_PIVOT[[#This Row],[Duration]]&lt;=60,"30 to 60 Mins",TABLE_PIVOT[[#This Row],[Duration]]&lt;=120,"1 to 2 Hours",TRUE,"More Than 2 Hours")</f>
        <v>1 to 2 Hours</v>
      </c>
      <c r="K492" s="82">
        <f>ROUND(TABLE_PIVOT[[#This Row],[Satisfaction Rating]],0)</f>
        <v>5</v>
      </c>
    </row>
    <row r="493" spans="1:11" x14ac:dyDescent="0.3">
      <c r="A493" s="8" t="s">
        <v>2119</v>
      </c>
      <c r="B493" s="8" t="s">
        <v>1682</v>
      </c>
      <c r="C493" s="8">
        <v>63</v>
      </c>
      <c r="D493" s="120" t="s">
        <v>1626</v>
      </c>
      <c r="E493" s="121">
        <v>45069</v>
      </c>
      <c r="F493" s="8">
        <v>80</v>
      </c>
      <c r="G493" s="8">
        <v>2.5</v>
      </c>
      <c r="H493" s="82">
        <f>IF(MONTH(TABLE_PIVOT[[#This Row],[Date of Call]])&lt;=6,YEAR(TABLE_PIVOT[[#This Row],[Date of Call]]),YEAR(TABLE_PIVOT[[#This Row],[Date of Call]])+1)</f>
        <v>2023</v>
      </c>
      <c r="I493" s="82" t="str">
        <f>TEXT(TABLE_PIVOT[[#This Row],[Date of Call]],"DDDD")</f>
        <v>Tuesday</v>
      </c>
      <c r="J493" s="82" t="str" cm="1">
        <f t="array" ref="J493">_xlfn.IFS(TABLE_PIVOT[[#This Row],[Duration]]&lt;=10,"Under 10 Mins",TABLE_PIVOT[[#This Row],[Duration]]&lt;=30,"10 to 30 Mins",TABLE_PIVOT[[#This Row],[Duration]]&lt;=60,"30 to 60 Mins",TABLE_PIVOT[[#This Row],[Duration]]&lt;=120,"1 to 2 Hours",TRUE,"More Than 2 Hours")</f>
        <v>1 to 2 Hours</v>
      </c>
      <c r="K493" s="82">
        <f>ROUND(TABLE_PIVOT[[#This Row],[Satisfaction Rating]],0)</f>
        <v>3</v>
      </c>
    </row>
    <row r="494" spans="1:11" x14ac:dyDescent="0.3">
      <c r="A494" s="8" t="s">
        <v>2120</v>
      </c>
      <c r="B494" s="8" t="s">
        <v>1629</v>
      </c>
      <c r="C494" s="8">
        <v>59</v>
      </c>
      <c r="D494" s="120" t="s">
        <v>1611</v>
      </c>
      <c r="E494" s="121">
        <v>45070</v>
      </c>
      <c r="F494" s="8">
        <v>123</v>
      </c>
      <c r="G494" s="8">
        <v>3.6</v>
      </c>
      <c r="H494" s="82">
        <f>IF(MONTH(TABLE_PIVOT[[#This Row],[Date of Call]])&lt;=6,YEAR(TABLE_PIVOT[[#This Row],[Date of Call]]),YEAR(TABLE_PIVOT[[#This Row],[Date of Call]])+1)</f>
        <v>2023</v>
      </c>
      <c r="I494" s="82" t="str">
        <f>TEXT(TABLE_PIVOT[[#This Row],[Date of Call]],"DDDD")</f>
        <v>Wednesday</v>
      </c>
      <c r="J494" s="82" t="str" cm="1">
        <f t="array" ref="J494">_xlfn.IFS(TABLE_PIVOT[[#This Row],[Duration]]&lt;=10,"Under 10 Mins",TABLE_PIVOT[[#This Row],[Duration]]&lt;=30,"10 to 30 Mins",TABLE_PIVOT[[#This Row],[Duration]]&lt;=60,"30 to 60 Mins",TABLE_PIVOT[[#This Row],[Duration]]&lt;=120,"1 to 2 Hours",TRUE,"More Than 2 Hours")</f>
        <v>30 to 60 Mins</v>
      </c>
      <c r="K494" s="82">
        <f>ROUND(TABLE_PIVOT[[#This Row],[Satisfaction Rating]],0)</f>
        <v>4</v>
      </c>
    </row>
    <row r="495" spans="1:11" x14ac:dyDescent="0.3">
      <c r="A495" s="8" t="s">
        <v>2121</v>
      </c>
      <c r="B495" s="8" t="s">
        <v>1644</v>
      </c>
      <c r="C495" s="8">
        <v>133</v>
      </c>
      <c r="D495" s="120" t="s">
        <v>1630</v>
      </c>
      <c r="E495" s="121">
        <v>45070</v>
      </c>
      <c r="F495" s="8">
        <v>31</v>
      </c>
      <c r="G495" s="8">
        <v>3.7</v>
      </c>
      <c r="H495" s="82">
        <f>IF(MONTH(TABLE_PIVOT[[#This Row],[Date of Call]])&lt;=6,YEAR(TABLE_PIVOT[[#This Row],[Date of Call]]),YEAR(TABLE_PIVOT[[#This Row],[Date of Call]])+1)</f>
        <v>2023</v>
      </c>
      <c r="I495" s="82" t="str">
        <f>TEXT(TABLE_PIVOT[[#This Row],[Date of Call]],"DDDD")</f>
        <v>Wednesday</v>
      </c>
      <c r="J495" s="82" t="str" cm="1">
        <f t="array" ref="J495">_xlfn.IFS(TABLE_PIVOT[[#This Row],[Duration]]&lt;=10,"Under 10 Mins",TABLE_PIVOT[[#This Row],[Duration]]&lt;=30,"10 to 30 Mins",TABLE_PIVOT[[#This Row],[Duration]]&lt;=60,"30 to 60 Mins",TABLE_PIVOT[[#This Row],[Duration]]&lt;=120,"1 to 2 Hours",TRUE,"More Than 2 Hours")</f>
        <v>More Than 2 Hours</v>
      </c>
      <c r="K495" s="82">
        <f>ROUND(TABLE_PIVOT[[#This Row],[Satisfaction Rating]],0)</f>
        <v>4</v>
      </c>
    </row>
    <row r="496" spans="1:11" x14ac:dyDescent="0.3">
      <c r="A496" s="8" t="s">
        <v>2122</v>
      </c>
      <c r="B496" s="8" t="s">
        <v>1662</v>
      </c>
      <c r="C496" s="8">
        <v>101</v>
      </c>
      <c r="D496" s="120" t="s">
        <v>1616</v>
      </c>
      <c r="E496" s="121">
        <v>45070</v>
      </c>
      <c r="F496" s="8">
        <v>205</v>
      </c>
      <c r="G496" s="8">
        <v>3.9</v>
      </c>
      <c r="H496" s="82">
        <f>IF(MONTH(TABLE_PIVOT[[#This Row],[Date of Call]])&lt;=6,YEAR(TABLE_PIVOT[[#This Row],[Date of Call]]),YEAR(TABLE_PIVOT[[#This Row],[Date of Call]])+1)</f>
        <v>2023</v>
      </c>
      <c r="I496" s="82" t="str">
        <f>TEXT(TABLE_PIVOT[[#This Row],[Date of Call]],"DDDD")</f>
        <v>Wednesday</v>
      </c>
      <c r="J496" s="82" t="str" cm="1">
        <f t="array" ref="J496">_xlfn.IFS(TABLE_PIVOT[[#This Row],[Duration]]&lt;=10,"Under 10 Mins",TABLE_PIVOT[[#This Row],[Duration]]&lt;=30,"10 to 30 Mins",TABLE_PIVOT[[#This Row],[Duration]]&lt;=60,"30 to 60 Mins",TABLE_PIVOT[[#This Row],[Duration]]&lt;=120,"1 to 2 Hours",TRUE,"More Than 2 Hours")</f>
        <v>1 to 2 Hours</v>
      </c>
      <c r="K496" s="82">
        <f>ROUND(TABLE_PIVOT[[#This Row],[Satisfaction Rating]],0)</f>
        <v>4</v>
      </c>
    </row>
    <row r="497" spans="1:11" x14ac:dyDescent="0.3">
      <c r="A497" s="8" t="s">
        <v>2123</v>
      </c>
      <c r="B497" s="8" t="s">
        <v>1633</v>
      </c>
      <c r="C497" s="8">
        <v>151</v>
      </c>
      <c r="D497" s="120" t="s">
        <v>1626</v>
      </c>
      <c r="E497" s="121">
        <v>45071</v>
      </c>
      <c r="F497" s="8">
        <v>123</v>
      </c>
      <c r="G497" s="8">
        <v>3.7</v>
      </c>
      <c r="H497" s="82">
        <f>IF(MONTH(TABLE_PIVOT[[#This Row],[Date of Call]])&lt;=6,YEAR(TABLE_PIVOT[[#This Row],[Date of Call]]),YEAR(TABLE_PIVOT[[#This Row],[Date of Call]])+1)</f>
        <v>2023</v>
      </c>
      <c r="I497" s="82" t="str">
        <f>TEXT(TABLE_PIVOT[[#This Row],[Date of Call]],"DDDD")</f>
        <v>Thursday</v>
      </c>
      <c r="J497" s="82" t="str" cm="1">
        <f t="array" ref="J497">_xlfn.IFS(TABLE_PIVOT[[#This Row],[Duration]]&lt;=10,"Under 10 Mins",TABLE_PIVOT[[#This Row],[Duration]]&lt;=30,"10 to 30 Mins",TABLE_PIVOT[[#This Row],[Duration]]&lt;=60,"30 to 60 Mins",TABLE_PIVOT[[#This Row],[Duration]]&lt;=120,"1 to 2 Hours",TRUE,"More Than 2 Hours")</f>
        <v>More Than 2 Hours</v>
      </c>
      <c r="K497" s="82">
        <f>ROUND(TABLE_PIVOT[[#This Row],[Satisfaction Rating]],0)</f>
        <v>4</v>
      </c>
    </row>
    <row r="498" spans="1:11" x14ac:dyDescent="0.3">
      <c r="A498" s="8" t="s">
        <v>2124</v>
      </c>
      <c r="B498" s="8" t="s">
        <v>1620</v>
      </c>
      <c r="C498" s="8">
        <v>146</v>
      </c>
      <c r="D498" s="120" t="s">
        <v>1630</v>
      </c>
      <c r="E498" s="121">
        <v>45071</v>
      </c>
      <c r="F498" s="8">
        <v>123</v>
      </c>
      <c r="G498" s="8">
        <v>4.3</v>
      </c>
      <c r="H498" s="82">
        <f>IF(MONTH(TABLE_PIVOT[[#This Row],[Date of Call]])&lt;=6,YEAR(TABLE_PIVOT[[#This Row],[Date of Call]]),YEAR(TABLE_PIVOT[[#This Row],[Date of Call]])+1)</f>
        <v>2023</v>
      </c>
      <c r="I498" s="82" t="str">
        <f>TEXT(TABLE_PIVOT[[#This Row],[Date of Call]],"DDDD")</f>
        <v>Thursday</v>
      </c>
      <c r="J498" s="82" t="str" cm="1">
        <f t="array" ref="J498">_xlfn.IFS(TABLE_PIVOT[[#This Row],[Duration]]&lt;=10,"Under 10 Mins",TABLE_PIVOT[[#This Row],[Duration]]&lt;=30,"10 to 30 Mins",TABLE_PIVOT[[#This Row],[Duration]]&lt;=60,"30 to 60 Mins",TABLE_PIVOT[[#This Row],[Duration]]&lt;=120,"1 to 2 Hours",TRUE,"More Than 2 Hours")</f>
        <v>More Than 2 Hours</v>
      </c>
      <c r="K498" s="82">
        <f>ROUND(TABLE_PIVOT[[#This Row],[Satisfaction Rating]],0)</f>
        <v>4</v>
      </c>
    </row>
    <row r="499" spans="1:11" x14ac:dyDescent="0.3">
      <c r="A499" s="8" t="s">
        <v>2125</v>
      </c>
      <c r="B499" s="8" t="s">
        <v>1682</v>
      </c>
      <c r="C499" s="8">
        <v>148</v>
      </c>
      <c r="D499" s="120" t="s">
        <v>1630</v>
      </c>
      <c r="E499" s="121">
        <v>45071</v>
      </c>
      <c r="F499" s="8">
        <v>36</v>
      </c>
      <c r="G499" s="8">
        <v>2.9</v>
      </c>
      <c r="H499" s="82">
        <f>IF(MONTH(TABLE_PIVOT[[#This Row],[Date of Call]])&lt;=6,YEAR(TABLE_PIVOT[[#This Row],[Date of Call]]),YEAR(TABLE_PIVOT[[#This Row],[Date of Call]])+1)</f>
        <v>2023</v>
      </c>
      <c r="I499" s="82" t="str">
        <f>TEXT(TABLE_PIVOT[[#This Row],[Date of Call]],"DDDD")</f>
        <v>Thursday</v>
      </c>
      <c r="J499" s="82" t="str" cm="1">
        <f t="array" ref="J499">_xlfn.IFS(TABLE_PIVOT[[#This Row],[Duration]]&lt;=10,"Under 10 Mins",TABLE_PIVOT[[#This Row],[Duration]]&lt;=30,"10 to 30 Mins",TABLE_PIVOT[[#This Row],[Duration]]&lt;=60,"30 to 60 Mins",TABLE_PIVOT[[#This Row],[Duration]]&lt;=120,"1 to 2 Hours",TRUE,"More Than 2 Hours")</f>
        <v>More Than 2 Hours</v>
      </c>
      <c r="K499" s="82">
        <f>ROUND(TABLE_PIVOT[[#This Row],[Satisfaction Rating]],0)</f>
        <v>3</v>
      </c>
    </row>
    <row r="500" spans="1:11" x14ac:dyDescent="0.3">
      <c r="A500" s="8" t="s">
        <v>2126</v>
      </c>
      <c r="B500" s="8" t="s">
        <v>1633</v>
      </c>
      <c r="C500" s="8">
        <v>81</v>
      </c>
      <c r="D500" s="120" t="s">
        <v>1630</v>
      </c>
      <c r="E500" s="121">
        <v>45071</v>
      </c>
      <c r="F500" s="8">
        <v>116</v>
      </c>
      <c r="G500" s="8">
        <v>4.3</v>
      </c>
      <c r="H500" s="82">
        <f>IF(MONTH(TABLE_PIVOT[[#This Row],[Date of Call]])&lt;=6,YEAR(TABLE_PIVOT[[#This Row],[Date of Call]]),YEAR(TABLE_PIVOT[[#This Row],[Date of Call]])+1)</f>
        <v>2023</v>
      </c>
      <c r="I500" s="82" t="str">
        <f>TEXT(TABLE_PIVOT[[#This Row],[Date of Call]],"DDDD")</f>
        <v>Thursday</v>
      </c>
      <c r="J500" s="82" t="str" cm="1">
        <f t="array" ref="J500">_xlfn.IFS(TABLE_PIVOT[[#This Row],[Duration]]&lt;=10,"Under 10 Mins",TABLE_PIVOT[[#This Row],[Duration]]&lt;=30,"10 to 30 Mins",TABLE_PIVOT[[#This Row],[Duration]]&lt;=60,"30 to 60 Mins",TABLE_PIVOT[[#This Row],[Duration]]&lt;=120,"1 to 2 Hours",TRUE,"More Than 2 Hours")</f>
        <v>1 to 2 Hours</v>
      </c>
      <c r="K500" s="82">
        <f>ROUND(TABLE_PIVOT[[#This Row],[Satisfaction Rating]],0)</f>
        <v>4</v>
      </c>
    </row>
    <row r="501" spans="1:11" x14ac:dyDescent="0.3">
      <c r="A501" s="8" t="s">
        <v>2127</v>
      </c>
      <c r="B501" s="8" t="s">
        <v>1641</v>
      </c>
      <c r="C501" s="8">
        <v>115</v>
      </c>
      <c r="D501" s="120" t="s">
        <v>1630</v>
      </c>
      <c r="E501" s="121">
        <v>45071</v>
      </c>
      <c r="F501" s="8">
        <v>40</v>
      </c>
      <c r="G501" s="8">
        <v>4.9000000000000004</v>
      </c>
      <c r="H501" s="82">
        <f>IF(MONTH(TABLE_PIVOT[[#This Row],[Date of Call]])&lt;=6,YEAR(TABLE_PIVOT[[#This Row],[Date of Call]]),YEAR(TABLE_PIVOT[[#This Row],[Date of Call]])+1)</f>
        <v>2023</v>
      </c>
      <c r="I501" s="82" t="str">
        <f>TEXT(TABLE_PIVOT[[#This Row],[Date of Call]],"DDDD")</f>
        <v>Thursday</v>
      </c>
      <c r="J501" s="82" t="str" cm="1">
        <f t="array" ref="J501">_xlfn.IFS(TABLE_PIVOT[[#This Row],[Duration]]&lt;=10,"Under 10 Mins",TABLE_PIVOT[[#This Row],[Duration]]&lt;=30,"10 to 30 Mins",TABLE_PIVOT[[#This Row],[Duration]]&lt;=60,"30 to 60 Mins",TABLE_PIVOT[[#This Row],[Duration]]&lt;=120,"1 to 2 Hours",TRUE,"More Than 2 Hours")</f>
        <v>1 to 2 Hours</v>
      </c>
      <c r="K501" s="82">
        <f>ROUND(TABLE_PIVOT[[#This Row],[Satisfaction Rating]],0)</f>
        <v>5</v>
      </c>
    </row>
    <row r="502" spans="1:11" x14ac:dyDescent="0.3">
      <c r="A502" s="8" t="s">
        <v>2128</v>
      </c>
      <c r="B502" s="8" t="s">
        <v>1641</v>
      </c>
      <c r="C502" s="8">
        <v>117</v>
      </c>
      <c r="D502" s="120" t="s">
        <v>1626</v>
      </c>
      <c r="E502" s="121">
        <v>45071</v>
      </c>
      <c r="F502" s="8">
        <v>40</v>
      </c>
      <c r="G502" s="8">
        <v>4</v>
      </c>
      <c r="H502" s="82">
        <f>IF(MONTH(TABLE_PIVOT[[#This Row],[Date of Call]])&lt;=6,YEAR(TABLE_PIVOT[[#This Row],[Date of Call]]),YEAR(TABLE_PIVOT[[#This Row],[Date of Call]])+1)</f>
        <v>2023</v>
      </c>
      <c r="I502" s="82" t="str">
        <f>TEXT(TABLE_PIVOT[[#This Row],[Date of Call]],"DDDD")</f>
        <v>Thursday</v>
      </c>
      <c r="J502" s="82" t="str" cm="1">
        <f t="array" ref="J502">_xlfn.IFS(TABLE_PIVOT[[#This Row],[Duration]]&lt;=10,"Under 10 Mins",TABLE_PIVOT[[#This Row],[Duration]]&lt;=30,"10 to 30 Mins",TABLE_PIVOT[[#This Row],[Duration]]&lt;=60,"30 to 60 Mins",TABLE_PIVOT[[#This Row],[Duration]]&lt;=120,"1 to 2 Hours",TRUE,"More Than 2 Hours")</f>
        <v>1 to 2 Hours</v>
      </c>
      <c r="K502" s="82">
        <f>ROUND(TABLE_PIVOT[[#This Row],[Satisfaction Rating]],0)</f>
        <v>4</v>
      </c>
    </row>
    <row r="503" spans="1:11" x14ac:dyDescent="0.3">
      <c r="A503" s="8" t="s">
        <v>2129</v>
      </c>
      <c r="B503" s="8" t="s">
        <v>1662</v>
      </c>
      <c r="C503" s="8">
        <v>110</v>
      </c>
      <c r="D503" s="120" t="s">
        <v>1621</v>
      </c>
      <c r="E503" s="121">
        <v>45072</v>
      </c>
      <c r="F503" s="8">
        <v>82</v>
      </c>
      <c r="G503" s="8">
        <v>4</v>
      </c>
      <c r="H503" s="82">
        <f>IF(MONTH(TABLE_PIVOT[[#This Row],[Date of Call]])&lt;=6,YEAR(TABLE_PIVOT[[#This Row],[Date of Call]]),YEAR(TABLE_PIVOT[[#This Row],[Date of Call]])+1)</f>
        <v>2023</v>
      </c>
      <c r="I503" s="82" t="str">
        <f>TEXT(TABLE_PIVOT[[#This Row],[Date of Call]],"DDDD")</f>
        <v>Friday</v>
      </c>
      <c r="J503" s="82" t="str" cm="1">
        <f t="array" ref="J503">_xlfn.IFS(TABLE_PIVOT[[#This Row],[Duration]]&lt;=10,"Under 10 Mins",TABLE_PIVOT[[#This Row],[Duration]]&lt;=30,"10 to 30 Mins",TABLE_PIVOT[[#This Row],[Duration]]&lt;=60,"30 to 60 Mins",TABLE_PIVOT[[#This Row],[Duration]]&lt;=120,"1 to 2 Hours",TRUE,"More Than 2 Hours")</f>
        <v>1 to 2 Hours</v>
      </c>
      <c r="K503" s="82">
        <f>ROUND(TABLE_PIVOT[[#This Row],[Satisfaction Rating]],0)</f>
        <v>4</v>
      </c>
    </row>
    <row r="504" spans="1:11" x14ac:dyDescent="0.3">
      <c r="A504" s="8" t="s">
        <v>2130</v>
      </c>
      <c r="B504" s="8" t="s">
        <v>1635</v>
      </c>
      <c r="C504" s="8">
        <v>103</v>
      </c>
      <c r="D504" s="120" t="s">
        <v>1611</v>
      </c>
      <c r="E504" s="121">
        <v>45072</v>
      </c>
      <c r="F504" s="8">
        <v>62</v>
      </c>
      <c r="G504" s="8">
        <v>3.4</v>
      </c>
      <c r="H504" s="82">
        <f>IF(MONTH(TABLE_PIVOT[[#This Row],[Date of Call]])&lt;=6,YEAR(TABLE_PIVOT[[#This Row],[Date of Call]]),YEAR(TABLE_PIVOT[[#This Row],[Date of Call]])+1)</f>
        <v>2023</v>
      </c>
      <c r="I504" s="82" t="str">
        <f>TEXT(TABLE_PIVOT[[#This Row],[Date of Call]],"DDDD")</f>
        <v>Friday</v>
      </c>
      <c r="J504" s="82" t="str" cm="1">
        <f t="array" ref="J504">_xlfn.IFS(TABLE_PIVOT[[#This Row],[Duration]]&lt;=10,"Under 10 Mins",TABLE_PIVOT[[#This Row],[Duration]]&lt;=30,"10 to 30 Mins",TABLE_PIVOT[[#This Row],[Duration]]&lt;=60,"30 to 60 Mins",TABLE_PIVOT[[#This Row],[Duration]]&lt;=120,"1 to 2 Hours",TRUE,"More Than 2 Hours")</f>
        <v>1 to 2 Hours</v>
      </c>
      <c r="K504" s="82">
        <f>ROUND(TABLE_PIVOT[[#This Row],[Satisfaction Rating]],0)</f>
        <v>3</v>
      </c>
    </row>
    <row r="505" spans="1:11" x14ac:dyDescent="0.3">
      <c r="A505" s="8" t="s">
        <v>2131</v>
      </c>
      <c r="B505" s="8" t="s">
        <v>1618</v>
      </c>
      <c r="C505" s="8">
        <v>45</v>
      </c>
      <c r="D505" s="120" t="s">
        <v>1611</v>
      </c>
      <c r="E505" s="121">
        <v>45072</v>
      </c>
      <c r="F505" s="8">
        <v>135</v>
      </c>
      <c r="G505" s="8">
        <v>3.9</v>
      </c>
      <c r="H505" s="82">
        <f>IF(MONTH(TABLE_PIVOT[[#This Row],[Date of Call]])&lt;=6,YEAR(TABLE_PIVOT[[#This Row],[Date of Call]]),YEAR(TABLE_PIVOT[[#This Row],[Date of Call]])+1)</f>
        <v>2023</v>
      </c>
      <c r="I505" s="82" t="str">
        <f>TEXT(TABLE_PIVOT[[#This Row],[Date of Call]],"DDDD")</f>
        <v>Friday</v>
      </c>
      <c r="J505" s="82" t="str" cm="1">
        <f t="array" ref="J505">_xlfn.IFS(TABLE_PIVOT[[#This Row],[Duration]]&lt;=10,"Under 10 Mins",TABLE_PIVOT[[#This Row],[Duration]]&lt;=30,"10 to 30 Mins",TABLE_PIVOT[[#This Row],[Duration]]&lt;=60,"30 to 60 Mins",TABLE_PIVOT[[#This Row],[Duration]]&lt;=120,"1 to 2 Hours",TRUE,"More Than 2 Hours")</f>
        <v>30 to 60 Mins</v>
      </c>
      <c r="K505" s="82">
        <f>ROUND(TABLE_PIVOT[[#This Row],[Satisfaction Rating]],0)</f>
        <v>4</v>
      </c>
    </row>
    <row r="506" spans="1:11" x14ac:dyDescent="0.3">
      <c r="A506" s="8" t="s">
        <v>2132</v>
      </c>
      <c r="B506" s="8" t="s">
        <v>1662</v>
      </c>
      <c r="C506" s="8">
        <v>110</v>
      </c>
      <c r="D506" s="120" t="s">
        <v>1616</v>
      </c>
      <c r="E506" s="121">
        <v>45072</v>
      </c>
      <c r="F506" s="8">
        <v>155</v>
      </c>
      <c r="G506" s="8">
        <v>2.1</v>
      </c>
      <c r="H506" s="82">
        <f>IF(MONTH(TABLE_PIVOT[[#This Row],[Date of Call]])&lt;=6,YEAR(TABLE_PIVOT[[#This Row],[Date of Call]]),YEAR(TABLE_PIVOT[[#This Row],[Date of Call]])+1)</f>
        <v>2023</v>
      </c>
      <c r="I506" s="82" t="str">
        <f>TEXT(TABLE_PIVOT[[#This Row],[Date of Call]],"DDDD")</f>
        <v>Friday</v>
      </c>
      <c r="J506" s="82" t="str" cm="1">
        <f t="array" ref="J506">_xlfn.IFS(TABLE_PIVOT[[#This Row],[Duration]]&lt;=10,"Under 10 Mins",TABLE_PIVOT[[#This Row],[Duration]]&lt;=30,"10 to 30 Mins",TABLE_PIVOT[[#This Row],[Duration]]&lt;=60,"30 to 60 Mins",TABLE_PIVOT[[#This Row],[Duration]]&lt;=120,"1 to 2 Hours",TRUE,"More Than 2 Hours")</f>
        <v>1 to 2 Hours</v>
      </c>
      <c r="K506" s="82">
        <f>ROUND(TABLE_PIVOT[[#This Row],[Satisfaction Rating]],0)</f>
        <v>2</v>
      </c>
    </row>
    <row r="507" spans="1:11" x14ac:dyDescent="0.3">
      <c r="A507" s="8" t="s">
        <v>2133</v>
      </c>
      <c r="B507" s="8" t="s">
        <v>1629</v>
      </c>
      <c r="C507" s="8">
        <v>43</v>
      </c>
      <c r="D507" s="120" t="s">
        <v>1621</v>
      </c>
      <c r="E507" s="121">
        <v>45072</v>
      </c>
      <c r="F507" s="8">
        <v>37</v>
      </c>
      <c r="G507" s="8">
        <v>4.9000000000000004</v>
      </c>
      <c r="H507" s="82">
        <f>IF(MONTH(TABLE_PIVOT[[#This Row],[Date of Call]])&lt;=6,YEAR(TABLE_PIVOT[[#This Row],[Date of Call]]),YEAR(TABLE_PIVOT[[#This Row],[Date of Call]])+1)</f>
        <v>2023</v>
      </c>
      <c r="I507" s="82" t="str">
        <f>TEXT(TABLE_PIVOT[[#This Row],[Date of Call]],"DDDD")</f>
        <v>Friday</v>
      </c>
      <c r="J507" s="82" t="str" cm="1">
        <f t="array" ref="J507">_xlfn.IFS(TABLE_PIVOT[[#This Row],[Duration]]&lt;=10,"Under 10 Mins",TABLE_PIVOT[[#This Row],[Duration]]&lt;=30,"10 to 30 Mins",TABLE_PIVOT[[#This Row],[Duration]]&lt;=60,"30 to 60 Mins",TABLE_PIVOT[[#This Row],[Duration]]&lt;=120,"1 to 2 Hours",TRUE,"More Than 2 Hours")</f>
        <v>30 to 60 Mins</v>
      </c>
      <c r="K507" s="82">
        <f>ROUND(TABLE_PIVOT[[#This Row],[Satisfaction Rating]],0)</f>
        <v>5</v>
      </c>
    </row>
    <row r="508" spans="1:11" x14ac:dyDescent="0.3">
      <c r="A508" s="8" t="s">
        <v>2134</v>
      </c>
      <c r="B508" s="8" t="s">
        <v>1662</v>
      </c>
      <c r="C508" s="8">
        <v>104</v>
      </c>
      <c r="D508" s="120" t="s">
        <v>1626</v>
      </c>
      <c r="E508" s="121">
        <v>45073</v>
      </c>
      <c r="F508" s="8">
        <v>56</v>
      </c>
      <c r="G508" s="8">
        <v>3.4</v>
      </c>
      <c r="H508" s="82">
        <f>IF(MONTH(TABLE_PIVOT[[#This Row],[Date of Call]])&lt;=6,YEAR(TABLE_PIVOT[[#This Row],[Date of Call]]),YEAR(TABLE_PIVOT[[#This Row],[Date of Call]])+1)</f>
        <v>2023</v>
      </c>
      <c r="I508" s="82" t="str">
        <f>TEXT(TABLE_PIVOT[[#This Row],[Date of Call]],"DDDD")</f>
        <v>Saturday</v>
      </c>
      <c r="J508" s="82" t="str" cm="1">
        <f t="array" ref="J508">_xlfn.IFS(TABLE_PIVOT[[#This Row],[Duration]]&lt;=10,"Under 10 Mins",TABLE_PIVOT[[#This Row],[Duration]]&lt;=30,"10 to 30 Mins",TABLE_PIVOT[[#This Row],[Duration]]&lt;=60,"30 to 60 Mins",TABLE_PIVOT[[#This Row],[Duration]]&lt;=120,"1 to 2 Hours",TRUE,"More Than 2 Hours")</f>
        <v>1 to 2 Hours</v>
      </c>
      <c r="K508" s="82">
        <f>ROUND(TABLE_PIVOT[[#This Row],[Satisfaction Rating]],0)</f>
        <v>3</v>
      </c>
    </row>
    <row r="509" spans="1:11" x14ac:dyDescent="0.3">
      <c r="A509" s="8" t="s">
        <v>2135</v>
      </c>
      <c r="B509" s="8" t="s">
        <v>1662</v>
      </c>
      <c r="C509" s="8">
        <v>101</v>
      </c>
      <c r="D509" s="120" t="s">
        <v>1626</v>
      </c>
      <c r="E509" s="121">
        <v>45073</v>
      </c>
      <c r="F509" s="8">
        <v>185</v>
      </c>
      <c r="G509" s="8">
        <v>5</v>
      </c>
      <c r="H509" s="82">
        <f>IF(MONTH(TABLE_PIVOT[[#This Row],[Date of Call]])&lt;=6,YEAR(TABLE_PIVOT[[#This Row],[Date of Call]]),YEAR(TABLE_PIVOT[[#This Row],[Date of Call]])+1)</f>
        <v>2023</v>
      </c>
      <c r="I509" s="82" t="str">
        <f>TEXT(TABLE_PIVOT[[#This Row],[Date of Call]],"DDDD")</f>
        <v>Saturday</v>
      </c>
      <c r="J509" s="82" t="str" cm="1">
        <f t="array" ref="J509">_xlfn.IFS(TABLE_PIVOT[[#This Row],[Duration]]&lt;=10,"Under 10 Mins",TABLE_PIVOT[[#This Row],[Duration]]&lt;=30,"10 to 30 Mins",TABLE_PIVOT[[#This Row],[Duration]]&lt;=60,"30 to 60 Mins",TABLE_PIVOT[[#This Row],[Duration]]&lt;=120,"1 to 2 Hours",TRUE,"More Than 2 Hours")</f>
        <v>1 to 2 Hours</v>
      </c>
      <c r="K509" s="82">
        <f>ROUND(TABLE_PIVOT[[#This Row],[Satisfaction Rating]],0)</f>
        <v>5</v>
      </c>
    </row>
    <row r="510" spans="1:11" x14ac:dyDescent="0.3">
      <c r="A510" s="8" t="s">
        <v>2136</v>
      </c>
      <c r="B510" s="8" t="s">
        <v>1610</v>
      </c>
      <c r="C510" s="8">
        <v>55</v>
      </c>
      <c r="D510" s="120" t="s">
        <v>1621</v>
      </c>
      <c r="E510" s="121">
        <v>45074</v>
      </c>
      <c r="F510" s="8">
        <v>145</v>
      </c>
      <c r="G510" s="8">
        <v>4.5</v>
      </c>
      <c r="H510" s="82">
        <f>IF(MONTH(TABLE_PIVOT[[#This Row],[Date of Call]])&lt;=6,YEAR(TABLE_PIVOT[[#This Row],[Date of Call]]),YEAR(TABLE_PIVOT[[#This Row],[Date of Call]])+1)</f>
        <v>2023</v>
      </c>
      <c r="I510" s="82" t="str">
        <f>TEXT(TABLE_PIVOT[[#This Row],[Date of Call]],"DDDD")</f>
        <v>Sunday</v>
      </c>
      <c r="J510" s="82" t="str" cm="1">
        <f t="array" ref="J510">_xlfn.IFS(TABLE_PIVOT[[#This Row],[Duration]]&lt;=10,"Under 10 Mins",TABLE_PIVOT[[#This Row],[Duration]]&lt;=30,"10 to 30 Mins",TABLE_PIVOT[[#This Row],[Duration]]&lt;=60,"30 to 60 Mins",TABLE_PIVOT[[#This Row],[Duration]]&lt;=120,"1 to 2 Hours",TRUE,"More Than 2 Hours")</f>
        <v>30 to 60 Mins</v>
      </c>
      <c r="K510" s="82">
        <f>ROUND(TABLE_PIVOT[[#This Row],[Satisfaction Rating]],0)</f>
        <v>5</v>
      </c>
    </row>
    <row r="511" spans="1:11" x14ac:dyDescent="0.3">
      <c r="A511" s="8" t="s">
        <v>2137</v>
      </c>
      <c r="B511" s="8" t="s">
        <v>1633</v>
      </c>
      <c r="C511" s="8">
        <v>40</v>
      </c>
      <c r="D511" s="120" t="s">
        <v>1611</v>
      </c>
      <c r="E511" s="121">
        <v>45074</v>
      </c>
      <c r="F511" s="8">
        <v>116</v>
      </c>
      <c r="G511" s="8">
        <v>2.6</v>
      </c>
      <c r="H511" s="82">
        <f>IF(MONTH(TABLE_PIVOT[[#This Row],[Date of Call]])&lt;=6,YEAR(TABLE_PIVOT[[#This Row],[Date of Call]]),YEAR(TABLE_PIVOT[[#This Row],[Date of Call]])+1)</f>
        <v>2023</v>
      </c>
      <c r="I511" s="82" t="str">
        <f>TEXT(TABLE_PIVOT[[#This Row],[Date of Call]],"DDDD")</f>
        <v>Sunday</v>
      </c>
      <c r="J511" s="82" t="str" cm="1">
        <f t="array" ref="J511">_xlfn.IFS(TABLE_PIVOT[[#This Row],[Duration]]&lt;=10,"Under 10 Mins",TABLE_PIVOT[[#This Row],[Duration]]&lt;=30,"10 to 30 Mins",TABLE_PIVOT[[#This Row],[Duration]]&lt;=60,"30 to 60 Mins",TABLE_PIVOT[[#This Row],[Duration]]&lt;=120,"1 to 2 Hours",TRUE,"More Than 2 Hours")</f>
        <v>30 to 60 Mins</v>
      </c>
      <c r="K511" s="82">
        <f>ROUND(TABLE_PIVOT[[#This Row],[Satisfaction Rating]],0)</f>
        <v>3</v>
      </c>
    </row>
    <row r="512" spans="1:11" x14ac:dyDescent="0.3">
      <c r="A512" s="8" t="s">
        <v>2138</v>
      </c>
      <c r="B512" s="8" t="s">
        <v>1629</v>
      </c>
      <c r="C512" s="8">
        <v>122</v>
      </c>
      <c r="D512" s="120" t="s">
        <v>1630</v>
      </c>
      <c r="E512" s="121">
        <v>45074</v>
      </c>
      <c r="F512" s="8">
        <v>45</v>
      </c>
      <c r="G512" s="8">
        <v>4.2</v>
      </c>
      <c r="H512" s="82">
        <f>IF(MONTH(TABLE_PIVOT[[#This Row],[Date of Call]])&lt;=6,YEAR(TABLE_PIVOT[[#This Row],[Date of Call]]),YEAR(TABLE_PIVOT[[#This Row],[Date of Call]])+1)</f>
        <v>2023</v>
      </c>
      <c r="I512" s="82" t="str">
        <f>TEXT(TABLE_PIVOT[[#This Row],[Date of Call]],"DDDD")</f>
        <v>Sunday</v>
      </c>
      <c r="J512" s="82" t="str" cm="1">
        <f t="array" ref="J512">_xlfn.IFS(TABLE_PIVOT[[#This Row],[Duration]]&lt;=10,"Under 10 Mins",TABLE_PIVOT[[#This Row],[Duration]]&lt;=30,"10 to 30 Mins",TABLE_PIVOT[[#This Row],[Duration]]&lt;=60,"30 to 60 Mins",TABLE_PIVOT[[#This Row],[Duration]]&lt;=120,"1 to 2 Hours",TRUE,"More Than 2 Hours")</f>
        <v>More Than 2 Hours</v>
      </c>
      <c r="K512" s="82">
        <f>ROUND(TABLE_PIVOT[[#This Row],[Satisfaction Rating]],0)</f>
        <v>4</v>
      </c>
    </row>
    <row r="513" spans="1:11" x14ac:dyDescent="0.3">
      <c r="A513" s="8" t="s">
        <v>2139</v>
      </c>
      <c r="B513" s="8" t="s">
        <v>1620</v>
      </c>
      <c r="C513" s="8">
        <v>98</v>
      </c>
      <c r="D513" s="120" t="s">
        <v>1626</v>
      </c>
      <c r="E513" s="121">
        <v>45075</v>
      </c>
      <c r="F513" s="8">
        <v>35</v>
      </c>
      <c r="G513" s="8">
        <v>4.5</v>
      </c>
      <c r="H513" s="82">
        <f>IF(MONTH(TABLE_PIVOT[[#This Row],[Date of Call]])&lt;=6,YEAR(TABLE_PIVOT[[#This Row],[Date of Call]]),YEAR(TABLE_PIVOT[[#This Row],[Date of Call]])+1)</f>
        <v>2023</v>
      </c>
      <c r="I513" s="82" t="str">
        <f>TEXT(TABLE_PIVOT[[#This Row],[Date of Call]],"DDDD")</f>
        <v>Monday</v>
      </c>
      <c r="J513" s="82" t="str" cm="1">
        <f t="array" ref="J513">_xlfn.IFS(TABLE_PIVOT[[#This Row],[Duration]]&lt;=10,"Under 10 Mins",TABLE_PIVOT[[#This Row],[Duration]]&lt;=30,"10 to 30 Mins",TABLE_PIVOT[[#This Row],[Duration]]&lt;=60,"30 to 60 Mins",TABLE_PIVOT[[#This Row],[Duration]]&lt;=120,"1 to 2 Hours",TRUE,"More Than 2 Hours")</f>
        <v>1 to 2 Hours</v>
      </c>
      <c r="K513" s="82">
        <f>ROUND(TABLE_PIVOT[[#This Row],[Satisfaction Rating]],0)</f>
        <v>5</v>
      </c>
    </row>
    <row r="514" spans="1:11" x14ac:dyDescent="0.3">
      <c r="A514" s="8" t="s">
        <v>2140</v>
      </c>
      <c r="B514" s="8" t="s">
        <v>1641</v>
      </c>
      <c r="C514" s="8">
        <v>110</v>
      </c>
      <c r="D514" s="120" t="s">
        <v>1611</v>
      </c>
      <c r="E514" s="121">
        <v>45075</v>
      </c>
      <c r="F514" s="8">
        <v>100</v>
      </c>
      <c r="G514" s="8">
        <v>4.4000000000000004</v>
      </c>
      <c r="H514" s="82">
        <f>IF(MONTH(TABLE_PIVOT[[#This Row],[Date of Call]])&lt;=6,YEAR(TABLE_PIVOT[[#This Row],[Date of Call]]),YEAR(TABLE_PIVOT[[#This Row],[Date of Call]])+1)</f>
        <v>2023</v>
      </c>
      <c r="I514" s="82" t="str">
        <f>TEXT(TABLE_PIVOT[[#This Row],[Date of Call]],"DDDD")</f>
        <v>Monday</v>
      </c>
      <c r="J514" s="82" t="str" cm="1">
        <f t="array" ref="J514">_xlfn.IFS(TABLE_PIVOT[[#This Row],[Duration]]&lt;=10,"Under 10 Mins",TABLE_PIVOT[[#This Row],[Duration]]&lt;=30,"10 to 30 Mins",TABLE_PIVOT[[#This Row],[Duration]]&lt;=60,"30 to 60 Mins",TABLE_PIVOT[[#This Row],[Duration]]&lt;=120,"1 to 2 Hours",TRUE,"More Than 2 Hours")</f>
        <v>1 to 2 Hours</v>
      </c>
      <c r="K514" s="82">
        <f>ROUND(TABLE_PIVOT[[#This Row],[Satisfaction Rating]],0)</f>
        <v>4</v>
      </c>
    </row>
    <row r="515" spans="1:11" x14ac:dyDescent="0.3">
      <c r="A515" s="8" t="s">
        <v>2141</v>
      </c>
      <c r="B515" s="8" t="s">
        <v>1641</v>
      </c>
      <c r="C515" s="8">
        <v>62</v>
      </c>
      <c r="D515" s="120" t="s">
        <v>1621</v>
      </c>
      <c r="E515" s="121">
        <v>45076</v>
      </c>
      <c r="F515" s="8">
        <v>125</v>
      </c>
      <c r="G515" s="8">
        <v>3.5</v>
      </c>
      <c r="H515" s="82">
        <f>IF(MONTH(TABLE_PIVOT[[#This Row],[Date of Call]])&lt;=6,YEAR(TABLE_PIVOT[[#This Row],[Date of Call]]),YEAR(TABLE_PIVOT[[#This Row],[Date of Call]])+1)</f>
        <v>2023</v>
      </c>
      <c r="I515" s="82" t="str">
        <f>TEXT(TABLE_PIVOT[[#This Row],[Date of Call]],"DDDD")</f>
        <v>Tuesday</v>
      </c>
      <c r="J515" s="82" t="str" cm="1">
        <f t="array" ref="J515">_xlfn.IFS(TABLE_PIVOT[[#This Row],[Duration]]&lt;=10,"Under 10 Mins",TABLE_PIVOT[[#This Row],[Duration]]&lt;=30,"10 to 30 Mins",TABLE_PIVOT[[#This Row],[Duration]]&lt;=60,"30 to 60 Mins",TABLE_PIVOT[[#This Row],[Duration]]&lt;=120,"1 to 2 Hours",TRUE,"More Than 2 Hours")</f>
        <v>1 to 2 Hours</v>
      </c>
      <c r="K515" s="82">
        <f>ROUND(TABLE_PIVOT[[#This Row],[Satisfaction Rating]],0)</f>
        <v>4</v>
      </c>
    </row>
    <row r="516" spans="1:11" x14ac:dyDescent="0.3">
      <c r="A516" s="8" t="s">
        <v>2142</v>
      </c>
      <c r="B516" s="8" t="s">
        <v>1629</v>
      </c>
      <c r="C516" s="8">
        <v>134</v>
      </c>
      <c r="D516" s="120" t="s">
        <v>1630</v>
      </c>
      <c r="E516" s="121">
        <v>45076</v>
      </c>
      <c r="F516" s="8">
        <v>120</v>
      </c>
      <c r="G516" s="8">
        <v>3</v>
      </c>
      <c r="H516" s="82">
        <f>IF(MONTH(TABLE_PIVOT[[#This Row],[Date of Call]])&lt;=6,YEAR(TABLE_PIVOT[[#This Row],[Date of Call]]),YEAR(TABLE_PIVOT[[#This Row],[Date of Call]])+1)</f>
        <v>2023</v>
      </c>
      <c r="I516" s="82" t="str">
        <f>TEXT(TABLE_PIVOT[[#This Row],[Date of Call]],"DDDD")</f>
        <v>Tuesday</v>
      </c>
      <c r="J516" s="82" t="str" cm="1">
        <f t="array" ref="J516">_xlfn.IFS(TABLE_PIVOT[[#This Row],[Duration]]&lt;=10,"Under 10 Mins",TABLE_PIVOT[[#This Row],[Duration]]&lt;=30,"10 to 30 Mins",TABLE_PIVOT[[#This Row],[Duration]]&lt;=60,"30 to 60 Mins",TABLE_PIVOT[[#This Row],[Duration]]&lt;=120,"1 to 2 Hours",TRUE,"More Than 2 Hours")</f>
        <v>More Than 2 Hours</v>
      </c>
      <c r="K516" s="82">
        <f>ROUND(TABLE_PIVOT[[#This Row],[Satisfaction Rating]],0)</f>
        <v>3</v>
      </c>
    </row>
    <row r="517" spans="1:11" x14ac:dyDescent="0.3">
      <c r="A517" s="8" t="s">
        <v>2143</v>
      </c>
      <c r="B517" s="8" t="s">
        <v>1649</v>
      </c>
      <c r="C517" s="8">
        <v>94</v>
      </c>
      <c r="D517" s="120" t="s">
        <v>1616</v>
      </c>
      <c r="E517" s="121">
        <v>45076</v>
      </c>
      <c r="F517" s="8">
        <v>180</v>
      </c>
      <c r="G517" s="8">
        <v>4.7</v>
      </c>
      <c r="H517" s="82">
        <f>IF(MONTH(TABLE_PIVOT[[#This Row],[Date of Call]])&lt;=6,YEAR(TABLE_PIVOT[[#This Row],[Date of Call]]),YEAR(TABLE_PIVOT[[#This Row],[Date of Call]])+1)</f>
        <v>2023</v>
      </c>
      <c r="I517" s="82" t="str">
        <f>TEXT(TABLE_PIVOT[[#This Row],[Date of Call]],"DDDD")</f>
        <v>Tuesday</v>
      </c>
      <c r="J517" s="82" t="str" cm="1">
        <f t="array" ref="J517">_xlfn.IFS(TABLE_PIVOT[[#This Row],[Duration]]&lt;=10,"Under 10 Mins",TABLE_PIVOT[[#This Row],[Duration]]&lt;=30,"10 to 30 Mins",TABLE_PIVOT[[#This Row],[Duration]]&lt;=60,"30 to 60 Mins",TABLE_PIVOT[[#This Row],[Duration]]&lt;=120,"1 to 2 Hours",TRUE,"More Than 2 Hours")</f>
        <v>1 to 2 Hours</v>
      </c>
      <c r="K517" s="82">
        <f>ROUND(TABLE_PIVOT[[#This Row],[Satisfaction Rating]],0)</f>
        <v>5</v>
      </c>
    </row>
    <row r="518" spans="1:11" x14ac:dyDescent="0.3">
      <c r="A518" s="8" t="s">
        <v>2144</v>
      </c>
      <c r="B518" s="8" t="s">
        <v>1624</v>
      </c>
      <c r="C518" s="8">
        <v>63</v>
      </c>
      <c r="D518" s="120" t="s">
        <v>1611</v>
      </c>
      <c r="E518" s="121">
        <v>45076</v>
      </c>
      <c r="F518" s="8">
        <v>44</v>
      </c>
      <c r="G518" s="8">
        <v>3</v>
      </c>
      <c r="H518" s="82">
        <f>IF(MONTH(TABLE_PIVOT[[#This Row],[Date of Call]])&lt;=6,YEAR(TABLE_PIVOT[[#This Row],[Date of Call]]),YEAR(TABLE_PIVOT[[#This Row],[Date of Call]])+1)</f>
        <v>2023</v>
      </c>
      <c r="I518" s="82" t="str">
        <f>TEXT(TABLE_PIVOT[[#This Row],[Date of Call]],"DDDD")</f>
        <v>Tuesday</v>
      </c>
      <c r="J518" s="82" t="str" cm="1">
        <f t="array" ref="J518">_xlfn.IFS(TABLE_PIVOT[[#This Row],[Duration]]&lt;=10,"Under 10 Mins",TABLE_PIVOT[[#This Row],[Duration]]&lt;=30,"10 to 30 Mins",TABLE_PIVOT[[#This Row],[Duration]]&lt;=60,"30 to 60 Mins",TABLE_PIVOT[[#This Row],[Duration]]&lt;=120,"1 to 2 Hours",TRUE,"More Than 2 Hours")</f>
        <v>1 to 2 Hours</v>
      </c>
      <c r="K518" s="82">
        <f>ROUND(TABLE_PIVOT[[#This Row],[Satisfaction Rating]],0)</f>
        <v>3</v>
      </c>
    </row>
    <row r="519" spans="1:11" x14ac:dyDescent="0.3">
      <c r="A519" s="8" t="s">
        <v>2145</v>
      </c>
      <c r="B519" s="8" t="s">
        <v>1644</v>
      </c>
      <c r="C519" s="8">
        <v>95</v>
      </c>
      <c r="D519" s="120" t="s">
        <v>1630</v>
      </c>
      <c r="E519" s="121">
        <v>45076</v>
      </c>
      <c r="F519" s="8">
        <v>86</v>
      </c>
      <c r="G519" s="8">
        <v>3.6</v>
      </c>
      <c r="H519" s="82">
        <f>IF(MONTH(TABLE_PIVOT[[#This Row],[Date of Call]])&lt;=6,YEAR(TABLE_PIVOT[[#This Row],[Date of Call]]),YEAR(TABLE_PIVOT[[#This Row],[Date of Call]])+1)</f>
        <v>2023</v>
      </c>
      <c r="I519" s="82" t="str">
        <f>TEXT(TABLE_PIVOT[[#This Row],[Date of Call]],"DDDD")</f>
        <v>Tuesday</v>
      </c>
      <c r="J519" s="82" t="str" cm="1">
        <f t="array" ref="J519">_xlfn.IFS(TABLE_PIVOT[[#This Row],[Duration]]&lt;=10,"Under 10 Mins",TABLE_PIVOT[[#This Row],[Duration]]&lt;=30,"10 to 30 Mins",TABLE_PIVOT[[#This Row],[Duration]]&lt;=60,"30 to 60 Mins",TABLE_PIVOT[[#This Row],[Duration]]&lt;=120,"1 to 2 Hours",TRUE,"More Than 2 Hours")</f>
        <v>1 to 2 Hours</v>
      </c>
      <c r="K519" s="82">
        <f>ROUND(TABLE_PIVOT[[#This Row],[Satisfaction Rating]],0)</f>
        <v>4</v>
      </c>
    </row>
    <row r="520" spans="1:11" x14ac:dyDescent="0.3">
      <c r="A520" s="8" t="s">
        <v>2146</v>
      </c>
      <c r="B520" s="8" t="s">
        <v>1629</v>
      </c>
      <c r="C520" s="8">
        <v>106</v>
      </c>
      <c r="D520" s="120" t="s">
        <v>1630</v>
      </c>
      <c r="E520" s="121">
        <v>45077</v>
      </c>
      <c r="F520" s="8">
        <v>120</v>
      </c>
      <c r="G520" s="8">
        <v>4.0999999999999996</v>
      </c>
      <c r="H520" s="82">
        <f>IF(MONTH(TABLE_PIVOT[[#This Row],[Date of Call]])&lt;=6,YEAR(TABLE_PIVOT[[#This Row],[Date of Call]]),YEAR(TABLE_PIVOT[[#This Row],[Date of Call]])+1)</f>
        <v>2023</v>
      </c>
      <c r="I520" s="82" t="str">
        <f>TEXT(TABLE_PIVOT[[#This Row],[Date of Call]],"DDDD")</f>
        <v>Wednesday</v>
      </c>
      <c r="J520" s="82" t="str" cm="1">
        <f t="array" ref="J520">_xlfn.IFS(TABLE_PIVOT[[#This Row],[Duration]]&lt;=10,"Under 10 Mins",TABLE_PIVOT[[#This Row],[Duration]]&lt;=30,"10 to 30 Mins",TABLE_PIVOT[[#This Row],[Duration]]&lt;=60,"30 to 60 Mins",TABLE_PIVOT[[#This Row],[Duration]]&lt;=120,"1 to 2 Hours",TRUE,"More Than 2 Hours")</f>
        <v>1 to 2 Hours</v>
      </c>
      <c r="K520" s="82">
        <f>ROUND(TABLE_PIVOT[[#This Row],[Satisfaction Rating]],0)</f>
        <v>4</v>
      </c>
    </row>
    <row r="521" spans="1:11" x14ac:dyDescent="0.3">
      <c r="A521" s="8" t="s">
        <v>2147</v>
      </c>
      <c r="B521" s="8" t="s">
        <v>1618</v>
      </c>
      <c r="C521" s="8">
        <v>94</v>
      </c>
      <c r="D521" s="120" t="s">
        <v>1616</v>
      </c>
      <c r="E521" s="121">
        <v>45077</v>
      </c>
      <c r="F521" s="8">
        <v>100</v>
      </c>
      <c r="G521" s="8">
        <v>3.7</v>
      </c>
      <c r="H521" s="82">
        <f>IF(MONTH(TABLE_PIVOT[[#This Row],[Date of Call]])&lt;=6,YEAR(TABLE_PIVOT[[#This Row],[Date of Call]]),YEAR(TABLE_PIVOT[[#This Row],[Date of Call]])+1)</f>
        <v>2023</v>
      </c>
      <c r="I521" s="82" t="str">
        <f>TEXT(TABLE_PIVOT[[#This Row],[Date of Call]],"DDDD")</f>
        <v>Wednesday</v>
      </c>
      <c r="J521" s="82" t="str" cm="1">
        <f t="array" ref="J521">_xlfn.IFS(TABLE_PIVOT[[#This Row],[Duration]]&lt;=10,"Under 10 Mins",TABLE_PIVOT[[#This Row],[Duration]]&lt;=30,"10 to 30 Mins",TABLE_PIVOT[[#This Row],[Duration]]&lt;=60,"30 to 60 Mins",TABLE_PIVOT[[#This Row],[Duration]]&lt;=120,"1 to 2 Hours",TRUE,"More Than 2 Hours")</f>
        <v>1 to 2 Hours</v>
      </c>
      <c r="K521" s="82">
        <f>ROUND(TABLE_PIVOT[[#This Row],[Satisfaction Rating]],0)</f>
        <v>4</v>
      </c>
    </row>
    <row r="522" spans="1:11" x14ac:dyDescent="0.3">
      <c r="A522" s="8" t="s">
        <v>2148</v>
      </c>
      <c r="B522" s="8" t="s">
        <v>1618</v>
      </c>
      <c r="C522" s="8">
        <v>51</v>
      </c>
      <c r="D522" s="120" t="s">
        <v>1616</v>
      </c>
      <c r="E522" s="121">
        <v>45078</v>
      </c>
      <c r="F522" s="8">
        <v>108</v>
      </c>
      <c r="G522" s="8">
        <v>4.5</v>
      </c>
      <c r="H522" s="82">
        <f>IF(MONTH(TABLE_PIVOT[[#This Row],[Date of Call]])&lt;=6,YEAR(TABLE_PIVOT[[#This Row],[Date of Call]]),YEAR(TABLE_PIVOT[[#This Row],[Date of Call]])+1)</f>
        <v>2023</v>
      </c>
      <c r="I522" s="82" t="str">
        <f>TEXT(TABLE_PIVOT[[#This Row],[Date of Call]],"DDDD")</f>
        <v>Thursday</v>
      </c>
      <c r="J522" s="82" t="str" cm="1">
        <f t="array" ref="J522">_xlfn.IFS(TABLE_PIVOT[[#This Row],[Duration]]&lt;=10,"Under 10 Mins",TABLE_PIVOT[[#This Row],[Duration]]&lt;=30,"10 to 30 Mins",TABLE_PIVOT[[#This Row],[Duration]]&lt;=60,"30 to 60 Mins",TABLE_PIVOT[[#This Row],[Duration]]&lt;=120,"1 to 2 Hours",TRUE,"More Than 2 Hours")</f>
        <v>30 to 60 Mins</v>
      </c>
      <c r="K522" s="82">
        <f>ROUND(TABLE_PIVOT[[#This Row],[Satisfaction Rating]],0)</f>
        <v>5</v>
      </c>
    </row>
    <row r="523" spans="1:11" x14ac:dyDescent="0.3">
      <c r="A523" s="8" t="s">
        <v>2149</v>
      </c>
      <c r="B523" s="8" t="s">
        <v>1682</v>
      </c>
      <c r="C523" s="8">
        <v>39</v>
      </c>
      <c r="D523" s="120" t="s">
        <v>1616</v>
      </c>
      <c r="E523" s="121">
        <v>45078</v>
      </c>
      <c r="F523" s="8">
        <v>46</v>
      </c>
      <c r="G523" s="8">
        <v>4.5999999999999996</v>
      </c>
      <c r="H523" s="82">
        <f>IF(MONTH(TABLE_PIVOT[[#This Row],[Date of Call]])&lt;=6,YEAR(TABLE_PIVOT[[#This Row],[Date of Call]]),YEAR(TABLE_PIVOT[[#This Row],[Date of Call]])+1)</f>
        <v>2023</v>
      </c>
      <c r="I523" s="82" t="str">
        <f>TEXT(TABLE_PIVOT[[#This Row],[Date of Call]],"DDDD")</f>
        <v>Thursday</v>
      </c>
      <c r="J523" s="82" t="str" cm="1">
        <f t="array" ref="J523">_xlfn.IFS(TABLE_PIVOT[[#This Row],[Duration]]&lt;=10,"Under 10 Mins",TABLE_PIVOT[[#This Row],[Duration]]&lt;=30,"10 to 30 Mins",TABLE_PIVOT[[#This Row],[Duration]]&lt;=60,"30 to 60 Mins",TABLE_PIVOT[[#This Row],[Duration]]&lt;=120,"1 to 2 Hours",TRUE,"More Than 2 Hours")</f>
        <v>30 to 60 Mins</v>
      </c>
      <c r="K523" s="82">
        <f>ROUND(TABLE_PIVOT[[#This Row],[Satisfaction Rating]],0)</f>
        <v>5</v>
      </c>
    </row>
    <row r="524" spans="1:11" x14ac:dyDescent="0.3">
      <c r="A524" s="8" t="s">
        <v>2150</v>
      </c>
      <c r="B524" s="8" t="s">
        <v>1633</v>
      </c>
      <c r="C524" s="8">
        <v>111</v>
      </c>
      <c r="D524" s="120" t="s">
        <v>1630</v>
      </c>
      <c r="E524" s="121">
        <v>45078</v>
      </c>
      <c r="F524" s="8">
        <v>210</v>
      </c>
      <c r="G524" s="8">
        <v>4.3</v>
      </c>
      <c r="H524" s="82">
        <f>IF(MONTH(TABLE_PIVOT[[#This Row],[Date of Call]])&lt;=6,YEAR(TABLE_PIVOT[[#This Row],[Date of Call]]),YEAR(TABLE_PIVOT[[#This Row],[Date of Call]])+1)</f>
        <v>2023</v>
      </c>
      <c r="I524" s="82" t="str">
        <f>TEXT(TABLE_PIVOT[[#This Row],[Date of Call]],"DDDD")</f>
        <v>Thursday</v>
      </c>
      <c r="J524" s="82" t="str" cm="1">
        <f t="array" ref="J524">_xlfn.IFS(TABLE_PIVOT[[#This Row],[Duration]]&lt;=10,"Under 10 Mins",TABLE_PIVOT[[#This Row],[Duration]]&lt;=30,"10 to 30 Mins",TABLE_PIVOT[[#This Row],[Duration]]&lt;=60,"30 to 60 Mins",TABLE_PIVOT[[#This Row],[Duration]]&lt;=120,"1 to 2 Hours",TRUE,"More Than 2 Hours")</f>
        <v>1 to 2 Hours</v>
      </c>
      <c r="K524" s="82">
        <f>ROUND(TABLE_PIVOT[[#This Row],[Satisfaction Rating]],0)</f>
        <v>4</v>
      </c>
    </row>
    <row r="525" spans="1:11" x14ac:dyDescent="0.3">
      <c r="A525" s="8" t="s">
        <v>2151</v>
      </c>
      <c r="B525" s="8" t="s">
        <v>1652</v>
      </c>
      <c r="C525" s="8">
        <v>141</v>
      </c>
      <c r="D525" s="120" t="s">
        <v>1621</v>
      </c>
      <c r="E525" s="121">
        <v>45080</v>
      </c>
      <c r="F525" s="8">
        <v>54</v>
      </c>
      <c r="G525" s="8">
        <v>4.8</v>
      </c>
      <c r="H525" s="82">
        <f>IF(MONTH(TABLE_PIVOT[[#This Row],[Date of Call]])&lt;=6,YEAR(TABLE_PIVOT[[#This Row],[Date of Call]]),YEAR(TABLE_PIVOT[[#This Row],[Date of Call]])+1)</f>
        <v>2023</v>
      </c>
      <c r="I525" s="82" t="str">
        <f>TEXT(TABLE_PIVOT[[#This Row],[Date of Call]],"DDDD")</f>
        <v>Saturday</v>
      </c>
      <c r="J525" s="82" t="str" cm="1">
        <f t="array" ref="J525">_xlfn.IFS(TABLE_PIVOT[[#This Row],[Duration]]&lt;=10,"Under 10 Mins",TABLE_PIVOT[[#This Row],[Duration]]&lt;=30,"10 to 30 Mins",TABLE_PIVOT[[#This Row],[Duration]]&lt;=60,"30 to 60 Mins",TABLE_PIVOT[[#This Row],[Duration]]&lt;=120,"1 to 2 Hours",TRUE,"More Than 2 Hours")</f>
        <v>More Than 2 Hours</v>
      </c>
      <c r="K525" s="82">
        <f>ROUND(TABLE_PIVOT[[#This Row],[Satisfaction Rating]],0)</f>
        <v>5</v>
      </c>
    </row>
    <row r="526" spans="1:11" x14ac:dyDescent="0.3">
      <c r="A526" s="8" t="s">
        <v>2152</v>
      </c>
      <c r="B526" s="8" t="s">
        <v>1624</v>
      </c>
      <c r="C526" s="8">
        <v>147</v>
      </c>
      <c r="D526" s="120" t="s">
        <v>1630</v>
      </c>
      <c r="E526" s="121">
        <v>45080</v>
      </c>
      <c r="F526" s="8">
        <v>115</v>
      </c>
      <c r="G526" s="8">
        <v>4.7</v>
      </c>
      <c r="H526" s="82">
        <f>IF(MONTH(TABLE_PIVOT[[#This Row],[Date of Call]])&lt;=6,YEAR(TABLE_PIVOT[[#This Row],[Date of Call]]),YEAR(TABLE_PIVOT[[#This Row],[Date of Call]])+1)</f>
        <v>2023</v>
      </c>
      <c r="I526" s="82" t="str">
        <f>TEXT(TABLE_PIVOT[[#This Row],[Date of Call]],"DDDD")</f>
        <v>Saturday</v>
      </c>
      <c r="J526" s="82" t="str" cm="1">
        <f t="array" ref="J526">_xlfn.IFS(TABLE_PIVOT[[#This Row],[Duration]]&lt;=10,"Under 10 Mins",TABLE_PIVOT[[#This Row],[Duration]]&lt;=30,"10 to 30 Mins",TABLE_PIVOT[[#This Row],[Duration]]&lt;=60,"30 to 60 Mins",TABLE_PIVOT[[#This Row],[Duration]]&lt;=120,"1 to 2 Hours",TRUE,"More Than 2 Hours")</f>
        <v>More Than 2 Hours</v>
      </c>
      <c r="K526" s="82">
        <f>ROUND(TABLE_PIVOT[[#This Row],[Satisfaction Rating]],0)</f>
        <v>5</v>
      </c>
    </row>
    <row r="527" spans="1:11" x14ac:dyDescent="0.3">
      <c r="A527" s="8" t="s">
        <v>2153</v>
      </c>
      <c r="B527" s="8" t="s">
        <v>1649</v>
      </c>
      <c r="C527" s="8">
        <v>49</v>
      </c>
      <c r="D527" s="120" t="s">
        <v>1616</v>
      </c>
      <c r="E527" s="121">
        <v>45081</v>
      </c>
      <c r="F527" s="8">
        <v>100</v>
      </c>
      <c r="G527" s="8">
        <v>2.2000000000000002</v>
      </c>
      <c r="H527" s="82">
        <f>IF(MONTH(TABLE_PIVOT[[#This Row],[Date of Call]])&lt;=6,YEAR(TABLE_PIVOT[[#This Row],[Date of Call]]),YEAR(TABLE_PIVOT[[#This Row],[Date of Call]])+1)</f>
        <v>2023</v>
      </c>
      <c r="I527" s="82" t="str">
        <f>TEXT(TABLE_PIVOT[[#This Row],[Date of Call]],"DDDD")</f>
        <v>Sunday</v>
      </c>
      <c r="J527" s="82" t="str" cm="1">
        <f t="array" ref="J527">_xlfn.IFS(TABLE_PIVOT[[#This Row],[Duration]]&lt;=10,"Under 10 Mins",TABLE_PIVOT[[#This Row],[Duration]]&lt;=30,"10 to 30 Mins",TABLE_PIVOT[[#This Row],[Duration]]&lt;=60,"30 to 60 Mins",TABLE_PIVOT[[#This Row],[Duration]]&lt;=120,"1 to 2 Hours",TRUE,"More Than 2 Hours")</f>
        <v>30 to 60 Mins</v>
      </c>
      <c r="K527" s="82">
        <f>ROUND(TABLE_PIVOT[[#This Row],[Satisfaction Rating]],0)</f>
        <v>2</v>
      </c>
    </row>
    <row r="528" spans="1:11" x14ac:dyDescent="0.3">
      <c r="A528" s="8" t="s">
        <v>2154</v>
      </c>
      <c r="B528" s="8" t="s">
        <v>1615</v>
      </c>
      <c r="C528" s="8">
        <v>75</v>
      </c>
      <c r="D528" s="120" t="s">
        <v>1630</v>
      </c>
      <c r="E528" s="121">
        <v>45081</v>
      </c>
      <c r="F528" s="8">
        <v>38</v>
      </c>
      <c r="G528" s="8">
        <v>4.4000000000000004</v>
      </c>
      <c r="H528" s="82">
        <f>IF(MONTH(TABLE_PIVOT[[#This Row],[Date of Call]])&lt;=6,YEAR(TABLE_PIVOT[[#This Row],[Date of Call]]),YEAR(TABLE_PIVOT[[#This Row],[Date of Call]])+1)</f>
        <v>2023</v>
      </c>
      <c r="I528" s="82" t="str">
        <f>TEXT(TABLE_PIVOT[[#This Row],[Date of Call]],"DDDD")</f>
        <v>Sunday</v>
      </c>
      <c r="J528" s="82" t="str" cm="1">
        <f t="array" ref="J528">_xlfn.IFS(TABLE_PIVOT[[#This Row],[Duration]]&lt;=10,"Under 10 Mins",TABLE_PIVOT[[#This Row],[Duration]]&lt;=30,"10 to 30 Mins",TABLE_PIVOT[[#This Row],[Duration]]&lt;=60,"30 to 60 Mins",TABLE_PIVOT[[#This Row],[Duration]]&lt;=120,"1 to 2 Hours",TRUE,"More Than 2 Hours")</f>
        <v>1 to 2 Hours</v>
      </c>
      <c r="K528" s="82">
        <f>ROUND(TABLE_PIVOT[[#This Row],[Satisfaction Rating]],0)</f>
        <v>4</v>
      </c>
    </row>
    <row r="529" spans="1:11" x14ac:dyDescent="0.3">
      <c r="A529" s="8" t="s">
        <v>2155</v>
      </c>
      <c r="B529" s="8" t="s">
        <v>1652</v>
      </c>
      <c r="C529" s="8">
        <v>48</v>
      </c>
      <c r="D529" s="120" t="s">
        <v>1621</v>
      </c>
      <c r="E529" s="121">
        <v>45082</v>
      </c>
      <c r="F529" s="8">
        <v>120</v>
      </c>
      <c r="G529" s="8">
        <v>4.0999999999999996</v>
      </c>
      <c r="H529" s="82">
        <f>IF(MONTH(TABLE_PIVOT[[#This Row],[Date of Call]])&lt;=6,YEAR(TABLE_PIVOT[[#This Row],[Date of Call]]),YEAR(TABLE_PIVOT[[#This Row],[Date of Call]])+1)</f>
        <v>2023</v>
      </c>
      <c r="I529" s="82" t="str">
        <f>TEXT(TABLE_PIVOT[[#This Row],[Date of Call]],"DDDD")</f>
        <v>Monday</v>
      </c>
      <c r="J529" s="82" t="str" cm="1">
        <f t="array" ref="J529">_xlfn.IFS(TABLE_PIVOT[[#This Row],[Duration]]&lt;=10,"Under 10 Mins",TABLE_PIVOT[[#This Row],[Duration]]&lt;=30,"10 to 30 Mins",TABLE_PIVOT[[#This Row],[Duration]]&lt;=60,"30 to 60 Mins",TABLE_PIVOT[[#This Row],[Duration]]&lt;=120,"1 to 2 Hours",TRUE,"More Than 2 Hours")</f>
        <v>30 to 60 Mins</v>
      </c>
      <c r="K529" s="82">
        <f>ROUND(TABLE_PIVOT[[#This Row],[Satisfaction Rating]],0)</f>
        <v>4</v>
      </c>
    </row>
    <row r="530" spans="1:11" x14ac:dyDescent="0.3">
      <c r="A530" s="8" t="s">
        <v>2156</v>
      </c>
      <c r="B530" s="8" t="s">
        <v>1641</v>
      </c>
      <c r="C530" s="8">
        <v>48</v>
      </c>
      <c r="D530" s="120" t="s">
        <v>1621</v>
      </c>
      <c r="E530" s="121">
        <v>45082</v>
      </c>
      <c r="F530" s="8">
        <v>120</v>
      </c>
      <c r="G530" s="8">
        <v>4.0999999999999996</v>
      </c>
      <c r="H530" s="82">
        <f>IF(MONTH(TABLE_PIVOT[[#This Row],[Date of Call]])&lt;=6,YEAR(TABLE_PIVOT[[#This Row],[Date of Call]]),YEAR(TABLE_PIVOT[[#This Row],[Date of Call]])+1)</f>
        <v>2023</v>
      </c>
      <c r="I530" s="82" t="str">
        <f>TEXT(TABLE_PIVOT[[#This Row],[Date of Call]],"DDDD")</f>
        <v>Monday</v>
      </c>
      <c r="J530" s="82" t="str" cm="1">
        <f t="array" ref="J530">_xlfn.IFS(TABLE_PIVOT[[#This Row],[Duration]]&lt;=10,"Under 10 Mins",TABLE_PIVOT[[#This Row],[Duration]]&lt;=30,"10 to 30 Mins",TABLE_PIVOT[[#This Row],[Duration]]&lt;=60,"30 to 60 Mins",TABLE_PIVOT[[#This Row],[Duration]]&lt;=120,"1 to 2 Hours",TRUE,"More Than 2 Hours")</f>
        <v>30 to 60 Mins</v>
      </c>
      <c r="K530" s="82">
        <f>ROUND(TABLE_PIVOT[[#This Row],[Satisfaction Rating]],0)</f>
        <v>4</v>
      </c>
    </row>
    <row r="531" spans="1:11" x14ac:dyDescent="0.3">
      <c r="A531" s="8" t="s">
        <v>2157</v>
      </c>
      <c r="B531" s="8" t="s">
        <v>1613</v>
      </c>
      <c r="C531" s="8">
        <v>138</v>
      </c>
      <c r="D531" s="120" t="s">
        <v>1616</v>
      </c>
      <c r="E531" s="121">
        <v>45082</v>
      </c>
      <c r="F531" s="8">
        <v>29</v>
      </c>
      <c r="G531" s="8">
        <v>4.4000000000000004</v>
      </c>
      <c r="H531" s="82">
        <f>IF(MONTH(TABLE_PIVOT[[#This Row],[Date of Call]])&lt;=6,YEAR(TABLE_PIVOT[[#This Row],[Date of Call]]),YEAR(TABLE_PIVOT[[#This Row],[Date of Call]])+1)</f>
        <v>2023</v>
      </c>
      <c r="I531" s="82" t="str">
        <f>TEXT(TABLE_PIVOT[[#This Row],[Date of Call]],"DDDD")</f>
        <v>Monday</v>
      </c>
      <c r="J531" s="82" t="str" cm="1">
        <f t="array" ref="J531">_xlfn.IFS(TABLE_PIVOT[[#This Row],[Duration]]&lt;=10,"Under 10 Mins",TABLE_PIVOT[[#This Row],[Duration]]&lt;=30,"10 to 30 Mins",TABLE_PIVOT[[#This Row],[Duration]]&lt;=60,"30 to 60 Mins",TABLE_PIVOT[[#This Row],[Duration]]&lt;=120,"1 to 2 Hours",TRUE,"More Than 2 Hours")</f>
        <v>More Than 2 Hours</v>
      </c>
      <c r="K531" s="82">
        <f>ROUND(TABLE_PIVOT[[#This Row],[Satisfaction Rating]],0)</f>
        <v>4</v>
      </c>
    </row>
    <row r="532" spans="1:11" x14ac:dyDescent="0.3">
      <c r="A532" s="8" t="s">
        <v>2158</v>
      </c>
      <c r="B532" s="8" t="s">
        <v>1644</v>
      </c>
      <c r="C532" s="8">
        <v>144</v>
      </c>
      <c r="D532" s="120" t="s">
        <v>1616</v>
      </c>
      <c r="E532" s="121">
        <v>45083</v>
      </c>
      <c r="F532" s="8">
        <v>25</v>
      </c>
      <c r="G532" s="8">
        <v>3.7</v>
      </c>
      <c r="H532" s="82">
        <f>IF(MONTH(TABLE_PIVOT[[#This Row],[Date of Call]])&lt;=6,YEAR(TABLE_PIVOT[[#This Row],[Date of Call]]),YEAR(TABLE_PIVOT[[#This Row],[Date of Call]])+1)</f>
        <v>2023</v>
      </c>
      <c r="I532" s="82" t="str">
        <f>TEXT(TABLE_PIVOT[[#This Row],[Date of Call]],"DDDD")</f>
        <v>Tuesday</v>
      </c>
      <c r="J532" s="82" t="str" cm="1">
        <f t="array" ref="J532">_xlfn.IFS(TABLE_PIVOT[[#This Row],[Duration]]&lt;=10,"Under 10 Mins",TABLE_PIVOT[[#This Row],[Duration]]&lt;=30,"10 to 30 Mins",TABLE_PIVOT[[#This Row],[Duration]]&lt;=60,"30 to 60 Mins",TABLE_PIVOT[[#This Row],[Duration]]&lt;=120,"1 to 2 Hours",TRUE,"More Than 2 Hours")</f>
        <v>More Than 2 Hours</v>
      </c>
      <c r="K532" s="82">
        <f>ROUND(TABLE_PIVOT[[#This Row],[Satisfaction Rating]],0)</f>
        <v>4</v>
      </c>
    </row>
    <row r="533" spans="1:11" x14ac:dyDescent="0.3">
      <c r="A533" s="8" t="s">
        <v>2159</v>
      </c>
      <c r="B533" s="8" t="s">
        <v>1662</v>
      </c>
      <c r="C533" s="8">
        <v>119</v>
      </c>
      <c r="D533" s="120" t="s">
        <v>1630</v>
      </c>
      <c r="E533" s="121">
        <v>45084</v>
      </c>
      <c r="F533" s="8">
        <v>116</v>
      </c>
      <c r="G533" s="8">
        <v>3.8</v>
      </c>
      <c r="H533" s="82">
        <f>IF(MONTH(TABLE_PIVOT[[#This Row],[Date of Call]])&lt;=6,YEAR(TABLE_PIVOT[[#This Row],[Date of Call]]),YEAR(TABLE_PIVOT[[#This Row],[Date of Call]])+1)</f>
        <v>2023</v>
      </c>
      <c r="I533" s="82" t="str">
        <f>TEXT(TABLE_PIVOT[[#This Row],[Date of Call]],"DDDD")</f>
        <v>Wednesday</v>
      </c>
      <c r="J533" s="82" t="str" cm="1">
        <f t="array" ref="J533">_xlfn.IFS(TABLE_PIVOT[[#This Row],[Duration]]&lt;=10,"Under 10 Mins",TABLE_PIVOT[[#This Row],[Duration]]&lt;=30,"10 to 30 Mins",TABLE_PIVOT[[#This Row],[Duration]]&lt;=60,"30 to 60 Mins",TABLE_PIVOT[[#This Row],[Duration]]&lt;=120,"1 to 2 Hours",TRUE,"More Than 2 Hours")</f>
        <v>1 to 2 Hours</v>
      </c>
      <c r="K533" s="82">
        <f>ROUND(TABLE_PIVOT[[#This Row],[Satisfaction Rating]],0)</f>
        <v>4</v>
      </c>
    </row>
    <row r="534" spans="1:11" x14ac:dyDescent="0.3">
      <c r="A534" s="8" t="s">
        <v>2160</v>
      </c>
      <c r="B534" s="8" t="s">
        <v>1613</v>
      </c>
      <c r="C534" s="8">
        <v>101</v>
      </c>
      <c r="D534" s="120" t="s">
        <v>1621</v>
      </c>
      <c r="E534" s="121">
        <v>45085</v>
      </c>
      <c r="F534" s="8">
        <v>132</v>
      </c>
      <c r="G534" s="8">
        <v>4.3</v>
      </c>
      <c r="H534" s="82">
        <f>IF(MONTH(TABLE_PIVOT[[#This Row],[Date of Call]])&lt;=6,YEAR(TABLE_PIVOT[[#This Row],[Date of Call]]),YEAR(TABLE_PIVOT[[#This Row],[Date of Call]])+1)</f>
        <v>2023</v>
      </c>
      <c r="I534" s="82" t="str">
        <f>TEXT(TABLE_PIVOT[[#This Row],[Date of Call]],"DDDD")</f>
        <v>Thursday</v>
      </c>
      <c r="J534" s="82" t="str" cm="1">
        <f t="array" ref="J534">_xlfn.IFS(TABLE_PIVOT[[#This Row],[Duration]]&lt;=10,"Under 10 Mins",TABLE_PIVOT[[#This Row],[Duration]]&lt;=30,"10 to 30 Mins",TABLE_PIVOT[[#This Row],[Duration]]&lt;=60,"30 to 60 Mins",TABLE_PIVOT[[#This Row],[Duration]]&lt;=120,"1 to 2 Hours",TRUE,"More Than 2 Hours")</f>
        <v>1 to 2 Hours</v>
      </c>
      <c r="K534" s="82">
        <f>ROUND(TABLE_PIVOT[[#This Row],[Satisfaction Rating]],0)</f>
        <v>4</v>
      </c>
    </row>
    <row r="535" spans="1:11" x14ac:dyDescent="0.3">
      <c r="A535" s="8" t="s">
        <v>2161</v>
      </c>
      <c r="B535" s="8" t="s">
        <v>1644</v>
      </c>
      <c r="C535" s="8">
        <v>59</v>
      </c>
      <c r="D535" s="120" t="s">
        <v>1630</v>
      </c>
      <c r="E535" s="121">
        <v>45086</v>
      </c>
      <c r="F535" s="8">
        <v>90</v>
      </c>
      <c r="G535" s="8">
        <v>3.5</v>
      </c>
      <c r="H535" s="82">
        <f>IF(MONTH(TABLE_PIVOT[[#This Row],[Date of Call]])&lt;=6,YEAR(TABLE_PIVOT[[#This Row],[Date of Call]]),YEAR(TABLE_PIVOT[[#This Row],[Date of Call]])+1)</f>
        <v>2023</v>
      </c>
      <c r="I535" s="82" t="str">
        <f>TEXT(TABLE_PIVOT[[#This Row],[Date of Call]],"DDDD")</f>
        <v>Friday</v>
      </c>
      <c r="J535" s="82" t="str" cm="1">
        <f t="array" ref="J535">_xlfn.IFS(TABLE_PIVOT[[#This Row],[Duration]]&lt;=10,"Under 10 Mins",TABLE_PIVOT[[#This Row],[Duration]]&lt;=30,"10 to 30 Mins",TABLE_PIVOT[[#This Row],[Duration]]&lt;=60,"30 to 60 Mins",TABLE_PIVOT[[#This Row],[Duration]]&lt;=120,"1 to 2 Hours",TRUE,"More Than 2 Hours")</f>
        <v>30 to 60 Mins</v>
      </c>
      <c r="K535" s="82">
        <f>ROUND(TABLE_PIVOT[[#This Row],[Satisfaction Rating]],0)</f>
        <v>4</v>
      </c>
    </row>
    <row r="536" spans="1:11" x14ac:dyDescent="0.3">
      <c r="A536" s="8" t="s">
        <v>2162</v>
      </c>
      <c r="B536" s="8" t="s">
        <v>1633</v>
      </c>
      <c r="C536" s="8">
        <v>125</v>
      </c>
      <c r="D536" s="120" t="s">
        <v>1611</v>
      </c>
      <c r="E536" s="121">
        <v>45086</v>
      </c>
      <c r="F536" s="8">
        <v>87</v>
      </c>
      <c r="G536" s="8">
        <v>4.0999999999999996</v>
      </c>
      <c r="H536" s="82">
        <f>IF(MONTH(TABLE_PIVOT[[#This Row],[Date of Call]])&lt;=6,YEAR(TABLE_PIVOT[[#This Row],[Date of Call]]),YEAR(TABLE_PIVOT[[#This Row],[Date of Call]])+1)</f>
        <v>2023</v>
      </c>
      <c r="I536" s="82" t="str">
        <f>TEXT(TABLE_PIVOT[[#This Row],[Date of Call]],"DDDD")</f>
        <v>Friday</v>
      </c>
      <c r="J536" s="82" t="str" cm="1">
        <f t="array" ref="J536">_xlfn.IFS(TABLE_PIVOT[[#This Row],[Duration]]&lt;=10,"Under 10 Mins",TABLE_PIVOT[[#This Row],[Duration]]&lt;=30,"10 to 30 Mins",TABLE_PIVOT[[#This Row],[Duration]]&lt;=60,"30 to 60 Mins",TABLE_PIVOT[[#This Row],[Duration]]&lt;=120,"1 to 2 Hours",TRUE,"More Than 2 Hours")</f>
        <v>More Than 2 Hours</v>
      </c>
      <c r="K536" s="82">
        <f>ROUND(TABLE_PIVOT[[#This Row],[Satisfaction Rating]],0)</f>
        <v>4</v>
      </c>
    </row>
    <row r="537" spans="1:11" x14ac:dyDescent="0.3">
      <c r="A537" s="8" t="s">
        <v>2163</v>
      </c>
      <c r="B537" s="8" t="s">
        <v>1629</v>
      </c>
      <c r="C537" s="8">
        <v>147</v>
      </c>
      <c r="D537" s="120" t="s">
        <v>1630</v>
      </c>
      <c r="E537" s="121">
        <v>45086</v>
      </c>
      <c r="F537" s="8">
        <v>140</v>
      </c>
      <c r="G537" s="8">
        <v>4.2</v>
      </c>
      <c r="H537" s="82">
        <f>IF(MONTH(TABLE_PIVOT[[#This Row],[Date of Call]])&lt;=6,YEAR(TABLE_PIVOT[[#This Row],[Date of Call]]),YEAR(TABLE_PIVOT[[#This Row],[Date of Call]])+1)</f>
        <v>2023</v>
      </c>
      <c r="I537" s="82" t="str">
        <f>TEXT(TABLE_PIVOT[[#This Row],[Date of Call]],"DDDD")</f>
        <v>Friday</v>
      </c>
      <c r="J537" s="82" t="str" cm="1">
        <f t="array" ref="J537">_xlfn.IFS(TABLE_PIVOT[[#This Row],[Duration]]&lt;=10,"Under 10 Mins",TABLE_PIVOT[[#This Row],[Duration]]&lt;=30,"10 to 30 Mins",TABLE_PIVOT[[#This Row],[Duration]]&lt;=60,"30 to 60 Mins",TABLE_PIVOT[[#This Row],[Duration]]&lt;=120,"1 to 2 Hours",TRUE,"More Than 2 Hours")</f>
        <v>More Than 2 Hours</v>
      </c>
      <c r="K537" s="82">
        <f>ROUND(TABLE_PIVOT[[#This Row],[Satisfaction Rating]],0)</f>
        <v>4</v>
      </c>
    </row>
    <row r="538" spans="1:11" x14ac:dyDescent="0.3">
      <c r="A538" s="8" t="s">
        <v>2164</v>
      </c>
      <c r="B538" s="8" t="s">
        <v>1635</v>
      </c>
      <c r="C538" s="8">
        <v>76</v>
      </c>
      <c r="D538" s="120" t="s">
        <v>1630</v>
      </c>
      <c r="E538" s="121">
        <v>45086</v>
      </c>
      <c r="F538" s="8">
        <v>164</v>
      </c>
      <c r="G538" s="8">
        <v>4.5</v>
      </c>
      <c r="H538" s="82">
        <f>IF(MONTH(TABLE_PIVOT[[#This Row],[Date of Call]])&lt;=6,YEAR(TABLE_PIVOT[[#This Row],[Date of Call]]),YEAR(TABLE_PIVOT[[#This Row],[Date of Call]])+1)</f>
        <v>2023</v>
      </c>
      <c r="I538" s="82" t="str">
        <f>TEXT(TABLE_PIVOT[[#This Row],[Date of Call]],"DDDD")</f>
        <v>Friday</v>
      </c>
      <c r="J538" s="82" t="str" cm="1">
        <f t="array" ref="J538">_xlfn.IFS(TABLE_PIVOT[[#This Row],[Duration]]&lt;=10,"Under 10 Mins",TABLE_PIVOT[[#This Row],[Duration]]&lt;=30,"10 to 30 Mins",TABLE_PIVOT[[#This Row],[Duration]]&lt;=60,"30 to 60 Mins",TABLE_PIVOT[[#This Row],[Duration]]&lt;=120,"1 to 2 Hours",TRUE,"More Than 2 Hours")</f>
        <v>1 to 2 Hours</v>
      </c>
      <c r="K538" s="82">
        <f>ROUND(TABLE_PIVOT[[#This Row],[Satisfaction Rating]],0)</f>
        <v>5</v>
      </c>
    </row>
    <row r="539" spans="1:11" x14ac:dyDescent="0.3">
      <c r="A539" s="8" t="s">
        <v>2165</v>
      </c>
      <c r="B539" s="8" t="s">
        <v>1624</v>
      </c>
      <c r="C539" s="8">
        <v>99</v>
      </c>
      <c r="D539" s="120" t="s">
        <v>1621</v>
      </c>
      <c r="E539" s="121">
        <v>45087</v>
      </c>
      <c r="F539" s="8">
        <v>180</v>
      </c>
      <c r="G539" s="8">
        <v>3.8</v>
      </c>
      <c r="H539" s="82">
        <f>IF(MONTH(TABLE_PIVOT[[#This Row],[Date of Call]])&lt;=6,YEAR(TABLE_PIVOT[[#This Row],[Date of Call]]),YEAR(TABLE_PIVOT[[#This Row],[Date of Call]])+1)</f>
        <v>2023</v>
      </c>
      <c r="I539" s="82" t="str">
        <f>TEXT(TABLE_PIVOT[[#This Row],[Date of Call]],"DDDD")</f>
        <v>Saturday</v>
      </c>
      <c r="J539" s="82" t="str" cm="1">
        <f t="array" ref="J539">_xlfn.IFS(TABLE_PIVOT[[#This Row],[Duration]]&lt;=10,"Under 10 Mins",TABLE_PIVOT[[#This Row],[Duration]]&lt;=30,"10 to 30 Mins",TABLE_PIVOT[[#This Row],[Duration]]&lt;=60,"30 to 60 Mins",TABLE_PIVOT[[#This Row],[Duration]]&lt;=120,"1 to 2 Hours",TRUE,"More Than 2 Hours")</f>
        <v>1 to 2 Hours</v>
      </c>
      <c r="K539" s="82">
        <f>ROUND(TABLE_PIVOT[[#This Row],[Satisfaction Rating]],0)</f>
        <v>4</v>
      </c>
    </row>
    <row r="540" spans="1:11" x14ac:dyDescent="0.3">
      <c r="A540" s="8" t="s">
        <v>2166</v>
      </c>
      <c r="B540" s="8" t="s">
        <v>1682</v>
      </c>
      <c r="C540" s="8">
        <v>111</v>
      </c>
      <c r="D540" s="120" t="s">
        <v>1626</v>
      </c>
      <c r="E540" s="121">
        <v>45088</v>
      </c>
      <c r="F540" s="8">
        <v>22</v>
      </c>
      <c r="G540" s="8">
        <v>4.0999999999999996</v>
      </c>
      <c r="H540" s="82">
        <f>IF(MONTH(TABLE_PIVOT[[#This Row],[Date of Call]])&lt;=6,YEAR(TABLE_PIVOT[[#This Row],[Date of Call]]),YEAR(TABLE_PIVOT[[#This Row],[Date of Call]])+1)</f>
        <v>2023</v>
      </c>
      <c r="I540" s="82" t="str">
        <f>TEXT(TABLE_PIVOT[[#This Row],[Date of Call]],"DDDD")</f>
        <v>Sunday</v>
      </c>
      <c r="J540" s="82" t="str" cm="1">
        <f t="array" ref="J540">_xlfn.IFS(TABLE_PIVOT[[#This Row],[Duration]]&lt;=10,"Under 10 Mins",TABLE_PIVOT[[#This Row],[Duration]]&lt;=30,"10 to 30 Mins",TABLE_PIVOT[[#This Row],[Duration]]&lt;=60,"30 to 60 Mins",TABLE_PIVOT[[#This Row],[Duration]]&lt;=120,"1 to 2 Hours",TRUE,"More Than 2 Hours")</f>
        <v>1 to 2 Hours</v>
      </c>
      <c r="K540" s="82">
        <f>ROUND(TABLE_PIVOT[[#This Row],[Satisfaction Rating]],0)</f>
        <v>4</v>
      </c>
    </row>
    <row r="541" spans="1:11" x14ac:dyDescent="0.3">
      <c r="A541" s="8" t="s">
        <v>2167</v>
      </c>
      <c r="B541" s="8" t="s">
        <v>1620</v>
      </c>
      <c r="C541" s="8">
        <v>147</v>
      </c>
      <c r="D541" s="120" t="s">
        <v>1611</v>
      </c>
      <c r="E541" s="121">
        <v>45088</v>
      </c>
      <c r="F541" s="8">
        <v>82</v>
      </c>
      <c r="G541" s="8">
        <v>4.4000000000000004</v>
      </c>
      <c r="H541" s="82">
        <f>IF(MONTH(TABLE_PIVOT[[#This Row],[Date of Call]])&lt;=6,YEAR(TABLE_PIVOT[[#This Row],[Date of Call]]),YEAR(TABLE_PIVOT[[#This Row],[Date of Call]])+1)</f>
        <v>2023</v>
      </c>
      <c r="I541" s="82" t="str">
        <f>TEXT(TABLE_PIVOT[[#This Row],[Date of Call]],"DDDD")</f>
        <v>Sunday</v>
      </c>
      <c r="J541" s="82" t="str" cm="1">
        <f t="array" ref="J541">_xlfn.IFS(TABLE_PIVOT[[#This Row],[Duration]]&lt;=10,"Under 10 Mins",TABLE_PIVOT[[#This Row],[Duration]]&lt;=30,"10 to 30 Mins",TABLE_PIVOT[[#This Row],[Duration]]&lt;=60,"30 to 60 Mins",TABLE_PIVOT[[#This Row],[Duration]]&lt;=120,"1 to 2 Hours",TRUE,"More Than 2 Hours")</f>
        <v>More Than 2 Hours</v>
      </c>
      <c r="K541" s="82">
        <f>ROUND(TABLE_PIVOT[[#This Row],[Satisfaction Rating]],0)</f>
        <v>4</v>
      </c>
    </row>
    <row r="542" spans="1:11" x14ac:dyDescent="0.3">
      <c r="A542" s="8" t="s">
        <v>2168</v>
      </c>
      <c r="B542" s="8" t="s">
        <v>1610</v>
      </c>
      <c r="C542" s="8">
        <v>141</v>
      </c>
      <c r="D542" s="120" t="s">
        <v>1621</v>
      </c>
      <c r="E542" s="121">
        <v>45088</v>
      </c>
      <c r="F542" s="8">
        <v>100</v>
      </c>
      <c r="G542" s="8">
        <v>4.5999999999999996</v>
      </c>
      <c r="H542" s="82">
        <f>IF(MONTH(TABLE_PIVOT[[#This Row],[Date of Call]])&lt;=6,YEAR(TABLE_PIVOT[[#This Row],[Date of Call]]),YEAR(TABLE_PIVOT[[#This Row],[Date of Call]])+1)</f>
        <v>2023</v>
      </c>
      <c r="I542" s="82" t="str">
        <f>TEXT(TABLE_PIVOT[[#This Row],[Date of Call]],"DDDD")</f>
        <v>Sunday</v>
      </c>
      <c r="J542" s="82" t="str" cm="1">
        <f t="array" ref="J542">_xlfn.IFS(TABLE_PIVOT[[#This Row],[Duration]]&lt;=10,"Under 10 Mins",TABLE_PIVOT[[#This Row],[Duration]]&lt;=30,"10 to 30 Mins",TABLE_PIVOT[[#This Row],[Duration]]&lt;=60,"30 to 60 Mins",TABLE_PIVOT[[#This Row],[Duration]]&lt;=120,"1 to 2 Hours",TRUE,"More Than 2 Hours")</f>
        <v>More Than 2 Hours</v>
      </c>
      <c r="K542" s="82">
        <f>ROUND(TABLE_PIVOT[[#This Row],[Satisfaction Rating]],0)</f>
        <v>5</v>
      </c>
    </row>
    <row r="543" spans="1:11" x14ac:dyDescent="0.3">
      <c r="A543" s="8" t="s">
        <v>2169</v>
      </c>
      <c r="B543" s="8" t="s">
        <v>1635</v>
      </c>
      <c r="C543" s="8">
        <v>71</v>
      </c>
      <c r="D543" s="120" t="s">
        <v>1630</v>
      </c>
      <c r="E543" s="121">
        <v>45089</v>
      </c>
      <c r="F543" s="8">
        <v>52</v>
      </c>
      <c r="G543" s="8">
        <v>3.4</v>
      </c>
      <c r="H543" s="82">
        <f>IF(MONTH(TABLE_PIVOT[[#This Row],[Date of Call]])&lt;=6,YEAR(TABLE_PIVOT[[#This Row],[Date of Call]]),YEAR(TABLE_PIVOT[[#This Row],[Date of Call]])+1)</f>
        <v>2023</v>
      </c>
      <c r="I543" s="82" t="str">
        <f>TEXT(TABLE_PIVOT[[#This Row],[Date of Call]],"DDDD")</f>
        <v>Monday</v>
      </c>
      <c r="J543" s="82" t="str" cm="1">
        <f t="array" ref="J543">_xlfn.IFS(TABLE_PIVOT[[#This Row],[Duration]]&lt;=10,"Under 10 Mins",TABLE_PIVOT[[#This Row],[Duration]]&lt;=30,"10 to 30 Mins",TABLE_PIVOT[[#This Row],[Duration]]&lt;=60,"30 to 60 Mins",TABLE_PIVOT[[#This Row],[Duration]]&lt;=120,"1 to 2 Hours",TRUE,"More Than 2 Hours")</f>
        <v>1 to 2 Hours</v>
      </c>
      <c r="K543" s="82">
        <f>ROUND(TABLE_PIVOT[[#This Row],[Satisfaction Rating]],0)</f>
        <v>3</v>
      </c>
    </row>
    <row r="544" spans="1:11" x14ac:dyDescent="0.3">
      <c r="A544" s="8" t="s">
        <v>2170</v>
      </c>
      <c r="B544" s="8" t="s">
        <v>1635</v>
      </c>
      <c r="C544" s="8">
        <v>121</v>
      </c>
      <c r="D544" s="120" t="s">
        <v>1611</v>
      </c>
      <c r="E544" s="121">
        <v>45090</v>
      </c>
      <c r="F544" s="8">
        <v>84</v>
      </c>
      <c r="G544" s="8">
        <v>4.5999999999999996</v>
      </c>
      <c r="H544" s="82">
        <f>IF(MONTH(TABLE_PIVOT[[#This Row],[Date of Call]])&lt;=6,YEAR(TABLE_PIVOT[[#This Row],[Date of Call]]),YEAR(TABLE_PIVOT[[#This Row],[Date of Call]])+1)</f>
        <v>2023</v>
      </c>
      <c r="I544" s="82" t="str">
        <f>TEXT(TABLE_PIVOT[[#This Row],[Date of Call]],"DDDD")</f>
        <v>Tuesday</v>
      </c>
      <c r="J544" s="82" t="str" cm="1">
        <f t="array" ref="J544">_xlfn.IFS(TABLE_PIVOT[[#This Row],[Duration]]&lt;=10,"Under 10 Mins",TABLE_PIVOT[[#This Row],[Duration]]&lt;=30,"10 to 30 Mins",TABLE_PIVOT[[#This Row],[Duration]]&lt;=60,"30 to 60 Mins",TABLE_PIVOT[[#This Row],[Duration]]&lt;=120,"1 to 2 Hours",TRUE,"More Than 2 Hours")</f>
        <v>More Than 2 Hours</v>
      </c>
      <c r="K544" s="82">
        <f>ROUND(TABLE_PIVOT[[#This Row],[Satisfaction Rating]],0)</f>
        <v>5</v>
      </c>
    </row>
    <row r="545" spans="1:11" x14ac:dyDescent="0.3">
      <c r="A545" s="8" t="s">
        <v>2171</v>
      </c>
      <c r="B545" s="8" t="s">
        <v>1635</v>
      </c>
      <c r="C545" s="8">
        <v>60</v>
      </c>
      <c r="D545" s="120" t="s">
        <v>1611</v>
      </c>
      <c r="E545" s="121">
        <v>45090</v>
      </c>
      <c r="F545" s="8">
        <v>37</v>
      </c>
      <c r="G545" s="8">
        <v>3.9</v>
      </c>
      <c r="H545" s="82">
        <f>IF(MONTH(TABLE_PIVOT[[#This Row],[Date of Call]])&lt;=6,YEAR(TABLE_PIVOT[[#This Row],[Date of Call]]),YEAR(TABLE_PIVOT[[#This Row],[Date of Call]])+1)</f>
        <v>2023</v>
      </c>
      <c r="I545" s="82" t="str">
        <f>TEXT(TABLE_PIVOT[[#This Row],[Date of Call]],"DDDD")</f>
        <v>Tuesday</v>
      </c>
      <c r="J545" s="82" t="str" cm="1">
        <f t="array" ref="J545">_xlfn.IFS(TABLE_PIVOT[[#This Row],[Duration]]&lt;=10,"Under 10 Mins",TABLE_PIVOT[[#This Row],[Duration]]&lt;=30,"10 to 30 Mins",TABLE_PIVOT[[#This Row],[Duration]]&lt;=60,"30 to 60 Mins",TABLE_PIVOT[[#This Row],[Duration]]&lt;=120,"1 to 2 Hours",TRUE,"More Than 2 Hours")</f>
        <v>30 to 60 Mins</v>
      </c>
      <c r="K545" s="82">
        <f>ROUND(TABLE_PIVOT[[#This Row],[Satisfaction Rating]],0)</f>
        <v>4</v>
      </c>
    </row>
    <row r="546" spans="1:11" x14ac:dyDescent="0.3">
      <c r="A546" s="8" t="s">
        <v>2172</v>
      </c>
      <c r="B546" s="8" t="s">
        <v>1649</v>
      </c>
      <c r="C546" s="8">
        <v>158</v>
      </c>
      <c r="D546" s="120" t="s">
        <v>1621</v>
      </c>
      <c r="E546" s="121">
        <v>45091</v>
      </c>
      <c r="F546" s="8">
        <v>190</v>
      </c>
      <c r="G546" s="8">
        <v>4</v>
      </c>
      <c r="H546" s="82">
        <f>IF(MONTH(TABLE_PIVOT[[#This Row],[Date of Call]])&lt;=6,YEAR(TABLE_PIVOT[[#This Row],[Date of Call]]),YEAR(TABLE_PIVOT[[#This Row],[Date of Call]])+1)</f>
        <v>2023</v>
      </c>
      <c r="I546" s="82" t="str">
        <f>TEXT(TABLE_PIVOT[[#This Row],[Date of Call]],"DDDD")</f>
        <v>Wednesday</v>
      </c>
      <c r="J546" s="82" t="str" cm="1">
        <f t="array" ref="J546">_xlfn.IFS(TABLE_PIVOT[[#This Row],[Duration]]&lt;=10,"Under 10 Mins",TABLE_PIVOT[[#This Row],[Duration]]&lt;=30,"10 to 30 Mins",TABLE_PIVOT[[#This Row],[Duration]]&lt;=60,"30 to 60 Mins",TABLE_PIVOT[[#This Row],[Duration]]&lt;=120,"1 to 2 Hours",TRUE,"More Than 2 Hours")</f>
        <v>More Than 2 Hours</v>
      </c>
      <c r="K546" s="82">
        <f>ROUND(TABLE_PIVOT[[#This Row],[Satisfaction Rating]],0)</f>
        <v>4</v>
      </c>
    </row>
    <row r="547" spans="1:11" x14ac:dyDescent="0.3">
      <c r="A547" s="8" t="s">
        <v>2173</v>
      </c>
      <c r="B547" s="8" t="s">
        <v>1629</v>
      </c>
      <c r="C547" s="8">
        <v>159</v>
      </c>
      <c r="D547" s="120" t="s">
        <v>1616</v>
      </c>
      <c r="E547" s="121">
        <v>45091</v>
      </c>
      <c r="F547" s="8">
        <v>66</v>
      </c>
      <c r="G547" s="8">
        <v>3.4</v>
      </c>
      <c r="H547" s="82">
        <f>IF(MONTH(TABLE_PIVOT[[#This Row],[Date of Call]])&lt;=6,YEAR(TABLE_PIVOT[[#This Row],[Date of Call]]),YEAR(TABLE_PIVOT[[#This Row],[Date of Call]])+1)</f>
        <v>2023</v>
      </c>
      <c r="I547" s="82" t="str">
        <f>TEXT(TABLE_PIVOT[[#This Row],[Date of Call]],"DDDD")</f>
        <v>Wednesday</v>
      </c>
      <c r="J547" s="82" t="str" cm="1">
        <f t="array" ref="J547">_xlfn.IFS(TABLE_PIVOT[[#This Row],[Duration]]&lt;=10,"Under 10 Mins",TABLE_PIVOT[[#This Row],[Duration]]&lt;=30,"10 to 30 Mins",TABLE_PIVOT[[#This Row],[Duration]]&lt;=60,"30 to 60 Mins",TABLE_PIVOT[[#This Row],[Duration]]&lt;=120,"1 to 2 Hours",TRUE,"More Than 2 Hours")</f>
        <v>More Than 2 Hours</v>
      </c>
      <c r="K547" s="82">
        <f>ROUND(TABLE_PIVOT[[#This Row],[Satisfaction Rating]],0)</f>
        <v>3</v>
      </c>
    </row>
    <row r="548" spans="1:11" x14ac:dyDescent="0.3">
      <c r="A548" s="8" t="s">
        <v>2174</v>
      </c>
      <c r="B548" s="8" t="s">
        <v>1613</v>
      </c>
      <c r="C548" s="8">
        <v>70</v>
      </c>
      <c r="D548" s="120" t="s">
        <v>1630</v>
      </c>
      <c r="E548" s="121">
        <v>45092</v>
      </c>
      <c r="F548" s="8">
        <v>116</v>
      </c>
      <c r="G548" s="8">
        <v>3.2</v>
      </c>
      <c r="H548" s="82">
        <f>IF(MONTH(TABLE_PIVOT[[#This Row],[Date of Call]])&lt;=6,YEAR(TABLE_PIVOT[[#This Row],[Date of Call]]),YEAR(TABLE_PIVOT[[#This Row],[Date of Call]])+1)</f>
        <v>2023</v>
      </c>
      <c r="I548" s="82" t="str">
        <f>TEXT(TABLE_PIVOT[[#This Row],[Date of Call]],"DDDD")</f>
        <v>Thursday</v>
      </c>
      <c r="J548" s="82" t="str" cm="1">
        <f t="array" ref="J548">_xlfn.IFS(TABLE_PIVOT[[#This Row],[Duration]]&lt;=10,"Under 10 Mins",TABLE_PIVOT[[#This Row],[Duration]]&lt;=30,"10 to 30 Mins",TABLE_PIVOT[[#This Row],[Duration]]&lt;=60,"30 to 60 Mins",TABLE_PIVOT[[#This Row],[Duration]]&lt;=120,"1 to 2 Hours",TRUE,"More Than 2 Hours")</f>
        <v>1 to 2 Hours</v>
      </c>
      <c r="K548" s="82">
        <f>ROUND(TABLE_PIVOT[[#This Row],[Satisfaction Rating]],0)</f>
        <v>3</v>
      </c>
    </row>
    <row r="549" spans="1:11" x14ac:dyDescent="0.3">
      <c r="A549" s="8" t="s">
        <v>2175</v>
      </c>
      <c r="B549" s="8" t="s">
        <v>1652</v>
      </c>
      <c r="C549" s="8">
        <v>78</v>
      </c>
      <c r="D549" s="120" t="s">
        <v>1626</v>
      </c>
      <c r="E549" s="121">
        <v>45092</v>
      </c>
      <c r="F549" s="8">
        <v>28</v>
      </c>
      <c r="G549" s="8">
        <v>3.9</v>
      </c>
      <c r="H549" s="82">
        <f>IF(MONTH(TABLE_PIVOT[[#This Row],[Date of Call]])&lt;=6,YEAR(TABLE_PIVOT[[#This Row],[Date of Call]]),YEAR(TABLE_PIVOT[[#This Row],[Date of Call]])+1)</f>
        <v>2023</v>
      </c>
      <c r="I549" s="82" t="str">
        <f>TEXT(TABLE_PIVOT[[#This Row],[Date of Call]],"DDDD")</f>
        <v>Thursday</v>
      </c>
      <c r="J549" s="82" t="str" cm="1">
        <f t="array" ref="J549">_xlfn.IFS(TABLE_PIVOT[[#This Row],[Duration]]&lt;=10,"Under 10 Mins",TABLE_PIVOT[[#This Row],[Duration]]&lt;=30,"10 to 30 Mins",TABLE_PIVOT[[#This Row],[Duration]]&lt;=60,"30 to 60 Mins",TABLE_PIVOT[[#This Row],[Duration]]&lt;=120,"1 to 2 Hours",TRUE,"More Than 2 Hours")</f>
        <v>1 to 2 Hours</v>
      </c>
      <c r="K549" s="82">
        <f>ROUND(TABLE_PIVOT[[#This Row],[Satisfaction Rating]],0)</f>
        <v>4</v>
      </c>
    </row>
    <row r="550" spans="1:11" x14ac:dyDescent="0.3">
      <c r="A550" s="8" t="s">
        <v>2176</v>
      </c>
      <c r="B550" s="8" t="s">
        <v>1620</v>
      </c>
      <c r="C550" s="8">
        <v>103</v>
      </c>
      <c r="D550" s="120" t="s">
        <v>1630</v>
      </c>
      <c r="E550" s="121">
        <v>45092</v>
      </c>
      <c r="F550" s="8">
        <v>120</v>
      </c>
      <c r="G550" s="8">
        <v>5</v>
      </c>
      <c r="H550" s="82">
        <f>IF(MONTH(TABLE_PIVOT[[#This Row],[Date of Call]])&lt;=6,YEAR(TABLE_PIVOT[[#This Row],[Date of Call]]),YEAR(TABLE_PIVOT[[#This Row],[Date of Call]])+1)</f>
        <v>2023</v>
      </c>
      <c r="I550" s="82" t="str">
        <f>TEXT(TABLE_PIVOT[[#This Row],[Date of Call]],"DDDD")</f>
        <v>Thursday</v>
      </c>
      <c r="J550" s="82" t="str" cm="1">
        <f t="array" ref="J550">_xlfn.IFS(TABLE_PIVOT[[#This Row],[Duration]]&lt;=10,"Under 10 Mins",TABLE_PIVOT[[#This Row],[Duration]]&lt;=30,"10 to 30 Mins",TABLE_PIVOT[[#This Row],[Duration]]&lt;=60,"30 to 60 Mins",TABLE_PIVOT[[#This Row],[Duration]]&lt;=120,"1 to 2 Hours",TRUE,"More Than 2 Hours")</f>
        <v>1 to 2 Hours</v>
      </c>
      <c r="K550" s="82">
        <f>ROUND(TABLE_PIVOT[[#This Row],[Satisfaction Rating]],0)</f>
        <v>5</v>
      </c>
    </row>
    <row r="551" spans="1:11" x14ac:dyDescent="0.3">
      <c r="A551" s="8" t="s">
        <v>2177</v>
      </c>
      <c r="B551" s="8" t="s">
        <v>1615</v>
      </c>
      <c r="C551" s="8">
        <v>108</v>
      </c>
      <c r="D551" s="120" t="s">
        <v>1621</v>
      </c>
      <c r="E551" s="121">
        <v>45092</v>
      </c>
      <c r="F551" s="8">
        <v>56</v>
      </c>
      <c r="G551" s="8">
        <v>3.5</v>
      </c>
      <c r="H551" s="82">
        <f>IF(MONTH(TABLE_PIVOT[[#This Row],[Date of Call]])&lt;=6,YEAR(TABLE_PIVOT[[#This Row],[Date of Call]]),YEAR(TABLE_PIVOT[[#This Row],[Date of Call]])+1)</f>
        <v>2023</v>
      </c>
      <c r="I551" s="82" t="str">
        <f>TEXT(TABLE_PIVOT[[#This Row],[Date of Call]],"DDDD")</f>
        <v>Thursday</v>
      </c>
      <c r="J551" s="82" t="str" cm="1">
        <f t="array" ref="J551">_xlfn.IFS(TABLE_PIVOT[[#This Row],[Duration]]&lt;=10,"Under 10 Mins",TABLE_PIVOT[[#This Row],[Duration]]&lt;=30,"10 to 30 Mins",TABLE_PIVOT[[#This Row],[Duration]]&lt;=60,"30 to 60 Mins",TABLE_PIVOT[[#This Row],[Duration]]&lt;=120,"1 to 2 Hours",TRUE,"More Than 2 Hours")</f>
        <v>1 to 2 Hours</v>
      </c>
      <c r="K551" s="82">
        <f>ROUND(TABLE_PIVOT[[#This Row],[Satisfaction Rating]],0)</f>
        <v>4</v>
      </c>
    </row>
    <row r="552" spans="1:11" x14ac:dyDescent="0.3">
      <c r="A552" s="8" t="s">
        <v>2178</v>
      </c>
      <c r="B552" s="8" t="s">
        <v>1615</v>
      </c>
      <c r="C552" s="8">
        <v>44</v>
      </c>
      <c r="D552" s="120" t="s">
        <v>1611</v>
      </c>
      <c r="E552" s="121">
        <v>45092</v>
      </c>
      <c r="F552" s="8">
        <v>170</v>
      </c>
      <c r="G552" s="8">
        <v>3.8</v>
      </c>
      <c r="H552" s="82">
        <f>IF(MONTH(TABLE_PIVOT[[#This Row],[Date of Call]])&lt;=6,YEAR(TABLE_PIVOT[[#This Row],[Date of Call]]),YEAR(TABLE_PIVOT[[#This Row],[Date of Call]])+1)</f>
        <v>2023</v>
      </c>
      <c r="I552" s="82" t="str">
        <f>TEXT(TABLE_PIVOT[[#This Row],[Date of Call]],"DDDD")</f>
        <v>Thursday</v>
      </c>
      <c r="J552" s="82" t="str" cm="1">
        <f t="array" ref="J552">_xlfn.IFS(TABLE_PIVOT[[#This Row],[Duration]]&lt;=10,"Under 10 Mins",TABLE_PIVOT[[#This Row],[Duration]]&lt;=30,"10 to 30 Mins",TABLE_PIVOT[[#This Row],[Duration]]&lt;=60,"30 to 60 Mins",TABLE_PIVOT[[#This Row],[Duration]]&lt;=120,"1 to 2 Hours",TRUE,"More Than 2 Hours")</f>
        <v>30 to 60 Mins</v>
      </c>
      <c r="K552" s="82">
        <f>ROUND(TABLE_PIVOT[[#This Row],[Satisfaction Rating]],0)</f>
        <v>4</v>
      </c>
    </row>
    <row r="553" spans="1:11" x14ac:dyDescent="0.3">
      <c r="A553" s="8" t="s">
        <v>2179</v>
      </c>
      <c r="B553" s="8" t="s">
        <v>1652</v>
      </c>
      <c r="C553" s="8">
        <v>127</v>
      </c>
      <c r="D553" s="120" t="s">
        <v>1621</v>
      </c>
      <c r="E553" s="121">
        <v>45093</v>
      </c>
      <c r="F553" s="8">
        <v>200</v>
      </c>
      <c r="G553" s="8">
        <v>4.8</v>
      </c>
      <c r="H553" s="82">
        <f>IF(MONTH(TABLE_PIVOT[[#This Row],[Date of Call]])&lt;=6,YEAR(TABLE_PIVOT[[#This Row],[Date of Call]]),YEAR(TABLE_PIVOT[[#This Row],[Date of Call]])+1)</f>
        <v>2023</v>
      </c>
      <c r="I553" s="82" t="str">
        <f>TEXT(TABLE_PIVOT[[#This Row],[Date of Call]],"DDDD")</f>
        <v>Friday</v>
      </c>
      <c r="J553" s="82" t="str" cm="1">
        <f t="array" ref="J553">_xlfn.IFS(TABLE_PIVOT[[#This Row],[Duration]]&lt;=10,"Under 10 Mins",TABLE_PIVOT[[#This Row],[Duration]]&lt;=30,"10 to 30 Mins",TABLE_PIVOT[[#This Row],[Duration]]&lt;=60,"30 to 60 Mins",TABLE_PIVOT[[#This Row],[Duration]]&lt;=120,"1 to 2 Hours",TRUE,"More Than 2 Hours")</f>
        <v>More Than 2 Hours</v>
      </c>
      <c r="K553" s="82">
        <f>ROUND(TABLE_PIVOT[[#This Row],[Satisfaction Rating]],0)</f>
        <v>5</v>
      </c>
    </row>
    <row r="554" spans="1:11" x14ac:dyDescent="0.3">
      <c r="A554" s="8" t="s">
        <v>2180</v>
      </c>
      <c r="B554" s="8" t="s">
        <v>1620</v>
      </c>
      <c r="C554" s="8">
        <v>132</v>
      </c>
      <c r="D554" s="120" t="s">
        <v>1630</v>
      </c>
      <c r="E554" s="121">
        <v>45094</v>
      </c>
      <c r="F554" s="8">
        <v>50</v>
      </c>
      <c r="G554" s="8">
        <v>4.2</v>
      </c>
      <c r="H554" s="82">
        <f>IF(MONTH(TABLE_PIVOT[[#This Row],[Date of Call]])&lt;=6,YEAR(TABLE_PIVOT[[#This Row],[Date of Call]]),YEAR(TABLE_PIVOT[[#This Row],[Date of Call]])+1)</f>
        <v>2023</v>
      </c>
      <c r="I554" s="82" t="str">
        <f>TEXT(TABLE_PIVOT[[#This Row],[Date of Call]],"DDDD")</f>
        <v>Saturday</v>
      </c>
      <c r="J554" s="82" t="str" cm="1">
        <f t="array" ref="J554">_xlfn.IFS(TABLE_PIVOT[[#This Row],[Duration]]&lt;=10,"Under 10 Mins",TABLE_PIVOT[[#This Row],[Duration]]&lt;=30,"10 to 30 Mins",TABLE_PIVOT[[#This Row],[Duration]]&lt;=60,"30 to 60 Mins",TABLE_PIVOT[[#This Row],[Duration]]&lt;=120,"1 to 2 Hours",TRUE,"More Than 2 Hours")</f>
        <v>More Than 2 Hours</v>
      </c>
      <c r="K554" s="82">
        <f>ROUND(TABLE_PIVOT[[#This Row],[Satisfaction Rating]],0)</f>
        <v>4</v>
      </c>
    </row>
    <row r="555" spans="1:11" x14ac:dyDescent="0.3">
      <c r="A555" s="8" t="s">
        <v>2181</v>
      </c>
      <c r="B555" s="8" t="s">
        <v>1610</v>
      </c>
      <c r="C555" s="8">
        <v>106</v>
      </c>
      <c r="D555" s="120" t="s">
        <v>1626</v>
      </c>
      <c r="E555" s="121">
        <v>45094</v>
      </c>
      <c r="F555" s="8">
        <v>112</v>
      </c>
      <c r="G555" s="8">
        <v>3.7</v>
      </c>
      <c r="H555" s="82">
        <f>IF(MONTH(TABLE_PIVOT[[#This Row],[Date of Call]])&lt;=6,YEAR(TABLE_PIVOT[[#This Row],[Date of Call]]),YEAR(TABLE_PIVOT[[#This Row],[Date of Call]])+1)</f>
        <v>2023</v>
      </c>
      <c r="I555" s="82" t="str">
        <f>TEXT(TABLE_PIVOT[[#This Row],[Date of Call]],"DDDD")</f>
        <v>Saturday</v>
      </c>
      <c r="J555" s="82" t="str" cm="1">
        <f t="array" ref="J555">_xlfn.IFS(TABLE_PIVOT[[#This Row],[Duration]]&lt;=10,"Under 10 Mins",TABLE_PIVOT[[#This Row],[Duration]]&lt;=30,"10 to 30 Mins",TABLE_PIVOT[[#This Row],[Duration]]&lt;=60,"30 to 60 Mins",TABLE_PIVOT[[#This Row],[Duration]]&lt;=120,"1 to 2 Hours",TRUE,"More Than 2 Hours")</f>
        <v>1 to 2 Hours</v>
      </c>
      <c r="K555" s="82">
        <f>ROUND(TABLE_PIVOT[[#This Row],[Satisfaction Rating]],0)</f>
        <v>4</v>
      </c>
    </row>
    <row r="556" spans="1:11" x14ac:dyDescent="0.3">
      <c r="A556" s="8" t="s">
        <v>2182</v>
      </c>
      <c r="B556" s="8" t="s">
        <v>1682</v>
      </c>
      <c r="C556" s="8">
        <v>107</v>
      </c>
      <c r="D556" s="120" t="s">
        <v>1630</v>
      </c>
      <c r="E556" s="121">
        <v>45095</v>
      </c>
      <c r="F556" s="8">
        <v>39</v>
      </c>
      <c r="G556" s="8">
        <v>4.8</v>
      </c>
      <c r="H556" s="82">
        <f>IF(MONTH(TABLE_PIVOT[[#This Row],[Date of Call]])&lt;=6,YEAR(TABLE_PIVOT[[#This Row],[Date of Call]]),YEAR(TABLE_PIVOT[[#This Row],[Date of Call]])+1)</f>
        <v>2023</v>
      </c>
      <c r="I556" s="82" t="str">
        <f>TEXT(TABLE_PIVOT[[#This Row],[Date of Call]],"DDDD")</f>
        <v>Sunday</v>
      </c>
      <c r="J556" s="82" t="str" cm="1">
        <f t="array" ref="J556">_xlfn.IFS(TABLE_PIVOT[[#This Row],[Duration]]&lt;=10,"Under 10 Mins",TABLE_PIVOT[[#This Row],[Duration]]&lt;=30,"10 to 30 Mins",TABLE_PIVOT[[#This Row],[Duration]]&lt;=60,"30 to 60 Mins",TABLE_PIVOT[[#This Row],[Duration]]&lt;=120,"1 to 2 Hours",TRUE,"More Than 2 Hours")</f>
        <v>1 to 2 Hours</v>
      </c>
      <c r="K556" s="82">
        <f>ROUND(TABLE_PIVOT[[#This Row],[Satisfaction Rating]],0)</f>
        <v>5</v>
      </c>
    </row>
    <row r="557" spans="1:11" x14ac:dyDescent="0.3">
      <c r="A557" s="8" t="s">
        <v>2183</v>
      </c>
      <c r="B557" s="8" t="s">
        <v>1629</v>
      </c>
      <c r="C557" s="8">
        <v>85</v>
      </c>
      <c r="D557" s="120" t="s">
        <v>1626</v>
      </c>
      <c r="E557" s="121">
        <v>45095</v>
      </c>
      <c r="F557" s="8">
        <v>38</v>
      </c>
      <c r="G557" s="8">
        <v>4.8</v>
      </c>
      <c r="H557" s="82">
        <f>IF(MONTH(TABLE_PIVOT[[#This Row],[Date of Call]])&lt;=6,YEAR(TABLE_PIVOT[[#This Row],[Date of Call]]),YEAR(TABLE_PIVOT[[#This Row],[Date of Call]])+1)</f>
        <v>2023</v>
      </c>
      <c r="I557" s="82" t="str">
        <f>TEXT(TABLE_PIVOT[[#This Row],[Date of Call]],"DDDD")</f>
        <v>Sunday</v>
      </c>
      <c r="J557" s="82" t="str" cm="1">
        <f t="array" ref="J557">_xlfn.IFS(TABLE_PIVOT[[#This Row],[Duration]]&lt;=10,"Under 10 Mins",TABLE_PIVOT[[#This Row],[Duration]]&lt;=30,"10 to 30 Mins",TABLE_PIVOT[[#This Row],[Duration]]&lt;=60,"30 to 60 Mins",TABLE_PIVOT[[#This Row],[Duration]]&lt;=120,"1 to 2 Hours",TRUE,"More Than 2 Hours")</f>
        <v>1 to 2 Hours</v>
      </c>
      <c r="K557" s="82">
        <f>ROUND(TABLE_PIVOT[[#This Row],[Satisfaction Rating]],0)</f>
        <v>5</v>
      </c>
    </row>
    <row r="558" spans="1:11" x14ac:dyDescent="0.3">
      <c r="A558" s="8" t="s">
        <v>2184</v>
      </c>
      <c r="B558" s="8" t="s">
        <v>1624</v>
      </c>
      <c r="C558" s="8">
        <v>49</v>
      </c>
      <c r="D558" s="120" t="s">
        <v>1630</v>
      </c>
      <c r="E558" s="121">
        <v>45096</v>
      </c>
      <c r="F558" s="8">
        <v>84</v>
      </c>
      <c r="G558" s="8">
        <v>2.9</v>
      </c>
      <c r="H558" s="82">
        <f>IF(MONTH(TABLE_PIVOT[[#This Row],[Date of Call]])&lt;=6,YEAR(TABLE_PIVOT[[#This Row],[Date of Call]]),YEAR(TABLE_PIVOT[[#This Row],[Date of Call]])+1)</f>
        <v>2023</v>
      </c>
      <c r="I558" s="82" t="str">
        <f>TEXT(TABLE_PIVOT[[#This Row],[Date of Call]],"DDDD")</f>
        <v>Monday</v>
      </c>
      <c r="J558" s="82" t="str" cm="1">
        <f t="array" ref="J558">_xlfn.IFS(TABLE_PIVOT[[#This Row],[Duration]]&lt;=10,"Under 10 Mins",TABLE_PIVOT[[#This Row],[Duration]]&lt;=30,"10 to 30 Mins",TABLE_PIVOT[[#This Row],[Duration]]&lt;=60,"30 to 60 Mins",TABLE_PIVOT[[#This Row],[Duration]]&lt;=120,"1 to 2 Hours",TRUE,"More Than 2 Hours")</f>
        <v>30 to 60 Mins</v>
      </c>
      <c r="K558" s="82">
        <f>ROUND(TABLE_PIVOT[[#This Row],[Satisfaction Rating]],0)</f>
        <v>3</v>
      </c>
    </row>
    <row r="559" spans="1:11" x14ac:dyDescent="0.3">
      <c r="A559" s="8" t="s">
        <v>2185</v>
      </c>
      <c r="B559" s="8" t="s">
        <v>1635</v>
      </c>
      <c r="C559" s="8">
        <v>117</v>
      </c>
      <c r="D559" s="120" t="s">
        <v>1621</v>
      </c>
      <c r="E559" s="121">
        <v>45097</v>
      </c>
      <c r="F559" s="8">
        <v>82</v>
      </c>
      <c r="G559" s="8">
        <v>3.5</v>
      </c>
      <c r="H559" s="82">
        <f>IF(MONTH(TABLE_PIVOT[[#This Row],[Date of Call]])&lt;=6,YEAR(TABLE_PIVOT[[#This Row],[Date of Call]]),YEAR(TABLE_PIVOT[[#This Row],[Date of Call]])+1)</f>
        <v>2023</v>
      </c>
      <c r="I559" s="82" t="str">
        <f>TEXT(TABLE_PIVOT[[#This Row],[Date of Call]],"DDDD")</f>
        <v>Tuesday</v>
      </c>
      <c r="J559" s="82" t="str" cm="1">
        <f t="array" ref="J559">_xlfn.IFS(TABLE_PIVOT[[#This Row],[Duration]]&lt;=10,"Under 10 Mins",TABLE_PIVOT[[#This Row],[Duration]]&lt;=30,"10 to 30 Mins",TABLE_PIVOT[[#This Row],[Duration]]&lt;=60,"30 to 60 Mins",TABLE_PIVOT[[#This Row],[Duration]]&lt;=120,"1 to 2 Hours",TRUE,"More Than 2 Hours")</f>
        <v>1 to 2 Hours</v>
      </c>
      <c r="K559" s="82">
        <f>ROUND(TABLE_PIVOT[[#This Row],[Satisfaction Rating]],0)</f>
        <v>4</v>
      </c>
    </row>
    <row r="560" spans="1:11" x14ac:dyDescent="0.3">
      <c r="A560" s="8" t="s">
        <v>2186</v>
      </c>
      <c r="B560" s="8" t="s">
        <v>1682</v>
      </c>
      <c r="C560" s="8">
        <v>136</v>
      </c>
      <c r="D560" s="120" t="s">
        <v>1626</v>
      </c>
      <c r="E560" s="121">
        <v>45097</v>
      </c>
      <c r="F560" s="8">
        <v>37</v>
      </c>
      <c r="G560" s="8">
        <v>0.9</v>
      </c>
      <c r="H560" s="82">
        <f>IF(MONTH(TABLE_PIVOT[[#This Row],[Date of Call]])&lt;=6,YEAR(TABLE_PIVOT[[#This Row],[Date of Call]]),YEAR(TABLE_PIVOT[[#This Row],[Date of Call]])+1)</f>
        <v>2023</v>
      </c>
      <c r="I560" s="82" t="str">
        <f>TEXT(TABLE_PIVOT[[#This Row],[Date of Call]],"DDDD")</f>
        <v>Tuesday</v>
      </c>
      <c r="J560" s="82" t="str" cm="1">
        <f t="array" ref="J560">_xlfn.IFS(TABLE_PIVOT[[#This Row],[Duration]]&lt;=10,"Under 10 Mins",TABLE_PIVOT[[#This Row],[Duration]]&lt;=30,"10 to 30 Mins",TABLE_PIVOT[[#This Row],[Duration]]&lt;=60,"30 to 60 Mins",TABLE_PIVOT[[#This Row],[Duration]]&lt;=120,"1 to 2 Hours",TRUE,"More Than 2 Hours")</f>
        <v>More Than 2 Hours</v>
      </c>
      <c r="K560" s="82">
        <f>ROUND(TABLE_PIVOT[[#This Row],[Satisfaction Rating]],0)</f>
        <v>1</v>
      </c>
    </row>
    <row r="561" spans="1:11" x14ac:dyDescent="0.3">
      <c r="A561" s="8" t="s">
        <v>2187</v>
      </c>
      <c r="B561" s="8" t="s">
        <v>1615</v>
      </c>
      <c r="C561" s="8">
        <v>130</v>
      </c>
      <c r="D561" s="120" t="s">
        <v>1616</v>
      </c>
      <c r="E561" s="121">
        <v>45098</v>
      </c>
      <c r="F561" s="8">
        <v>87</v>
      </c>
      <c r="G561" s="8">
        <v>3.4</v>
      </c>
      <c r="H561" s="82">
        <f>IF(MONTH(TABLE_PIVOT[[#This Row],[Date of Call]])&lt;=6,YEAR(TABLE_PIVOT[[#This Row],[Date of Call]]),YEAR(TABLE_PIVOT[[#This Row],[Date of Call]])+1)</f>
        <v>2023</v>
      </c>
      <c r="I561" s="82" t="str">
        <f>TEXT(TABLE_PIVOT[[#This Row],[Date of Call]],"DDDD")</f>
        <v>Wednesday</v>
      </c>
      <c r="J561" s="82" t="str" cm="1">
        <f t="array" ref="J561">_xlfn.IFS(TABLE_PIVOT[[#This Row],[Duration]]&lt;=10,"Under 10 Mins",TABLE_PIVOT[[#This Row],[Duration]]&lt;=30,"10 to 30 Mins",TABLE_PIVOT[[#This Row],[Duration]]&lt;=60,"30 to 60 Mins",TABLE_PIVOT[[#This Row],[Duration]]&lt;=120,"1 to 2 Hours",TRUE,"More Than 2 Hours")</f>
        <v>More Than 2 Hours</v>
      </c>
      <c r="K561" s="82">
        <f>ROUND(TABLE_PIVOT[[#This Row],[Satisfaction Rating]],0)</f>
        <v>3</v>
      </c>
    </row>
    <row r="562" spans="1:11" x14ac:dyDescent="0.3">
      <c r="A562" s="8" t="s">
        <v>2188</v>
      </c>
      <c r="B562" s="8" t="s">
        <v>1615</v>
      </c>
      <c r="C562" s="8">
        <v>73</v>
      </c>
      <c r="D562" s="120" t="s">
        <v>1616</v>
      </c>
      <c r="E562" s="121">
        <v>45098</v>
      </c>
      <c r="F562" s="8">
        <v>75</v>
      </c>
      <c r="G562" s="8">
        <v>2.7</v>
      </c>
      <c r="H562" s="82">
        <f>IF(MONTH(TABLE_PIVOT[[#This Row],[Date of Call]])&lt;=6,YEAR(TABLE_PIVOT[[#This Row],[Date of Call]]),YEAR(TABLE_PIVOT[[#This Row],[Date of Call]])+1)</f>
        <v>2023</v>
      </c>
      <c r="I562" s="82" t="str">
        <f>TEXT(TABLE_PIVOT[[#This Row],[Date of Call]],"DDDD")</f>
        <v>Wednesday</v>
      </c>
      <c r="J562" s="82" t="str" cm="1">
        <f t="array" ref="J562">_xlfn.IFS(TABLE_PIVOT[[#This Row],[Duration]]&lt;=10,"Under 10 Mins",TABLE_PIVOT[[#This Row],[Duration]]&lt;=30,"10 to 30 Mins",TABLE_PIVOT[[#This Row],[Duration]]&lt;=60,"30 to 60 Mins",TABLE_PIVOT[[#This Row],[Duration]]&lt;=120,"1 to 2 Hours",TRUE,"More Than 2 Hours")</f>
        <v>1 to 2 Hours</v>
      </c>
      <c r="K562" s="82">
        <f>ROUND(TABLE_PIVOT[[#This Row],[Satisfaction Rating]],0)</f>
        <v>3</v>
      </c>
    </row>
    <row r="563" spans="1:11" x14ac:dyDescent="0.3">
      <c r="A563" s="8" t="s">
        <v>2189</v>
      </c>
      <c r="B563" s="8" t="s">
        <v>1624</v>
      </c>
      <c r="C563" s="8">
        <v>80</v>
      </c>
      <c r="D563" s="120" t="s">
        <v>1630</v>
      </c>
      <c r="E563" s="121">
        <v>45098</v>
      </c>
      <c r="F563" s="8">
        <v>32</v>
      </c>
      <c r="G563" s="8">
        <v>4.7</v>
      </c>
      <c r="H563" s="82">
        <f>IF(MONTH(TABLE_PIVOT[[#This Row],[Date of Call]])&lt;=6,YEAR(TABLE_PIVOT[[#This Row],[Date of Call]]),YEAR(TABLE_PIVOT[[#This Row],[Date of Call]])+1)</f>
        <v>2023</v>
      </c>
      <c r="I563" s="82" t="str">
        <f>TEXT(TABLE_PIVOT[[#This Row],[Date of Call]],"DDDD")</f>
        <v>Wednesday</v>
      </c>
      <c r="J563" s="82" t="str" cm="1">
        <f t="array" ref="J563">_xlfn.IFS(TABLE_PIVOT[[#This Row],[Duration]]&lt;=10,"Under 10 Mins",TABLE_PIVOT[[#This Row],[Duration]]&lt;=30,"10 to 30 Mins",TABLE_PIVOT[[#This Row],[Duration]]&lt;=60,"30 to 60 Mins",TABLE_PIVOT[[#This Row],[Duration]]&lt;=120,"1 to 2 Hours",TRUE,"More Than 2 Hours")</f>
        <v>1 to 2 Hours</v>
      </c>
      <c r="K563" s="82">
        <f>ROUND(TABLE_PIVOT[[#This Row],[Satisfaction Rating]],0)</f>
        <v>5</v>
      </c>
    </row>
    <row r="564" spans="1:11" x14ac:dyDescent="0.3">
      <c r="A564" s="8" t="s">
        <v>2190</v>
      </c>
      <c r="B564" s="8" t="s">
        <v>1662</v>
      </c>
      <c r="C564" s="8">
        <v>44</v>
      </c>
      <c r="D564" s="120" t="s">
        <v>1621</v>
      </c>
      <c r="E564" s="121">
        <v>45098</v>
      </c>
      <c r="F564" s="8">
        <v>33</v>
      </c>
      <c r="G564" s="8">
        <v>3</v>
      </c>
      <c r="H564" s="82">
        <f>IF(MONTH(TABLE_PIVOT[[#This Row],[Date of Call]])&lt;=6,YEAR(TABLE_PIVOT[[#This Row],[Date of Call]]),YEAR(TABLE_PIVOT[[#This Row],[Date of Call]])+1)</f>
        <v>2023</v>
      </c>
      <c r="I564" s="82" t="str">
        <f>TEXT(TABLE_PIVOT[[#This Row],[Date of Call]],"DDDD")</f>
        <v>Wednesday</v>
      </c>
      <c r="J564" s="82" t="str" cm="1">
        <f t="array" ref="J564">_xlfn.IFS(TABLE_PIVOT[[#This Row],[Duration]]&lt;=10,"Under 10 Mins",TABLE_PIVOT[[#This Row],[Duration]]&lt;=30,"10 to 30 Mins",TABLE_PIVOT[[#This Row],[Duration]]&lt;=60,"30 to 60 Mins",TABLE_PIVOT[[#This Row],[Duration]]&lt;=120,"1 to 2 Hours",TRUE,"More Than 2 Hours")</f>
        <v>30 to 60 Mins</v>
      </c>
      <c r="K564" s="82">
        <f>ROUND(TABLE_PIVOT[[#This Row],[Satisfaction Rating]],0)</f>
        <v>3</v>
      </c>
    </row>
    <row r="565" spans="1:11" x14ac:dyDescent="0.3">
      <c r="A565" s="8" t="s">
        <v>2191</v>
      </c>
      <c r="B565" s="8" t="s">
        <v>1662</v>
      </c>
      <c r="C565" s="8">
        <v>102</v>
      </c>
      <c r="D565" s="120" t="s">
        <v>1611</v>
      </c>
      <c r="E565" s="121">
        <v>45098</v>
      </c>
      <c r="F565" s="8">
        <v>76</v>
      </c>
      <c r="G565" s="8">
        <v>4.2</v>
      </c>
      <c r="H565" s="82">
        <f>IF(MONTH(TABLE_PIVOT[[#This Row],[Date of Call]])&lt;=6,YEAR(TABLE_PIVOT[[#This Row],[Date of Call]]),YEAR(TABLE_PIVOT[[#This Row],[Date of Call]])+1)</f>
        <v>2023</v>
      </c>
      <c r="I565" s="82" t="str">
        <f>TEXT(TABLE_PIVOT[[#This Row],[Date of Call]],"DDDD")</f>
        <v>Wednesday</v>
      </c>
      <c r="J565" s="82" t="str" cm="1">
        <f t="array" ref="J565">_xlfn.IFS(TABLE_PIVOT[[#This Row],[Duration]]&lt;=10,"Under 10 Mins",TABLE_PIVOT[[#This Row],[Duration]]&lt;=30,"10 to 30 Mins",TABLE_PIVOT[[#This Row],[Duration]]&lt;=60,"30 to 60 Mins",TABLE_PIVOT[[#This Row],[Duration]]&lt;=120,"1 to 2 Hours",TRUE,"More Than 2 Hours")</f>
        <v>1 to 2 Hours</v>
      </c>
      <c r="K565" s="82">
        <f>ROUND(TABLE_PIVOT[[#This Row],[Satisfaction Rating]],0)</f>
        <v>4</v>
      </c>
    </row>
    <row r="566" spans="1:11" x14ac:dyDescent="0.3">
      <c r="A566" s="8" t="s">
        <v>2192</v>
      </c>
      <c r="B566" s="8" t="s">
        <v>1649</v>
      </c>
      <c r="C566" s="8">
        <v>74</v>
      </c>
      <c r="D566" s="120" t="s">
        <v>1611</v>
      </c>
      <c r="E566" s="121">
        <v>45098</v>
      </c>
      <c r="F566" s="8">
        <v>117</v>
      </c>
      <c r="G566" s="8">
        <v>4.8</v>
      </c>
      <c r="H566" s="82">
        <f>IF(MONTH(TABLE_PIVOT[[#This Row],[Date of Call]])&lt;=6,YEAR(TABLE_PIVOT[[#This Row],[Date of Call]]),YEAR(TABLE_PIVOT[[#This Row],[Date of Call]])+1)</f>
        <v>2023</v>
      </c>
      <c r="I566" s="82" t="str">
        <f>TEXT(TABLE_PIVOT[[#This Row],[Date of Call]],"DDDD")</f>
        <v>Wednesday</v>
      </c>
      <c r="J566" s="82" t="str" cm="1">
        <f t="array" ref="J566">_xlfn.IFS(TABLE_PIVOT[[#This Row],[Duration]]&lt;=10,"Under 10 Mins",TABLE_PIVOT[[#This Row],[Duration]]&lt;=30,"10 to 30 Mins",TABLE_PIVOT[[#This Row],[Duration]]&lt;=60,"30 to 60 Mins",TABLE_PIVOT[[#This Row],[Duration]]&lt;=120,"1 to 2 Hours",TRUE,"More Than 2 Hours")</f>
        <v>1 to 2 Hours</v>
      </c>
      <c r="K566" s="82">
        <f>ROUND(TABLE_PIVOT[[#This Row],[Satisfaction Rating]],0)</f>
        <v>5</v>
      </c>
    </row>
    <row r="567" spans="1:11" x14ac:dyDescent="0.3">
      <c r="A567" s="8" t="s">
        <v>2193</v>
      </c>
      <c r="B567" s="8" t="s">
        <v>1624</v>
      </c>
      <c r="C567" s="8">
        <v>52</v>
      </c>
      <c r="D567" s="120" t="s">
        <v>1621</v>
      </c>
      <c r="E567" s="121">
        <v>45100</v>
      </c>
      <c r="F567" s="8">
        <v>70</v>
      </c>
      <c r="G567" s="8">
        <v>4.0999999999999996</v>
      </c>
      <c r="H567" s="82">
        <f>IF(MONTH(TABLE_PIVOT[[#This Row],[Date of Call]])&lt;=6,YEAR(TABLE_PIVOT[[#This Row],[Date of Call]]),YEAR(TABLE_PIVOT[[#This Row],[Date of Call]])+1)</f>
        <v>2023</v>
      </c>
      <c r="I567" s="82" t="str">
        <f>TEXT(TABLE_PIVOT[[#This Row],[Date of Call]],"DDDD")</f>
        <v>Friday</v>
      </c>
      <c r="J567" s="82" t="str" cm="1">
        <f t="array" ref="J567">_xlfn.IFS(TABLE_PIVOT[[#This Row],[Duration]]&lt;=10,"Under 10 Mins",TABLE_PIVOT[[#This Row],[Duration]]&lt;=30,"10 to 30 Mins",TABLE_PIVOT[[#This Row],[Duration]]&lt;=60,"30 to 60 Mins",TABLE_PIVOT[[#This Row],[Duration]]&lt;=120,"1 to 2 Hours",TRUE,"More Than 2 Hours")</f>
        <v>30 to 60 Mins</v>
      </c>
      <c r="K567" s="82">
        <f>ROUND(TABLE_PIVOT[[#This Row],[Satisfaction Rating]],0)</f>
        <v>4</v>
      </c>
    </row>
    <row r="568" spans="1:11" x14ac:dyDescent="0.3">
      <c r="A568" s="8" t="s">
        <v>2194</v>
      </c>
      <c r="B568" s="8" t="s">
        <v>1624</v>
      </c>
      <c r="C568" s="8">
        <v>74</v>
      </c>
      <c r="D568" s="120" t="s">
        <v>1616</v>
      </c>
      <c r="E568" s="121">
        <v>45100</v>
      </c>
      <c r="F568" s="8">
        <v>37</v>
      </c>
      <c r="G568" s="8">
        <v>2.7</v>
      </c>
      <c r="H568" s="82">
        <f>IF(MONTH(TABLE_PIVOT[[#This Row],[Date of Call]])&lt;=6,YEAR(TABLE_PIVOT[[#This Row],[Date of Call]]),YEAR(TABLE_PIVOT[[#This Row],[Date of Call]])+1)</f>
        <v>2023</v>
      </c>
      <c r="I568" s="82" t="str">
        <f>TEXT(TABLE_PIVOT[[#This Row],[Date of Call]],"DDDD")</f>
        <v>Friday</v>
      </c>
      <c r="J568" s="82" t="str" cm="1">
        <f t="array" ref="J568">_xlfn.IFS(TABLE_PIVOT[[#This Row],[Duration]]&lt;=10,"Under 10 Mins",TABLE_PIVOT[[#This Row],[Duration]]&lt;=30,"10 to 30 Mins",TABLE_PIVOT[[#This Row],[Duration]]&lt;=60,"30 to 60 Mins",TABLE_PIVOT[[#This Row],[Duration]]&lt;=120,"1 to 2 Hours",TRUE,"More Than 2 Hours")</f>
        <v>1 to 2 Hours</v>
      </c>
      <c r="K568" s="82">
        <f>ROUND(TABLE_PIVOT[[#This Row],[Satisfaction Rating]],0)</f>
        <v>3</v>
      </c>
    </row>
    <row r="569" spans="1:11" x14ac:dyDescent="0.3">
      <c r="A569" s="8" t="s">
        <v>2195</v>
      </c>
      <c r="B569" s="8" t="s">
        <v>1615</v>
      </c>
      <c r="C569" s="8">
        <v>96</v>
      </c>
      <c r="D569" s="120" t="s">
        <v>1611</v>
      </c>
      <c r="E569" s="121">
        <v>45100</v>
      </c>
      <c r="F569" s="8">
        <v>46</v>
      </c>
      <c r="G569" s="8">
        <v>2.9</v>
      </c>
      <c r="H569" s="82">
        <f>IF(MONTH(TABLE_PIVOT[[#This Row],[Date of Call]])&lt;=6,YEAR(TABLE_PIVOT[[#This Row],[Date of Call]]),YEAR(TABLE_PIVOT[[#This Row],[Date of Call]])+1)</f>
        <v>2023</v>
      </c>
      <c r="I569" s="82" t="str">
        <f>TEXT(TABLE_PIVOT[[#This Row],[Date of Call]],"DDDD")</f>
        <v>Friday</v>
      </c>
      <c r="J569" s="82" t="str" cm="1">
        <f t="array" ref="J569">_xlfn.IFS(TABLE_PIVOT[[#This Row],[Duration]]&lt;=10,"Under 10 Mins",TABLE_PIVOT[[#This Row],[Duration]]&lt;=30,"10 to 30 Mins",TABLE_PIVOT[[#This Row],[Duration]]&lt;=60,"30 to 60 Mins",TABLE_PIVOT[[#This Row],[Duration]]&lt;=120,"1 to 2 Hours",TRUE,"More Than 2 Hours")</f>
        <v>1 to 2 Hours</v>
      </c>
      <c r="K569" s="82">
        <f>ROUND(TABLE_PIVOT[[#This Row],[Satisfaction Rating]],0)</f>
        <v>3</v>
      </c>
    </row>
    <row r="570" spans="1:11" x14ac:dyDescent="0.3">
      <c r="A570" s="8" t="s">
        <v>2196</v>
      </c>
      <c r="B570" s="8" t="s">
        <v>1633</v>
      </c>
      <c r="C570" s="8">
        <v>104</v>
      </c>
      <c r="D570" s="120" t="s">
        <v>1630</v>
      </c>
      <c r="E570" s="121">
        <v>45100</v>
      </c>
      <c r="F570" s="8">
        <v>136</v>
      </c>
      <c r="G570" s="8">
        <v>5</v>
      </c>
      <c r="H570" s="82">
        <f>IF(MONTH(TABLE_PIVOT[[#This Row],[Date of Call]])&lt;=6,YEAR(TABLE_PIVOT[[#This Row],[Date of Call]]),YEAR(TABLE_PIVOT[[#This Row],[Date of Call]])+1)</f>
        <v>2023</v>
      </c>
      <c r="I570" s="82" t="str">
        <f>TEXT(TABLE_PIVOT[[#This Row],[Date of Call]],"DDDD")</f>
        <v>Friday</v>
      </c>
      <c r="J570" s="82" t="str" cm="1">
        <f t="array" ref="J570">_xlfn.IFS(TABLE_PIVOT[[#This Row],[Duration]]&lt;=10,"Under 10 Mins",TABLE_PIVOT[[#This Row],[Duration]]&lt;=30,"10 to 30 Mins",TABLE_PIVOT[[#This Row],[Duration]]&lt;=60,"30 to 60 Mins",TABLE_PIVOT[[#This Row],[Duration]]&lt;=120,"1 to 2 Hours",TRUE,"More Than 2 Hours")</f>
        <v>1 to 2 Hours</v>
      </c>
      <c r="K570" s="82">
        <f>ROUND(TABLE_PIVOT[[#This Row],[Satisfaction Rating]],0)</f>
        <v>5</v>
      </c>
    </row>
    <row r="571" spans="1:11" x14ac:dyDescent="0.3">
      <c r="A571" s="8" t="s">
        <v>2197</v>
      </c>
      <c r="B571" s="8" t="s">
        <v>1615</v>
      </c>
      <c r="C571" s="8">
        <v>123</v>
      </c>
      <c r="D571" s="120" t="s">
        <v>1611</v>
      </c>
      <c r="E571" s="121">
        <v>45101</v>
      </c>
      <c r="F571" s="8">
        <v>44</v>
      </c>
      <c r="G571" s="8">
        <v>4.5999999999999996</v>
      </c>
      <c r="H571" s="82">
        <f>IF(MONTH(TABLE_PIVOT[[#This Row],[Date of Call]])&lt;=6,YEAR(TABLE_PIVOT[[#This Row],[Date of Call]]),YEAR(TABLE_PIVOT[[#This Row],[Date of Call]])+1)</f>
        <v>2023</v>
      </c>
      <c r="I571" s="82" t="str">
        <f>TEXT(TABLE_PIVOT[[#This Row],[Date of Call]],"DDDD")</f>
        <v>Saturday</v>
      </c>
      <c r="J571" s="82" t="str" cm="1">
        <f t="array" ref="J571">_xlfn.IFS(TABLE_PIVOT[[#This Row],[Duration]]&lt;=10,"Under 10 Mins",TABLE_PIVOT[[#This Row],[Duration]]&lt;=30,"10 to 30 Mins",TABLE_PIVOT[[#This Row],[Duration]]&lt;=60,"30 to 60 Mins",TABLE_PIVOT[[#This Row],[Duration]]&lt;=120,"1 to 2 Hours",TRUE,"More Than 2 Hours")</f>
        <v>More Than 2 Hours</v>
      </c>
      <c r="K571" s="82">
        <f>ROUND(TABLE_PIVOT[[#This Row],[Satisfaction Rating]],0)</f>
        <v>5</v>
      </c>
    </row>
    <row r="572" spans="1:11" x14ac:dyDescent="0.3">
      <c r="A572" s="8" t="s">
        <v>2198</v>
      </c>
      <c r="B572" s="8" t="s">
        <v>1641</v>
      </c>
      <c r="C572" s="8">
        <v>100</v>
      </c>
      <c r="D572" s="120" t="s">
        <v>1626</v>
      </c>
      <c r="E572" s="121">
        <v>45101</v>
      </c>
      <c r="F572" s="8">
        <v>69</v>
      </c>
      <c r="G572" s="8">
        <v>3</v>
      </c>
      <c r="H572" s="82">
        <f>IF(MONTH(TABLE_PIVOT[[#This Row],[Date of Call]])&lt;=6,YEAR(TABLE_PIVOT[[#This Row],[Date of Call]]),YEAR(TABLE_PIVOT[[#This Row],[Date of Call]])+1)</f>
        <v>2023</v>
      </c>
      <c r="I572" s="82" t="str">
        <f>TEXT(TABLE_PIVOT[[#This Row],[Date of Call]],"DDDD")</f>
        <v>Saturday</v>
      </c>
      <c r="J572" s="82" t="str" cm="1">
        <f t="array" ref="J572">_xlfn.IFS(TABLE_PIVOT[[#This Row],[Duration]]&lt;=10,"Under 10 Mins",TABLE_PIVOT[[#This Row],[Duration]]&lt;=30,"10 to 30 Mins",TABLE_PIVOT[[#This Row],[Duration]]&lt;=60,"30 to 60 Mins",TABLE_PIVOT[[#This Row],[Duration]]&lt;=120,"1 to 2 Hours",TRUE,"More Than 2 Hours")</f>
        <v>1 to 2 Hours</v>
      </c>
      <c r="K572" s="82">
        <f>ROUND(TABLE_PIVOT[[#This Row],[Satisfaction Rating]],0)</f>
        <v>3</v>
      </c>
    </row>
    <row r="573" spans="1:11" x14ac:dyDescent="0.3">
      <c r="A573" s="8" t="s">
        <v>2199</v>
      </c>
      <c r="B573" s="8" t="s">
        <v>1633</v>
      </c>
      <c r="C573" s="8">
        <v>35</v>
      </c>
      <c r="D573" s="120" t="s">
        <v>1621</v>
      </c>
      <c r="E573" s="121">
        <v>45102</v>
      </c>
      <c r="F573" s="8">
        <v>86</v>
      </c>
      <c r="G573" s="8">
        <v>4.5999999999999996</v>
      </c>
      <c r="H573" s="82">
        <f>IF(MONTH(TABLE_PIVOT[[#This Row],[Date of Call]])&lt;=6,YEAR(TABLE_PIVOT[[#This Row],[Date of Call]]),YEAR(TABLE_PIVOT[[#This Row],[Date of Call]])+1)</f>
        <v>2023</v>
      </c>
      <c r="I573" s="82" t="str">
        <f>TEXT(TABLE_PIVOT[[#This Row],[Date of Call]],"DDDD")</f>
        <v>Sunday</v>
      </c>
      <c r="J573" s="82" t="str" cm="1">
        <f t="array" ref="J573">_xlfn.IFS(TABLE_PIVOT[[#This Row],[Duration]]&lt;=10,"Under 10 Mins",TABLE_PIVOT[[#This Row],[Duration]]&lt;=30,"10 to 30 Mins",TABLE_PIVOT[[#This Row],[Duration]]&lt;=60,"30 to 60 Mins",TABLE_PIVOT[[#This Row],[Duration]]&lt;=120,"1 to 2 Hours",TRUE,"More Than 2 Hours")</f>
        <v>30 to 60 Mins</v>
      </c>
      <c r="K573" s="82">
        <f>ROUND(TABLE_PIVOT[[#This Row],[Satisfaction Rating]],0)</f>
        <v>5</v>
      </c>
    </row>
    <row r="574" spans="1:11" x14ac:dyDescent="0.3">
      <c r="A574" s="8" t="s">
        <v>2200</v>
      </c>
      <c r="B574" s="8" t="s">
        <v>1624</v>
      </c>
      <c r="C574" s="8">
        <v>123</v>
      </c>
      <c r="D574" s="120" t="s">
        <v>1630</v>
      </c>
      <c r="E574" s="121">
        <v>45102</v>
      </c>
      <c r="F574" s="8">
        <v>68</v>
      </c>
      <c r="G574" s="8">
        <v>4.5</v>
      </c>
      <c r="H574" s="82">
        <f>IF(MONTH(TABLE_PIVOT[[#This Row],[Date of Call]])&lt;=6,YEAR(TABLE_PIVOT[[#This Row],[Date of Call]]),YEAR(TABLE_PIVOT[[#This Row],[Date of Call]])+1)</f>
        <v>2023</v>
      </c>
      <c r="I574" s="82" t="str">
        <f>TEXT(TABLE_PIVOT[[#This Row],[Date of Call]],"DDDD")</f>
        <v>Sunday</v>
      </c>
      <c r="J574" s="82" t="str" cm="1">
        <f t="array" ref="J574">_xlfn.IFS(TABLE_PIVOT[[#This Row],[Duration]]&lt;=10,"Under 10 Mins",TABLE_PIVOT[[#This Row],[Duration]]&lt;=30,"10 to 30 Mins",TABLE_PIVOT[[#This Row],[Duration]]&lt;=60,"30 to 60 Mins",TABLE_PIVOT[[#This Row],[Duration]]&lt;=120,"1 to 2 Hours",TRUE,"More Than 2 Hours")</f>
        <v>More Than 2 Hours</v>
      </c>
      <c r="K574" s="82">
        <f>ROUND(TABLE_PIVOT[[#This Row],[Satisfaction Rating]],0)</f>
        <v>5</v>
      </c>
    </row>
    <row r="575" spans="1:11" x14ac:dyDescent="0.3">
      <c r="A575" s="8" t="s">
        <v>2201</v>
      </c>
      <c r="B575" s="8" t="s">
        <v>1635</v>
      </c>
      <c r="C575" s="8">
        <v>133</v>
      </c>
      <c r="D575" s="120" t="s">
        <v>1621</v>
      </c>
      <c r="E575" s="121">
        <v>45103</v>
      </c>
      <c r="F575" s="8">
        <v>21</v>
      </c>
      <c r="G575" s="8">
        <v>3.7</v>
      </c>
      <c r="H575" s="82">
        <f>IF(MONTH(TABLE_PIVOT[[#This Row],[Date of Call]])&lt;=6,YEAR(TABLE_PIVOT[[#This Row],[Date of Call]]),YEAR(TABLE_PIVOT[[#This Row],[Date of Call]])+1)</f>
        <v>2023</v>
      </c>
      <c r="I575" s="82" t="str">
        <f>TEXT(TABLE_PIVOT[[#This Row],[Date of Call]],"DDDD")</f>
        <v>Monday</v>
      </c>
      <c r="J575" s="82" t="str" cm="1">
        <f t="array" ref="J575">_xlfn.IFS(TABLE_PIVOT[[#This Row],[Duration]]&lt;=10,"Under 10 Mins",TABLE_PIVOT[[#This Row],[Duration]]&lt;=30,"10 to 30 Mins",TABLE_PIVOT[[#This Row],[Duration]]&lt;=60,"30 to 60 Mins",TABLE_PIVOT[[#This Row],[Duration]]&lt;=120,"1 to 2 Hours",TRUE,"More Than 2 Hours")</f>
        <v>More Than 2 Hours</v>
      </c>
      <c r="K575" s="82">
        <f>ROUND(TABLE_PIVOT[[#This Row],[Satisfaction Rating]],0)</f>
        <v>4</v>
      </c>
    </row>
    <row r="576" spans="1:11" x14ac:dyDescent="0.3">
      <c r="A576" s="8" t="s">
        <v>2202</v>
      </c>
      <c r="B576" s="8" t="s">
        <v>1615</v>
      </c>
      <c r="C576" s="8">
        <v>126</v>
      </c>
      <c r="D576" s="120" t="s">
        <v>1616</v>
      </c>
      <c r="E576" s="121">
        <v>45103</v>
      </c>
      <c r="F576" s="8">
        <v>190</v>
      </c>
      <c r="G576" s="8">
        <v>2.4</v>
      </c>
      <c r="H576" s="82">
        <f>IF(MONTH(TABLE_PIVOT[[#This Row],[Date of Call]])&lt;=6,YEAR(TABLE_PIVOT[[#This Row],[Date of Call]]),YEAR(TABLE_PIVOT[[#This Row],[Date of Call]])+1)</f>
        <v>2023</v>
      </c>
      <c r="I576" s="82" t="str">
        <f>TEXT(TABLE_PIVOT[[#This Row],[Date of Call]],"DDDD")</f>
        <v>Monday</v>
      </c>
      <c r="J576" s="82" t="str" cm="1">
        <f t="array" ref="J576">_xlfn.IFS(TABLE_PIVOT[[#This Row],[Duration]]&lt;=10,"Under 10 Mins",TABLE_PIVOT[[#This Row],[Duration]]&lt;=30,"10 to 30 Mins",TABLE_PIVOT[[#This Row],[Duration]]&lt;=60,"30 to 60 Mins",TABLE_PIVOT[[#This Row],[Duration]]&lt;=120,"1 to 2 Hours",TRUE,"More Than 2 Hours")</f>
        <v>More Than 2 Hours</v>
      </c>
      <c r="K576" s="82">
        <f>ROUND(TABLE_PIVOT[[#This Row],[Satisfaction Rating]],0)</f>
        <v>2</v>
      </c>
    </row>
    <row r="577" spans="1:11" x14ac:dyDescent="0.3">
      <c r="A577" s="8" t="s">
        <v>2203</v>
      </c>
      <c r="B577" s="8" t="s">
        <v>1624</v>
      </c>
      <c r="C577" s="8">
        <v>39</v>
      </c>
      <c r="D577" s="120" t="s">
        <v>1611</v>
      </c>
      <c r="E577" s="121">
        <v>45103</v>
      </c>
      <c r="F577" s="8">
        <v>176</v>
      </c>
      <c r="G577" s="8">
        <v>4.3</v>
      </c>
      <c r="H577" s="82">
        <f>IF(MONTH(TABLE_PIVOT[[#This Row],[Date of Call]])&lt;=6,YEAR(TABLE_PIVOT[[#This Row],[Date of Call]]),YEAR(TABLE_PIVOT[[#This Row],[Date of Call]])+1)</f>
        <v>2023</v>
      </c>
      <c r="I577" s="82" t="str">
        <f>TEXT(TABLE_PIVOT[[#This Row],[Date of Call]],"DDDD")</f>
        <v>Monday</v>
      </c>
      <c r="J577" s="82" t="str" cm="1">
        <f t="array" ref="J577">_xlfn.IFS(TABLE_PIVOT[[#This Row],[Duration]]&lt;=10,"Under 10 Mins",TABLE_PIVOT[[#This Row],[Duration]]&lt;=30,"10 to 30 Mins",TABLE_PIVOT[[#This Row],[Duration]]&lt;=60,"30 to 60 Mins",TABLE_PIVOT[[#This Row],[Duration]]&lt;=120,"1 to 2 Hours",TRUE,"More Than 2 Hours")</f>
        <v>30 to 60 Mins</v>
      </c>
      <c r="K577" s="82">
        <f>ROUND(TABLE_PIVOT[[#This Row],[Satisfaction Rating]],0)</f>
        <v>4</v>
      </c>
    </row>
    <row r="578" spans="1:11" x14ac:dyDescent="0.3">
      <c r="A578" s="8" t="s">
        <v>2204</v>
      </c>
      <c r="B578" s="8" t="s">
        <v>1649</v>
      </c>
      <c r="C578" s="8">
        <v>31</v>
      </c>
      <c r="D578" s="120" t="s">
        <v>1630</v>
      </c>
      <c r="E578" s="121">
        <v>45103</v>
      </c>
      <c r="F578" s="8">
        <v>172</v>
      </c>
      <c r="G578" s="8">
        <v>3.9</v>
      </c>
      <c r="H578" s="82">
        <f>IF(MONTH(TABLE_PIVOT[[#This Row],[Date of Call]])&lt;=6,YEAR(TABLE_PIVOT[[#This Row],[Date of Call]]),YEAR(TABLE_PIVOT[[#This Row],[Date of Call]])+1)</f>
        <v>2023</v>
      </c>
      <c r="I578" s="82" t="str">
        <f>TEXT(TABLE_PIVOT[[#This Row],[Date of Call]],"DDDD")</f>
        <v>Monday</v>
      </c>
      <c r="J578" s="82" t="str" cm="1">
        <f t="array" ref="J578">_xlfn.IFS(TABLE_PIVOT[[#This Row],[Duration]]&lt;=10,"Under 10 Mins",TABLE_PIVOT[[#This Row],[Duration]]&lt;=30,"10 to 30 Mins",TABLE_PIVOT[[#This Row],[Duration]]&lt;=60,"30 to 60 Mins",TABLE_PIVOT[[#This Row],[Duration]]&lt;=120,"1 to 2 Hours",TRUE,"More Than 2 Hours")</f>
        <v>30 to 60 Mins</v>
      </c>
      <c r="K578" s="82">
        <f>ROUND(TABLE_PIVOT[[#This Row],[Satisfaction Rating]],0)</f>
        <v>4</v>
      </c>
    </row>
    <row r="579" spans="1:11" x14ac:dyDescent="0.3">
      <c r="A579" s="8" t="s">
        <v>2205</v>
      </c>
      <c r="B579" s="8" t="s">
        <v>1620</v>
      </c>
      <c r="C579" s="8">
        <v>25</v>
      </c>
      <c r="D579" s="120" t="s">
        <v>1621</v>
      </c>
      <c r="E579" s="121">
        <v>45103</v>
      </c>
      <c r="F579" s="8">
        <v>84</v>
      </c>
      <c r="G579" s="8">
        <v>4.5</v>
      </c>
      <c r="H579" s="82">
        <f>IF(MONTH(TABLE_PIVOT[[#This Row],[Date of Call]])&lt;=6,YEAR(TABLE_PIVOT[[#This Row],[Date of Call]]),YEAR(TABLE_PIVOT[[#This Row],[Date of Call]])+1)</f>
        <v>2023</v>
      </c>
      <c r="I579" s="82" t="str">
        <f>TEXT(TABLE_PIVOT[[#This Row],[Date of Call]],"DDDD")</f>
        <v>Monday</v>
      </c>
      <c r="J579" s="82" t="str" cm="1">
        <f t="array" ref="J579">_xlfn.IFS(TABLE_PIVOT[[#This Row],[Duration]]&lt;=10,"Under 10 Mins",TABLE_PIVOT[[#This Row],[Duration]]&lt;=30,"10 to 30 Mins",TABLE_PIVOT[[#This Row],[Duration]]&lt;=60,"30 to 60 Mins",TABLE_PIVOT[[#This Row],[Duration]]&lt;=120,"1 to 2 Hours",TRUE,"More Than 2 Hours")</f>
        <v>10 to 30 Mins</v>
      </c>
      <c r="K579" s="82">
        <f>ROUND(TABLE_PIVOT[[#This Row],[Satisfaction Rating]],0)</f>
        <v>5</v>
      </c>
    </row>
    <row r="580" spans="1:11" x14ac:dyDescent="0.3">
      <c r="A580" s="8" t="s">
        <v>2206</v>
      </c>
      <c r="B580" s="8" t="s">
        <v>1613</v>
      </c>
      <c r="C580" s="8">
        <v>132</v>
      </c>
      <c r="D580" s="120" t="s">
        <v>1626</v>
      </c>
      <c r="E580" s="121">
        <v>45104</v>
      </c>
      <c r="F580" s="8">
        <v>42</v>
      </c>
      <c r="G580" s="8">
        <v>5</v>
      </c>
      <c r="H580" s="82">
        <f>IF(MONTH(TABLE_PIVOT[[#This Row],[Date of Call]])&lt;=6,YEAR(TABLE_PIVOT[[#This Row],[Date of Call]]),YEAR(TABLE_PIVOT[[#This Row],[Date of Call]])+1)</f>
        <v>2023</v>
      </c>
      <c r="I580" s="82" t="str">
        <f>TEXT(TABLE_PIVOT[[#This Row],[Date of Call]],"DDDD")</f>
        <v>Tuesday</v>
      </c>
      <c r="J580" s="82" t="str" cm="1">
        <f t="array" ref="J580">_xlfn.IFS(TABLE_PIVOT[[#This Row],[Duration]]&lt;=10,"Under 10 Mins",TABLE_PIVOT[[#This Row],[Duration]]&lt;=30,"10 to 30 Mins",TABLE_PIVOT[[#This Row],[Duration]]&lt;=60,"30 to 60 Mins",TABLE_PIVOT[[#This Row],[Duration]]&lt;=120,"1 to 2 Hours",TRUE,"More Than 2 Hours")</f>
        <v>More Than 2 Hours</v>
      </c>
      <c r="K580" s="82">
        <f>ROUND(TABLE_PIVOT[[#This Row],[Satisfaction Rating]],0)</f>
        <v>5</v>
      </c>
    </row>
    <row r="581" spans="1:11" x14ac:dyDescent="0.3">
      <c r="A581" s="8" t="s">
        <v>2207</v>
      </c>
      <c r="B581" s="8" t="s">
        <v>1633</v>
      </c>
      <c r="C581" s="8">
        <v>63</v>
      </c>
      <c r="D581" s="120" t="s">
        <v>1616</v>
      </c>
      <c r="E581" s="121">
        <v>45104</v>
      </c>
      <c r="F581" s="8">
        <v>70</v>
      </c>
      <c r="G581" s="8">
        <v>1.6</v>
      </c>
      <c r="H581" s="82">
        <f>IF(MONTH(TABLE_PIVOT[[#This Row],[Date of Call]])&lt;=6,YEAR(TABLE_PIVOT[[#This Row],[Date of Call]]),YEAR(TABLE_PIVOT[[#This Row],[Date of Call]])+1)</f>
        <v>2023</v>
      </c>
      <c r="I581" s="82" t="str">
        <f>TEXT(TABLE_PIVOT[[#This Row],[Date of Call]],"DDDD")</f>
        <v>Tuesday</v>
      </c>
      <c r="J581" s="82" t="str" cm="1">
        <f t="array" ref="J581">_xlfn.IFS(TABLE_PIVOT[[#This Row],[Duration]]&lt;=10,"Under 10 Mins",TABLE_PIVOT[[#This Row],[Duration]]&lt;=30,"10 to 30 Mins",TABLE_PIVOT[[#This Row],[Duration]]&lt;=60,"30 to 60 Mins",TABLE_PIVOT[[#This Row],[Duration]]&lt;=120,"1 to 2 Hours",TRUE,"More Than 2 Hours")</f>
        <v>1 to 2 Hours</v>
      </c>
      <c r="K581" s="82">
        <f>ROUND(TABLE_PIVOT[[#This Row],[Satisfaction Rating]],0)</f>
        <v>2</v>
      </c>
    </row>
    <row r="582" spans="1:11" x14ac:dyDescent="0.3">
      <c r="A582" s="8" t="s">
        <v>2208</v>
      </c>
      <c r="B582" s="8" t="s">
        <v>1641</v>
      </c>
      <c r="C582" s="8">
        <v>135</v>
      </c>
      <c r="D582" s="120" t="s">
        <v>1626</v>
      </c>
      <c r="E582" s="121">
        <v>45104</v>
      </c>
      <c r="F582" s="8">
        <v>60</v>
      </c>
      <c r="G582" s="8">
        <v>4.3</v>
      </c>
      <c r="H582" s="82">
        <f>IF(MONTH(TABLE_PIVOT[[#This Row],[Date of Call]])&lt;=6,YEAR(TABLE_PIVOT[[#This Row],[Date of Call]]),YEAR(TABLE_PIVOT[[#This Row],[Date of Call]])+1)</f>
        <v>2023</v>
      </c>
      <c r="I582" s="82" t="str">
        <f>TEXT(TABLE_PIVOT[[#This Row],[Date of Call]],"DDDD")</f>
        <v>Tuesday</v>
      </c>
      <c r="J582" s="82" t="str" cm="1">
        <f t="array" ref="J582">_xlfn.IFS(TABLE_PIVOT[[#This Row],[Duration]]&lt;=10,"Under 10 Mins",TABLE_PIVOT[[#This Row],[Duration]]&lt;=30,"10 to 30 Mins",TABLE_PIVOT[[#This Row],[Duration]]&lt;=60,"30 to 60 Mins",TABLE_PIVOT[[#This Row],[Duration]]&lt;=120,"1 to 2 Hours",TRUE,"More Than 2 Hours")</f>
        <v>More Than 2 Hours</v>
      </c>
      <c r="K582" s="82">
        <f>ROUND(TABLE_PIVOT[[#This Row],[Satisfaction Rating]],0)</f>
        <v>4</v>
      </c>
    </row>
    <row r="583" spans="1:11" x14ac:dyDescent="0.3">
      <c r="A583" s="8" t="s">
        <v>2209</v>
      </c>
      <c r="B583" s="8" t="s">
        <v>1629</v>
      </c>
      <c r="C583" s="8">
        <v>101</v>
      </c>
      <c r="D583" s="120" t="s">
        <v>1616</v>
      </c>
      <c r="E583" s="121">
        <v>45104</v>
      </c>
      <c r="F583" s="8">
        <v>84</v>
      </c>
      <c r="G583" s="8">
        <v>3.5</v>
      </c>
      <c r="H583" s="82">
        <f>IF(MONTH(TABLE_PIVOT[[#This Row],[Date of Call]])&lt;=6,YEAR(TABLE_PIVOT[[#This Row],[Date of Call]]),YEAR(TABLE_PIVOT[[#This Row],[Date of Call]])+1)</f>
        <v>2023</v>
      </c>
      <c r="I583" s="82" t="str">
        <f>TEXT(TABLE_PIVOT[[#This Row],[Date of Call]],"DDDD")</f>
        <v>Tuesday</v>
      </c>
      <c r="J583" s="82" t="str" cm="1">
        <f t="array" ref="J583">_xlfn.IFS(TABLE_PIVOT[[#This Row],[Duration]]&lt;=10,"Under 10 Mins",TABLE_PIVOT[[#This Row],[Duration]]&lt;=30,"10 to 30 Mins",TABLE_PIVOT[[#This Row],[Duration]]&lt;=60,"30 to 60 Mins",TABLE_PIVOT[[#This Row],[Duration]]&lt;=120,"1 to 2 Hours",TRUE,"More Than 2 Hours")</f>
        <v>1 to 2 Hours</v>
      </c>
      <c r="K583" s="82">
        <f>ROUND(TABLE_PIVOT[[#This Row],[Satisfaction Rating]],0)</f>
        <v>4</v>
      </c>
    </row>
    <row r="584" spans="1:11" x14ac:dyDescent="0.3">
      <c r="A584" s="8" t="s">
        <v>2210</v>
      </c>
      <c r="B584" s="8" t="s">
        <v>1635</v>
      </c>
      <c r="C584" s="8">
        <v>80</v>
      </c>
      <c r="D584" s="120" t="s">
        <v>1611</v>
      </c>
      <c r="E584" s="121">
        <v>45105</v>
      </c>
      <c r="F584" s="8">
        <v>68</v>
      </c>
      <c r="G584" s="8">
        <v>3.1</v>
      </c>
      <c r="H584" s="82">
        <f>IF(MONTH(TABLE_PIVOT[[#This Row],[Date of Call]])&lt;=6,YEAR(TABLE_PIVOT[[#This Row],[Date of Call]]),YEAR(TABLE_PIVOT[[#This Row],[Date of Call]])+1)</f>
        <v>2023</v>
      </c>
      <c r="I584" s="82" t="str">
        <f>TEXT(TABLE_PIVOT[[#This Row],[Date of Call]],"DDDD")</f>
        <v>Wednesday</v>
      </c>
      <c r="J584" s="82" t="str" cm="1">
        <f t="array" ref="J584">_xlfn.IFS(TABLE_PIVOT[[#This Row],[Duration]]&lt;=10,"Under 10 Mins",TABLE_PIVOT[[#This Row],[Duration]]&lt;=30,"10 to 30 Mins",TABLE_PIVOT[[#This Row],[Duration]]&lt;=60,"30 to 60 Mins",TABLE_PIVOT[[#This Row],[Duration]]&lt;=120,"1 to 2 Hours",TRUE,"More Than 2 Hours")</f>
        <v>1 to 2 Hours</v>
      </c>
      <c r="K584" s="82">
        <f>ROUND(TABLE_PIVOT[[#This Row],[Satisfaction Rating]],0)</f>
        <v>3</v>
      </c>
    </row>
    <row r="585" spans="1:11" x14ac:dyDescent="0.3">
      <c r="A585" s="8" t="s">
        <v>2211</v>
      </c>
      <c r="B585" s="8" t="s">
        <v>1662</v>
      </c>
      <c r="C585" s="8">
        <v>28</v>
      </c>
      <c r="D585" s="120" t="s">
        <v>1611</v>
      </c>
      <c r="E585" s="121">
        <v>45105</v>
      </c>
      <c r="F585" s="8">
        <v>44</v>
      </c>
      <c r="G585" s="8">
        <v>2.9</v>
      </c>
      <c r="H585" s="82">
        <f>IF(MONTH(TABLE_PIVOT[[#This Row],[Date of Call]])&lt;=6,YEAR(TABLE_PIVOT[[#This Row],[Date of Call]]),YEAR(TABLE_PIVOT[[#This Row],[Date of Call]])+1)</f>
        <v>2023</v>
      </c>
      <c r="I585" s="82" t="str">
        <f>TEXT(TABLE_PIVOT[[#This Row],[Date of Call]],"DDDD")</f>
        <v>Wednesday</v>
      </c>
      <c r="J585" s="82" t="str" cm="1">
        <f t="array" ref="J585">_xlfn.IFS(TABLE_PIVOT[[#This Row],[Duration]]&lt;=10,"Under 10 Mins",TABLE_PIVOT[[#This Row],[Duration]]&lt;=30,"10 to 30 Mins",TABLE_PIVOT[[#This Row],[Duration]]&lt;=60,"30 to 60 Mins",TABLE_PIVOT[[#This Row],[Duration]]&lt;=120,"1 to 2 Hours",TRUE,"More Than 2 Hours")</f>
        <v>10 to 30 Mins</v>
      </c>
      <c r="K585" s="82">
        <f>ROUND(TABLE_PIVOT[[#This Row],[Satisfaction Rating]],0)</f>
        <v>3</v>
      </c>
    </row>
    <row r="586" spans="1:11" x14ac:dyDescent="0.3">
      <c r="A586" s="8" t="s">
        <v>2212</v>
      </c>
      <c r="B586" s="8" t="s">
        <v>1629</v>
      </c>
      <c r="C586" s="8">
        <v>102</v>
      </c>
      <c r="D586" s="120" t="s">
        <v>1626</v>
      </c>
      <c r="E586" s="121">
        <v>45106</v>
      </c>
      <c r="F586" s="8">
        <v>99</v>
      </c>
      <c r="G586" s="8">
        <v>3.2</v>
      </c>
      <c r="H586" s="82">
        <f>IF(MONTH(TABLE_PIVOT[[#This Row],[Date of Call]])&lt;=6,YEAR(TABLE_PIVOT[[#This Row],[Date of Call]]),YEAR(TABLE_PIVOT[[#This Row],[Date of Call]])+1)</f>
        <v>2023</v>
      </c>
      <c r="I586" s="82" t="str">
        <f>TEXT(TABLE_PIVOT[[#This Row],[Date of Call]],"DDDD")</f>
        <v>Thursday</v>
      </c>
      <c r="J586" s="82" t="str" cm="1">
        <f t="array" ref="J586">_xlfn.IFS(TABLE_PIVOT[[#This Row],[Duration]]&lt;=10,"Under 10 Mins",TABLE_PIVOT[[#This Row],[Duration]]&lt;=30,"10 to 30 Mins",TABLE_PIVOT[[#This Row],[Duration]]&lt;=60,"30 to 60 Mins",TABLE_PIVOT[[#This Row],[Duration]]&lt;=120,"1 to 2 Hours",TRUE,"More Than 2 Hours")</f>
        <v>1 to 2 Hours</v>
      </c>
      <c r="K586" s="82">
        <f>ROUND(TABLE_PIVOT[[#This Row],[Satisfaction Rating]],0)</f>
        <v>3</v>
      </c>
    </row>
    <row r="587" spans="1:11" x14ac:dyDescent="0.3">
      <c r="A587" s="8" t="s">
        <v>2213</v>
      </c>
      <c r="B587" s="8" t="s">
        <v>1633</v>
      </c>
      <c r="C587" s="8">
        <v>60</v>
      </c>
      <c r="D587" s="120" t="s">
        <v>1626</v>
      </c>
      <c r="E587" s="121">
        <v>45107</v>
      </c>
      <c r="F587" s="8">
        <v>66</v>
      </c>
      <c r="G587" s="8">
        <v>3.2</v>
      </c>
      <c r="H587" s="82">
        <f>IF(MONTH(TABLE_PIVOT[[#This Row],[Date of Call]])&lt;=6,YEAR(TABLE_PIVOT[[#This Row],[Date of Call]]),YEAR(TABLE_PIVOT[[#This Row],[Date of Call]])+1)</f>
        <v>2023</v>
      </c>
      <c r="I587" s="82" t="str">
        <f>TEXT(TABLE_PIVOT[[#This Row],[Date of Call]],"DDDD")</f>
        <v>Friday</v>
      </c>
      <c r="J587" s="82" t="str" cm="1">
        <f t="array" ref="J587">_xlfn.IFS(TABLE_PIVOT[[#This Row],[Duration]]&lt;=10,"Under 10 Mins",TABLE_PIVOT[[#This Row],[Duration]]&lt;=30,"10 to 30 Mins",TABLE_PIVOT[[#This Row],[Duration]]&lt;=60,"30 to 60 Mins",TABLE_PIVOT[[#This Row],[Duration]]&lt;=120,"1 to 2 Hours",TRUE,"More Than 2 Hours")</f>
        <v>30 to 60 Mins</v>
      </c>
      <c r="K587" s="82">
        <f>ROUND(TABLE_PIVOT[[#This Row],[Satisfaction Rating]],0)</f>
        <v>3</v>
      </c>
    </row>
    <row r="588" spans="1:11" x14ac:dyDescent="0.3">
      <c r="A588" s="8" t="s">
        <v>2214</v>
      </c>
      <c r="B588" s="8" t="s">
        <v>1618</v>
      </c>
      <c r="C588" s="8">
        <v>103</v>
      </c>
      <c r="D588" s="120" t="s">
        <v>1626</v>
      </c>
      <c r="E588" s="121">
        <v>45107</v>
      </c>
      <c r="F588" s="8">
        <v>102</v>
      </c>
      <c r="G588" s="8">
        <v>4.5</v>
      </c>
      <c r="H588" s="82">
        <f>IF(MONTH(TABLE_PIVOT[[#This Row],[Date of Call]])&lt;=6,YEAR(TABLE_PIVOT[[#This Row],[Date of Call]]),YEAR(TABLE_PIVOT[[#This Row],[Date of Call]])+1)</f>
        <v>2023</v>
      </c>
      <c r="I588" s="82" t="str">
        <f>TEXT(TABLE_PIVOT[[#This Row],[Date of Call]],"DDDD")</f>
        <v>Friday</v>
      </c>
      <c r="J588" s="82" t="str" cm="1">
        <f t="array" ref="J588">_xlfn.IFS(TABLE_PIVOT[[#This Row],[Duration]]&lt;=10,"Under 10 Mins",TABLE_PIVOT[[#This Row],[Duration]]&lt;=30,"10 to 30 Mins",TABLE_PIVOT[[#This Row],[Duration]]&lt;=60,"30 to 60 Mins",TABLE_PIVOT[[#This Row],[Duration]]&lt;=120,"1 to 2 Hours",TRUE,"More Than 2 Hours")</f>
        <v>1 to 2 Hours</v>
      </c>
      <c r="K588" s="82">
        <f>ROUND(TABLE_PIVOT[[#This Row],[Satisfaction Rating]],0)</f>
        <v>5</v>
      </c>
    </row>
    <row r="589" spans="1:11" x14ac:dyDescent="0.3">
      <c r="A589" s="8" t="s">
        <v>2215</v>
      </c>
      <c r="B589" s="8" t="s">
        <v>1635</v>
      </c>
      <c r="C589" s="8">
        <v>90</v>
      </c>
      <c r="D589" s="120" t="s">
        <v>1611</v>
      </c>
      <c r="E589" s="121">
        <v>45108</v>
      </c>
      <c r="F589" s="8">
        <v>129</v>
      </c>
      <c r="G589" s="8">
        <v>3.9</v>
      </c>
      <c r="H589" s="82">
        <f>IF(MONTH(TABLE_PIVOT[[#This Row],[Date of Call]])&lt;=6,YEAR(TABLE_PIVOT[[#This Row],[Date of Call]]),YEAR(TABLE_PIVOT[[#This Row],[Date of Call]])+1)</f>
        <v>2024</v>
      </c>
      <c r="I589" s="82" t="str">
        <f>TEXT(TABLE_PIVOT[[#This Row],[Date of Call]],"DDDD")</f>
        <v>Saturday</v>
      </c>
      <c r="J589" s="82" t="str" cm="1">
        <f t="array" ref="J589">_xlfn.IFS(TABLE_PIVOT[[#This Row],[Duration]]&lt;=10,"Under 10 Mins",TABLE_PIVOT[[#This Row],[Duration]]&lt;=30,"10 to 30 Mins",TABLE_PIVOT[[#This Row],[Duration]]&lt;=60,"30 to 60 Mins",TABLE_PIVOT[[#This Row],[Duration]]&lt;=120,"1 to 2 Hours",TRUE,"More Than 2 Hours")</f>
        <v>1 to 2 Hours</v>
      </c>
      <c r="K589" s="82">
        <f>ROUND(TABLE_PIVOT[[#This Row],[Satisfaction Rating]],0)</f>
        <v>4</v>
      </c>
    </row>
    <row r="590" spans="1:11" x14ac:dyDescent="0.3">
      <c r="A590" s="8" t="s">
        <v>2216</v>
      </c>
      <c r="B590" s="8" t="s">
        <v>1652</v>
      </c>
      <c r="C590" s="8">
        <v>88</v>
      </c>
      <c r="D590" s="120" t="s">
        <v>1626</v>
      </c>
      <c r="E590" s="121">
        <v>45108</v>
      </c>
      <c r="F590" s="8">
        <v>80</v>
      </c>
      <c r="G590" s="8">
        <v>4.2</v>
      </c>
      <c r="H590" s="82">
        <f>IF(MONTH(TABLE_PIVOT[[#This Row],[Date of Call]])&lt;=6,YEAR(TABLE_PIVOT[[#This Row],[Date of Call]]),YEAR(TABLE_PIVOT[[#This Row],[Date of Call]])+1)</f>
        <v>2024</v>
      </c>
      <c r="I590" s="82" t="str">
        <f>TEXT(TABLE_PIVOT[[#This Row],[Date of Call]],"DDDD")</f>
        <v>Saturday</v>
      </c>
      <c r="J590" s="82" t="str" cm="1">
        <f t="array" ref="J590">_xlfn.IFS(TABLE_PIVOT[[#This Row],[Duration]]&lt;=10,"Under 10 Mins",TABLE_PIVOT[[#This Row],[Duration]]&lt;=30,"10 to 30 Mins",TABLE_PIVOT[[#This Row],[Duration]]&lt;=60,"30 to 60 Mins",TABLE_PIVOT[[#This Row],[Duration]]&lt;=120,"1 to 2 Hours",TRUE,"More Than 2 Hours")</f>
        <v>1 to 2 Hours</v>
      </c>
      <c r="K590" s="82">
        <f>ROUND(TABLE_PIVOT[[#This Row],[Satisfaction Rating]],0)</f>
        <v>4</v>
      </c>
    </row>
    <row r="591" spans="1:11" x14ac:dyDescent="0.3">
      <c r="A591" s="8" t="s">
        <v>2217</v>
      </c>
      <c r="B591" s="8" t="s">
        <v>1618</v>
      </c>
      <c r="C591" s="8">
        <v>37</v>
      </c>
      <c r="D591" s="120" t="s">
        <v>1626</v>
      </c>
      <c r="E591" s="121">
        <v>45108</v>
      </c>
      <c r="F591" s="8">
        <v>54</v>
      </c>
      <c r="G591" s="8">
        <v>1.8</v>
      </c>
      <c r="H591" s="82">
        <f>IF(MONTH(TABLE_PIVOT[[#This Row],[Date of Call]])&lt;=6,YEAR(TABLE_PIVOT[[#This Row],[Date of Call]]),YEAR(TABLE_PIVOT[[#This Row],[Date of Call]])+1)</f>
        <v>2024</v>
      </c>
      <c r="I591" s="82" t="str">
        <f>TEXT(TABLE_PIVOT[[#This Row],[Date of Call]],"DDDD")</f>
        <v>Saturday</v>
      </c>
      <c r="J591" s="82" t="str" cm="1">
        <f t="array" ref="J591">_xlfn.IFS(TABLE_PIVOT[[#This Row],[Duration]]&lt;=10,"Under 10 Mins",TABLE_PIVOT[[#This Row],[Duration]]&lt;=30,"10 to 30 Mins",TABLE_PIVOT[[#This Row],[Duration]]&lt;=60,"30 to 60 Mins",TABLE_PIVOT[[#This Row],[Duration]]&lt;=120,"1 to 2 Hours",TRUE,"More Than 2 Hours")</f>
        <v>30 to 60 Mins</v>
      </c>
      <c r="K591" s="82">
        <f>ROUND(TABLE_PIVOT[[#This Row],[Satisfaction Rating]],0)</f>
        <v>2</v>
      </c>
    </row>
    <row r="592" spans="1:11" x14ac:dyDescent="0.3">
      <c r="A592" s="8" t="s">
        <v>2218</v>
      </c>
      <c r="B592" s="8" t="s">
        <v>1662</v>
      </c>
      <c r="C592" s="8">
        <v>142</v>
      </c>
      <c r="D592" s="120" t="s">
        <v>1611</v>
      </c>
      <c r="E592" s="121">
        <v>45108</v>
      </c>
      <c r="F592" s="8">
        <v>116</v>
      </c>
      <c r="G592" s="8">
        <v>4.2</v>
      </c>
      <c r="H592" s="82">
        <f>IF(MONTH(TABLE_PIVOT[[#This Row],[Date of Call]])&lt;=6,YEAR(TABLE_PIVOT[[#This Row],[Date of Call]]),YEAR(TABLE_PIVOT[[#This Row],[Date of Call]])+1)</f>
        <v>2024</v>
      </c>
      <c r="I592" s="82" t="str">
        <f>TEXT(TABLE_PIVOT[[#This Row],[Date of Call]],"DDDD")</f>
        <v>Saturday</v>
      </c>
      <c r="J592" s="82" t="str" cm="1">
        <f t="array" ref="J592">_xlfn.IFS(TABLE_PIVOT[[#This Row],[Duration]]&lt;=10,"Under 10 Mins",TABLE_PIVOT[[#This Row],[Duration]]&lt;=30,"10 to 30 Mins",TABLE_PIVOT[[#This Row],[Duration]]&lt;=60,"30 to 60 Mins",TABLE_PIVOT[[#This Row],[Duration]]&lt;=120,"1 to 2 Hours",TRUE,"More Than 2 Hours")</f>
        <v>More Than 2 Hours</v>
      </c>
      <c r="K592" s="82">
        <f>ROUND(TABLE_PIVOT[[#This Row],[Satisfaction Rating]],0)</f>
        <v>4</v>
      </c>
    </row>
    <row r="593" spans="1:11" x14ac:dyDescent="0.3">
      <c r="A593" s="8" t="s">
        <v>2219</v>
      </c>
      <c r="B593" s="8" t="s">
        <v>1662</v>
      </c>
      <c r="C593" s="8">
        <v>153</v>
      </c>
      <c r="D593" s="120" t="s">
        <v>1621</v>
      </c>
      <c r="E593" s="121">
        <v>45108</v>
      </c>
      <c r="F593" s="8">
        <v>102</v>
      </c>
      <c r="G593" s="8">
        <v>3.1</v>
      </c>
      <c r="H593" s="82">
        <f>IF(MONTH(TABLE_PIVOT[[#This Row],[Date of Call]])&lt;=6,YEAR(TABLE_PIVOT[[#This Row],[Date of Call]]),YEAR(TABLE_PIVOT[[#This Row],[Date of Call]])+1)</f>
        <v>2024</v>
      </c>
      <c r="I593" s="82" t="str">
        <f>TEXT(TABLE_PIVOT[[#This Row],[Date of Call]],"DDDD")</f>
        <v>Saturday</v>
      </c>
      <c r="J593" s="82" t="str" cm="1">
        <f t="array" ref="J593">_xlfn.IFS(TABLE_PIVOT[[#This Row],[Duration]]&lt;=10,"Under 10 Mins",TABLE_PIVOT[[#This Row],[Duration]]&lt;=30,"10 to 30 Mins",TABLE_PIVOT[[#This Row],[Duration]]&lt;=60,"30 to 60 Mins",TABLE_PIVOT[[#This Row],[Duration]]&lt;=120,"1 to 2 Hours",TRUE,"More Than 2 Hours")</f>
        <v>More Than 2 Hours</v>
      </c>
      <c r="K593" s="82">
        <f>ROUND(TABLE_PIVOT[[#This Row],[Satisfaction Rating]],0)</f>
        <v>3</v>
      </c>
    </row>
    <row r="594" spans="1:11" x14ac:dyDescent="0.3">
      <c r="A594" s="8" t="s">
        <v>2220</v>
      </c>
      <c r="B594" s="8" t="s">
        <v>1644</v>
      </c>
      <c r="C594" s="8">
        <v>128</v>
      </c>
      <c r="D594" s="120" t="s">
        <v>1616</v>
      </c>
      <c r="E594" s="121">
        <v>45108</v>
      </c>
      <c r="F594" s="8">
        <v>140</v>
      </c>
      <c r="G594" s="8">
        <v>4.3</v>
      </c>
      <c r="H594" s="82">
        <f>IF(MONTH(TABLE_PIVOT[[#This Row],[Date of Call]])&lt;=6,YEAR(TABLE_PIVOT[[#This Row],[Date of Call]]),YEAR(TABLE_PIVOT[[#This Row],[Date of Call]])+1)</f>
        <v>2024</v>
      </c>
      <c r="I594" s="82" t="str">
        <f>TEXT(TABLE_PIVOT[[#This Row],[Date of Call]],"DDDD")</f>
        <v>Saturday</v>
      </c>
      <c r="J594" s="82" t="str" cm="1">
        <f t="array" ref="J594">_xlfn.IFS(TABLE_PIVOT[[#This Row],[Duration]]&lt;=10,"Under 10 Mins",TABLE_PIVOT[[#This Row],[Duration]]&lt;=30,"10 to 30 Mins",TABLE_PIVOT[[#This Row],[Duration]]&lt;=60,"30 to 60 Mins",TABLE_PIVOT[[#This Row],[Duration]]&lt;=120,"1 to 2 Hours",TRUE,"More Than 2 Hours")</f>
        <v>More Than 2 Hours</v>
      </c>
      <c r="K594" s="82">
        <f>ROUND(TABLE_PIVOT[[#This Row],[Satisfaction Rating]],0)</f>
        <v>4</v>
      </c>
    </row>
    <row r="595" spans="1:11" x14ac:dyDescent="0.3">
      <c r="A595" s="8" t="s">
        <v>2221</v>
      </c>
      <c r="B595" s="8" t="s">
        <v>1633</v>
      </c>
      <c r="C595" s="8">
        <v>110</v>
      </c>
      <c r="D595" s="120" t="s">
        <v>1616</v>
      </c>
      <c r="E595" s="121">
        <v>45109</v>
      </c>
      <c r="F595" s="8">
        <v>104</v>
      </c>
      <c r="G595" s="8">
        <v>4.4000000000000004</v>
      </c>
      <c r="H595" s="82">
        <f>IF(MONTH(TABLE_PIVOT[[#This Row],[Date of Call]])&lt;=6,YEAR(TABLE_PIVOT[[#This Row],[Date of Call]]),YEAR(TABLE_PIVOT[[#This Row],[Date of Call]])+1)</f>
        <v>2024</v>
      </c>
      <c r="I595" s="82" t="str">
        <f>TEXT(TABLE_PIVOT[[#This Row],[Date of Call]],"DDDD")</f>
        <v>Sunday</v>
      </c>
      <c r="J595" s="82" t="str" cm="1">
        <f t="array" ref="J595">_xlfn.IFS(TABLE_PIVOT[[#This Row],[Duration]]&lt;=10,"Under 10 Mins",TABLE_PIVOT[[#This Row],[Duration]]&lt;=30,"10 to 30 Mins",TABLE_PIVOT[[#This Row],[Duration]]&lt;=60,"30 to 60 Mins",TABLE_PIVOT[[#This Row],[Duration]]&lt;=120,"1 to 2 Hours",TRUE,"More Than 2 Hours")</f>
        <v>1 to 2 Hours</v>
      </c>
      <c r="K595" s="82">
        <f>ROUND(TABLE_PIVOT[[#This Row],[Satisfaction Rating]],0)</f>
        <v>4</v>
      </c>
    </row>
    <row r="596" spans="1:11" x14ac:dyDescent="0.3">
      <c r="A596" s="8" t="s">
        <v>2222</v>
      </c>
      <c r="B596" s="8" t="s">
        <v>1644</v>
      </c>
      <c r="C596" s="8">
        <v>139</v>
      </c>
      <c r="D596" s="120" t="s">
        <v>1626</v>
      </c>
      <c r="E596" s="121">
        <v>45109</v>
      </c>
      <c r="F596" s="8">
        <v>81</v>
      </c>
      <c r="G596" s="8">
        <v>4.4000000000000004</v>
      </c>
      <c r="H596" s="82">
        <f>IF(MONTH(TABLE_PIVOT[[#This Row],[Date of Call]])&lt;=6,YEAR(TABLE_PIVOT[[#This Row],[Date of Call]]),YEAR(TABLE_PIVOT[[#This Row],[Date of Call]])+1)</f>
        <v>2024</v>
      </c>
      <c r="I596" s="82" t="str">
        <f>TEXT(TABLE_PIVOT[[#This Row],[Date of Call]],"DDDD")</f>
        <v>Sunday</v>
      </c>
      <c r="J596" s="82" t="str" cm="1">
        <f t="array" ref="J596">_xlfn.IFS(TABLE_PIVOT[[#This Row],[Duration]]&lt;=10,"Under 10 Mins",TABLE_PIVOT[[#This Row],[Duration]]&lt;=30,"10 to 30 Mins",TABLE_PIVOT[[#This Row],[Duration]]&lt;=60,"30 to 60 Mins",TABLE_PIVOT[[#This Row],[Duration]]&lt;=120,"1 to 2 Hours",TRUE,"More Than 2 Hours")</f>
        <v>More Than 2 Hours</v>
      </c>
      <c r="K596" s="82">
        <f>ROUND(TABLE_PIVOT[[#This Row],[Satisfaction Rating]],0)</f>
        <v>4</v>
      </c>
    </row>
    <row r="597" spans="1:11" x14ac:dyDescent="0.3">
      <c r="A597" s="8" t="s">
        <v>2223</v>
      </c>
      <c r="B597" s="8" t="s">
        <v>1629</v>
      </c>
      <c r="C597" s="8">
        <v>109</v>
      </c>
      <c r="D597" s="120" t="s">
        <v>1630</v>
      </c>
      <c r="E597" s="121">
        <v>45111</v>
      </c>
      <c r="F597" s="8">
        <v>140</v>
      </c>
      <c r="G597" s="8">
        <v>2.4</v>
      </c>
      <c r="H597" s="82">
        <f>IF(MONTH(TABLE_PIVOT[[#This Row],[Date of Call]])&lt;=6,YEAR(TABLE_PIVOT[[#This Row],[Date of Call]]),YEAR(TABLE_PIVOT[[#This Row],[Date of Call]])+1)</f>
        <v>2024</v>
      </c>
      <c r="I597" s="82" t="str">
        <f>TEXT(TABLE_PIVOT[[#This Row],[Date of Call]],"DDDD")</f>
        <v>Tuesday</v>
      </c>
      <c r="J597" s="82" t="str" cm="1">
        <f t="array" ref="J597">_xlfn.IFS(TABLE_PIVOT[[#This Row],[Duration]]&lt;=10,"Under 10 Mins",TABLE_PIVOT[[#This Row],[Duration]]&lt;=30,"10 to 30 Mins",TABLE_PIVOT[[#This Row],[Duration]]&lt;=60,"30 to 60 Mins",TABLE_PIVOT[[#This Row],[Duration]]&lt;=120,"1 to 2 Hours",TRUE,"More Than 2 Hours")</f>
        <v>1 to 2 Hours</v>
      </c>
      <c r="K597" s="82">
        <f>ROUND(TABLE_PIVOT[[#This Row],[Satisfaction Rating]],0)</f>
        <v>2</v>
      </c>
    </row>
    <row r="598" spans="1:11" x14ac:dyDescent="0.3">
      <c r="A598" s="8" t="s">
        <v>2224</v>
      </c>
      <c r="B598" s="8" t="s">
        <v>1613</v>
      </c>
      <c r="C598" s="8">
        <v>57</v>
      </c>
      <c r="D598" s="120" t="s">
        <v>1611</v>
      </c>
      <c r="E598" s="121">
        <v>45112</v>
      </c>
      <c r="F598" s="8">
        <v>120</v>
      </c>
      <c r="G598" s="8">
        <v>3.5</v>
      </c>
      <c r="H598" s="82">
        <f>IF(MONTH(TABLE_PIVOT[[#This Row],[Date of Call]])&lt;=6,YEAR(TABLE_PIVOT[[#This Row],[Date of Call]]),YEAR(TABLE_PIVOT[[#This Row],[Date of Call]])+1)</f>
        <v>2024</v>
      </c>
      <c r="I598" s="82" t="str">
        <f>TEXT(TABLE_PIVOT[[#This Row],[Date of Call]],"DDDD")</f>
        <v>Wednesday</v>
      </c>
      <c r="J598" s="82" t="str" cm="1">
        <f t="array" ref="J598">_xlfn.IFS(TABLE_PIVOT[[#This Row],[Duration]]&lt;=10,"Under 10 Mins",TABLE_PIVOT[[#This Row],[Duration]]&lt;=30,"10 to 30 Mins",TABLE_PIVOT[[#This Row],[Duration]]&lt;=60,"30 to 60 Mins",TABLE_PIVOT[[#This Row],[Duration]]&lt;=120,"1 to 2 Hours",TRUE,"More Than 2 Hours")</f>
        <v>30 to 60 Mins</v>
      </c>
      <c r="K598" s="82">
        <f>ROUND(TABLE_PIVOT[[#This Row],[Satisfaction Rating]],0)</f>
        <v>4</v>
      </c>
    </row>
    <row r="599" spans="1:11" x14ac:dyDescent="0.3">
      <c r="A599" s="8" t="s">
        <v>2225</v>
      </c>
      <c r="B599" s="8" t="s">
        <v>1629</v>
      </c>
      <c r="C599" s="8">
        <v>68</v>
      </c>
      <c r="D599" s="120" t="s">
        <v>1626</v>
      </c>
      <c r="E599" s="121">
        <v>45112</v>
      </c>
      <c r="F599" s="8">
        <v>41</v>
      </c>
      <c r="G599" s="8">
        <v>3.1</v>
      </c>
      <c r="H599" s="82">
        <f>IF(MONTH(TABLE_PIVOT[[#This Row],[Date of Call]])&lt;=6,YEAR(TABLE_PIVOT[[#This Row],[Date of Call]]),YEAR(TABLE_PIVOT[[#This Row],[Date of Call]])+1)</f>
        <v>2024</v>
      </c>
      <c r="I599" s="82" t="str">
        <f>TEXT(TABLE_PIVOT[[#This Row],[Date of Call]],"DDDD")</f>
        <v>Wednesday</v>
      </c>
      <c r="J599" s="82" t="str" cm="1">
        <f t="array" ref="J599">_xlfn.IFS(TABLE_PIVOT[[#This Row],[Duration]]&lt;=10,"Under 10 Mins",TABLE_PIVOT[[#This Row],[Duration]]&lt;=30,"10 to 30 Mins",TABLE_PIVOT[[#This Row],[Duration]]&lt;=60,"30 to 60 Mins",TABLE_PIVOT[[#This Row],[Duration]]&lt;=120,"1 to 2 Hours",TRUE,"More Than 2 Hours")</f>
        <v>1 to 2 Hours</v>
      </c>
      <c r="K599" s="82">
        <f>ROUND(TABLE_PIVOT[[#This Row],[Satisfaction Rating]],0)</f>
        <v>3</v>
      </c>
    </row>
    <row r="600" spans="1:11" x14ac:dyDescent="0.3">
      <c r="A600" s="8" t="s">
        <v>2226</v>
      </c>
      <c r="B600" s="8" t="s">
        <v>1620</v>
      </c>
      <c r="C600" s="8">
        <v>128</v>
      </c>
      <c r="D600" s="120" t="s">
        <v>1626</v>
      </c>
      <c r="E600" s="121">
        <v>45112</v>
      </c>
      <c r="F600" s="8">
        <v>116</v>
      </c>
      <c r="G600" s="8">
        <v>2.2999999999999998</v>
      </c>
      <c r="H600" s="82">
        <f>IF(MONTH(TABLE_PIVOT[[#This Row],[Date of Call]])&lt;=6,YEAR(TABLE_PIVOT[[#This Row],[Date of Call]]),YEAR(TABLE_PIVOT[[#This Row],[Date of Call]])+1)</f>
        <v>2024</v>
      </c>
      <c r="I600" s="82" t="str">
        <f>TEXT(TABLE_PIVOT[[#This Row],[Date of Call]],"DDDD")</f>
        <v>Wednesday</v>
      </c>
      <c r="J600" s="82" t="str" cm="1">
        <f t="array" ref="J600">_xlfn.IFS(TABLE_PIVOT[[#This Row],[Duration]]&lt;=10,"Under 10 Mins",TABLE_PIVOT[[#This Row],[Duration]]&lt;=30,"10 to 30 Mins",TABLE_PIVOT[[#This Row],[Duration]]&lt;=60,"30 to 60 Mins",TABLE_PIVOT[[#This Row],[Duration]]&lt;=120,"1 to 2 Hours",TRUE,"More Than 2 Hours")</f>
        <v>More Than 2 Hours</v>
      </c>
      <c r="K600" s="82">
        <f>ROUND(TABLE_PIVOT[[#This Row],[Satisfaction Rating]],0)</f>
        <v>2</v>
      </c>
    </row>
    <row r="601" spans="1:11" x14ac:dyDescent="0.3">
      <c r="A601" s="8" t="s">
        <v>2227</v>
      </c>
      <c r="B601" s="8" t="s">
        <v>1610</v>
      </c>
      <c r="C601" s="8">
        <v>102</v>
      </c>
      <c r="D601" s="120" t="s">
        <v>1611</v>
      </c>
      <c r="E601" s="121">
        <v>45113</v>
      </c>
      <c r="F601" s="8">
        <v>70</v>
      </c>
      <c r="G601" s="8">
        <v>2.8</v>
      </c>
      <c r="H601" s="82">
        <f>IF(MONTH(TABLE_PIVOT[[#This Row],[Date of Call]])&lt;=6,YEAR(TABLE_PIVOT[[#This Row],[Date of Call]]),YEAR(TABLE_PIVOT[[#This Row],[Date of Call]])+1)</f>
        <v>2024</v>
      </c>
      <c r="I601" s="82" t="str">
        <f>TEXT(TABLE_PIVOT[[#This Row],[Date of Call]],"DDDD")</f>
        <v>Thursday</v>
      </c>
      <c r="J601" s="82" t="str" cm="1">
        <f t="array" ref="J601">_xlfn.IFS(TABLE_PIVOT[[#This Row],[Duration]]&lt;=10,"Under 10 Mins",TABLE_PIVOT[[#This Row],[Duration]]&lt;=30,"10 to 30 Mins",TABLE_PIVOT[[#This Row],[Duration]]&lt;=60,"30 to 60 Mins",TABLE_PIVOT[[#This Row],[Duration]]&lt;=120,"1 to 2 Hours",TRUE,"More Than 2 Hours")</f>
        <v>1 to 2 Hours</v>
      </c>
      <c r="K601" s="82">
        <f>ROUND(TABLE_PIVOT[[#This Row],[Satisfaction Rating]],0)</f>
        <v>3</v>
      </c>
    </row>
    <row r="602" spans="1:11" x14ac:dyDescent="0.3">
      <c r="A602" s="8" t="s">
        <v>2228</v>
      </c>
      <c r="B602" s="8" t="s">
        <v>1644</v>
      </c>
      <c r="C602" s="8">
        <v>52</v>
      </c>
      <c r="D602" s="120" t="s">
        <v>1621</v>
      </c>
      <c r="E602" s="121">
        <v>45113</v>
      </c>
      <c r="F602" s="8">
        <v>42</v>
      </c>
      <c r="G602" s="8">
        <v>4.5</v>
      </c>
      <c r="H602" s="82">
        <f>IF(MONTH(TABLE_PIVOT[[#This Row],[Date of Call]])&lt;=6,YEAR(TABLE_PIVOT[[#This Row],[Date of Call]]),YEAR(TABLE_PIVOT[[#This Row],[Date of Call]])+1)</f>
        <v>2024</v>
      </c>
      <c r="I602" s="82" t="str">
        <f>TEXT(TABLE_PIVOT[[#This Row],[Date of Call]],"DDDD")</f>
        <v>Thursday</v>
      </c>
      <c r="J602" s="82" t="str" cm="1">
        <f t="array" ref="J602">_xlfn.IFS(TABLE_PIVOT[[#This Row],[Duration]]&lt;=10,"Under 10 Mins",TABLE_PIVOT[[#This Row],[Duration]]&lt;=30,"10 to 30 Mins",TABLE_PIVOT[[#This Row],[Duration]]&lt;=60,"30 to 60 Mins",TABLE_PIVOT[[#This Row],[Duration]]&lt;=120,"1 to 2 Hours",TRUE,"More Than 2 Hours")</f>
        <v>30 to 60 Mins</v>
      </c>
      <c r="K602" s="82">
        <f>ROUND(TABLE_PIVOT[[#This Row],[Satisfaction Rating]],0)</f>
        <v>5</v>
      </c>
    </row>
    <row r="603" spans="1:11" x14ac:dyDescent="0.3">
      <c r="A603" s="8" t="s">
        <v>2229</v>
      </c>
      <c r="B603" s="8" t="s">
        <v>1620</v>
      </c>
      <c r="C603" s="8">
        <v>55</v>
      </c>
      <c r="D603" s="120" t="s">
        <v>1616</v>
      </c>
      <c r="E603" s="121">
        <v>45114</v>
      </c>
      <c r="F603" s="8">
        <v>112</v>
      </c>
      <c r="G603" s="8">
        <v>4.5</v>
      </c>
      <c r="H603" s="82">
        <f>IF(MONTH(TABLE_PIVOT[[#This Row],[Date of Call]])&lt;=6,YEAR(TABLE_PIVOT[[#This Row],[Date of Call]]),YEAR(TABLE_PIVOT[[#This Row],[Date of Call]])+1)</f>
        <v>2024</v>
      </c>
      <c r="I603" s="82" t="str">
        <f>TEXT(TABLE_PIVOT[[#This Row],[Date of Call]],"DDDD")</f>
        <v>Friday</v>
      </c>
      <c r="J603" s="82" t="str" cm="1">
        <f t="array" ref="J603">_xlfn.IFS(TABLE_PIVOT[[#This Row],[Duration]]&lt;=10,"Under 10 Mins",TABLE_PIVOT[[#This Row],[Duration]]&lt;=30,"10 to 30 Mins",TABLE_PIVOT[[#This Row],[Duration]]&lt;=60,"30 to 60 Mins",TABLE_PIVOT[[#This Row],[Duration]]&lt;=120,"1 to 2 Hours",TRUE,"More Than 2 Hours")</f>
        <v>30 to 60 Mins</v>
      </c>
      <c r="K603" s="82">
        <f>ROUND(TABLE_PIVOT[[#This Row],[Satisfaction Rating]],0)</f>
        <v>5</v>
      </c>
    </row>
    <row r="604" spans="1:11" x14ac:dyDescent="0.3">
      <c r="A604" s="8" t="s">
        <v>2230</v>
      </c>
      <c r="B604" s="8" t="s">
        <v>1618</v>
      </c>
      <c r="C604" s="8">
        <v>107</v>
      </c>
      <c r="D604" s="120" t="s">
        <v>1626</v>
      </c>
      <c r="E604" s="121">
        <v>45114</v>
      </c>
      <c r="F604" s="8">
        <v>20</v>
      </c>
      <c r="G604" s="8">
        <v>4.5</v>
      </c>
      <c r="H604" s="82">
        <f>IF(MONTH(TABLE_PIVOT[[#This Row],[Date of Call]])&lt;=6,YEAR(TABLE_PIVOT[[#This Row],[Date of Call]]),YEAR(TABLE_PIVOT[[#This Row],[Date of Call]])+1)</f>
        <v>2024</v>
      </c>
      <c r="I604" s="82" t="str">
        <f>TEXT(TABLE_PIVOT[[#This Row],[Date of Call]],"DDDD")</f>
        <v>Friday</v>
      </c>
      <c r="J604" s="82" t="str" cm="1">
        <f t="array" ref="J604">_xlfn.IFS(TABLE_PIVOT[[#This Row],[Duration]]&lt;=10,"Under 10 Mins",TABLE_PIVOT[[#This Row],[Duration]]&lt;=30,"10 to 30 Mins",TABLE_PIVOT[[#This Row],[Duration]]&lt;=60,"30 to 60 Mins",TABLE_PIVOT[[#This Row],[Duration]]&lt;=120,"1 to 2 Hours",TRUE,"More Than 2 Hours")</f>
        <v>1 to 2 Hours</v>
      </c>
      <c r="K604" s="82">
        <f>ROUND(TABLE_PIVOT[[#This Row],[Satisfaction Rating]],0)</f>
        <v>5</v>
      </c>
    </row>
    <row r="605" spans="1:11" x14ac:dyDescent="0.3">
      <c r="A605" s="8" t="s">
        <v>2231</v>
      </c>
      <c r="B605" s="8" t="s">
        <v>1635</v>
      </c>
      <c r="C605" s="8">
        <v>88</v>
      </c>
      <c r="D605" s="120" t="s">
        <v>1621</v>
      </c>
      <c r="E605" s="121">
        <v>45115</v>
      </c>
      <c r="F605" s="8">
        <v>110</v>
      </c>
      <c r="G605" s="8">
        <v>4.8</v>
      </c>
      <c r="H605" s="82">
        <f>IF(MONTH(TABLE_PIVOT[[#This Row],[Date of Call]])&lt;=6,YEAR(TABLE_PIVOT[[#This Row],[Date of Call]]),YEAR(TABLE_PIVOT[[#This Row],[Date of Call]])+1)</f>
        <v>2024</v>
      </c>
      <c r="I605" s="82" t="str">
        <f>TEXT(TABLE_PIVOT[[#This Row],[Date of Call]],"DDDD")</f>
        <v>Saturday</v>
      </c>
      <c r="J605" s="82" t="str" cm="1">
        <f t="array" ref="J605">_xlfn.IFS(TABLE_PIVOT[[#This Row],[Duration]]&lt;=10,"Under 10 Mins",TABLE_PIVOT[[#This Row],[Duration]]&lt;=30,"10 to 30 Mins",TABLE_PIVOT[[#This Row],[Duration]]&lt;=60,"30 to 60 Mins",TABLE_PIVOT[[#This Row],[Duration]]&lt;=120,"1 to 2 Hours",TRUE,"More Than 2 Hours")</f>
        <v>1 to 2 Hours</v>
      </c>
      <c r="K605" s="82">
        <f>ROUND(TABLE_PIVOT[[#This Row],[Satisfaction Rating]],0)</f>
        <v>5</v>
      </c>
    </row>
    <row r="606" spans="1:11" x14ac:dyDescent="0.3">
      <c r="A606" s="8" t="s">
        <v>2232</v>
      </c>
      <c r="B606" s="8" t="s">
        <v>1624</v>
      </c>
      <c r="C606" s="8">
        <v>49</v>
      </c>
      <c r="D606" s="120" t="s">
        <v>1621</v>
      </c>
      <c r="E606" s="121">
        <v>45115</v>
      </c>
      <c r="F606" s="8">
        <v>39</v>
      </c>
      <c r="G606" s="8">
        <v>4.5999999999999996</v>
      </c>
      <c r="H606" s="82">
        <f>IF(MONTH(TABLE_PIVOT[[#This Row],[Date of Call]])&lt;=6,YEAR(TABLE_PIVOT[[#This Row],[Date of Call]]),YEAR(TABLE_PIVOT[[#This Row],[Date of Call]])+1)</f>
        <v>2024</v>
      </c>
      <c r="I606" s="82" t="str">
        <f>TEXT(TABLE_PIVOT[[#This Row],[Date of Call]],"DDDD")</f>
        <v>Saturday</v>
      </c>
      <c r="J606" s="82" t="str" cm="1">
        <f t="array" ref="J606">_xlfn.IFS(TABLE_PIVOT[[#This Row],[Duration]]&lt;=10,"Under 10 Mins",TABLE_PIVOT[[#This Row],[Duration]]&lt;=30,"10 to 30 Mins",TABLE_PIVOT[[#This Row],[Duration]]&lt;=60,"30 to 60 Mins",TABLE_PIVOT[[#This Row],[Duration]]&lt;=120,"1 to 2 Hours",TRUE,"More Than 2 Hours")</f>
        <v>30 to 60 Mins</v>
      </c>
      <c r="K606" s="82">
        <f>ROUND(TABLE_PIVOT[[#This Row],[Satisfaction Rating]],0)</f>
        <v>5</v>
      </c>
    </row>
    <row r="607" spans="1:11" x14ac:dyDescent="0.3">
      <c r="A607" s="8" t="s">
        <v>2233</v>
      </c>
      <c r="B607" s="8" t="s">
        <v>1635</v>
      </c>
      <c r="C607" s="8">
        <v>72</v>
      </c>
      <c r="D607" s="120" t="s">
        <v>1611</v>
      </c>
      <c r="E607" s="121">
        <v>45115</v>
      </c>
      <c r="F607" s="8">
        <v>76</v>
      </c>
      <c r="G607" s="8">
        <v>4.5</v>
      </c>
      <c r="H607" s="82">
        <f>IF(MONTH(TABLE_PIVOT[[#This Row],[Date of Call]])&lt;=6,YEAR(TABLE_PIVOT[[#This Row],[Date of Call]]),YEAR(TABLE_PIVOT[[#This Row],[Date of Call]])+1)</f>
        <v>2024</v>
      </c>
      <c r="I607" s="82" t="str">
        <f>TEXT(TABLE_PIVOT[[#This Row],[Date of Call]],"DDDD")</f>
        <v>Saturday</v>
      </c>
      <c r="J607" s="82" t="str" cm="1">
        <f t="array" ref="J607">_xlfn.IFS(TABLE_PIVOT[[#This Row],[Duration]]&lt;=10,"Under 10 Mins",TABLE_PIVOT[[#This Row],[Duration]]&lt;=30,"10 to 30 Mins",TABLE_PIVOT[[#This Row],[Duration]]&lt;=60,"30 to 60 Mins",TABLE_PIVOT[[#This Row],[Duration]]&lt;=120,"1 to 2 Hours",TRUE,"More Than 2 Hours")</f>
        <v>1 to 2 Hours</v>
      </c>
      <c r="K607" s="82">
        <f>ROUND(TABLE_PIVOT[[#This Row],[Satisfaction Rating]],0)</f>
        <v>5</v>
      </c>
    </row>
    <row r="608" spans="1:11" x14ac:dyDescent="0.3">
      <c r="A608" s="8" t="s">
        <v>2234</v>
      </c>
      <c r="B608" s="8" t="s">
        <v>1613</v>
      </c>
      <c r="C608" s="8">
        <v>50</v>
      </c>
      <c r="D608" s="120" t="s">
        <v>1611</v>
      </c>
      <c r="E608" s="121">
        <v>45115</v>
      </c>
      <c r="F608" s="8">
        <v>40</v>
      </c>
      <c r="G608" s="8">
        <v>5</v>
      </c>
      <c r="H608" s="82">
        <f>IF(MONTH(TABLE_PIVOT[[#This Row],[Date of Call]])&lt;=6,YEAR(TABLE_PIVOT[[#This Row],[Date of Call]]),YEAR(TABLE_PIVOT[[#This Row],[Date of Call]])+1)</f>
        <v>2024</v>
      </c>
      <c r="I608" s="82" t="str">
        <f>TEXT(TABLE_PIVOT[[#This Row],[Date of Call]],"DDDD")</f>
        <v>Saturday</v>
      </c>
      <c r="J608" s="82" t="str" cm="1">
        <f t="array" ref="J608">_xlfn.IFS(TABLE_PIVOT[[#This Row],[Duration]]&lt;=10,"Under 10 Mins",TABLE_PIVOT[[#This Row],[Duration]]&lt;=30,"10 to 30 Mins",TABLE_PIVOT[[#This Row],[Duration]]&lt;=60,"30 to 60 Mins",TABLE_PIVOT[[#This Row],[Duration]]&lt;=120,"1 to 2 Hours",TRUE,"More Than 2 Hours")</f>
        <v>30 to 60 Mins</v>
      </c>
      <c r="K608" s="82">
        <f>ROUND(TABLE_PIVOT[[#This Row],[Satisfaction Rating]],0)</f>
        <v>5</v>
      </c>
    </row>
    <row r="609" spans="1:11" x14ac:dyDescent="0.3">
      <c r="A609" s="8" t="s">
        <v>2235</v>
      </c>
      <c r="B609" s="8" t="s">
        <v>1635</v>
      </c>
      <c r="C609" s="8">
        <v>52</v>
      </c>
      <c r="D609" s="120" t="s">
        <v>1626</v>
      </c>
      <c r="E609" s="121">
        <v>45115</v>
      </c>
      <c r="F609" s="8">
        <v>42</v>
      </c>
      <c r="G609" s="8">
        <v>4.8</v>
      </c>
      <c r="H609" s="82">
        <f>IF(MONTH(TABLE_PIVOT[[#This Row],[Date of Call]])&lt;=6,YEAR(TABLE_PIVOT[[#This Row],[Date of Call]]),YEAR(TABLE_PIVOT[[#This Row],[Date of Call]])+1)</f>
        <v>2024</v>
      </c>
      <c r="I609" s="82" t="str">
        <f>TEXT(TABLE_PIVOT[[#This Row],[Date of Call]],"DDDD")</f>
        <v>Saturday</v>
      </c>
      <c r="J609" s="82" t="str" cm="1">
        <f t="array" ref="J609">_xlfn.IFS(TABLE_PIVOT[[#This Row],[Duration]]&lt;=10,"Under 10 Mins",TABLE_PIVOT[[#This Row],[Duration]]&lt;=30,"10 to 30 Mins",TABLE_PIVOT[[#This Row],[Duration]]&lt;=60,"30 to 60 Mins",TABLE_PIVOT[[#This Row],[Duration]]&lt;=120,"1 to 2 Hours",TRUE,"More Than 2 Hours")</f>
        <v>30 to 60 Mins</v>
      </c>
      <c r="K609" s="82">
        <f>ROUND(TABLE_PIVOT[[#This Row],[Satisfaction Rating]],0)</f>
        <v>5</v>
      </c>
    </row>
    <row r="610" spans="1:11" x14ac:dyDescent="0.3">
      <c r="A610" s="8" t="s">
        <v>2236</v>
      </c>
      <c r="B610" s="8" t="s">
        <v>1615</v>
      </c>
      <c r="C610" s="8">
        <v>85</v>
      </c>
      <c r="D610" s="120" t="s">
        <v>1630</v>
      </c>
      <c r="E610" s="121">
        <v>45116</v>
      </c>
      <c r="F610" s="8">
        <v>215</v>
      </c>
      <c r="G610" s="8">
        <v>3.5</v>
      </c>
      <c r="H610" s="82">
        <f>IF(MONTH(TABLE_PIVOT[[#This Row],[Date of Call]])&lt;=6,YEAR(TABLE_PIVOT[[#This Row],[Date of Call]]),YEAR(TABLE_PIVOT[[#This Row],[Date of Call]])+1)</f>
        <v>2024</v>
      </c>
      <c r="I610" s="82" t="str">
        <f>TEXT(TABLE_PIVOT[[#This Row],[Date of Call]],"DDDD")</f>
        <v>Sunday</v>
      </c>
      <c r="J610" s="82" t="str" cm="1">
        <f t="array" ref="J610">_xlfn.IFS(TABLE_PIVOT[[#This Row],[Duration]]&lt;=10,"Under 10 Mins",TABLE_PIVOT[[#This Row],[Duration]]&lt;=30,"10 to 30 Mins",TABLE_PIVOT[[#This Row],[Duration]]&lt;=60,"30 to 60 Mins",TABLE_PIVOT[[#This Row],[Duration]]&lt;=120,"1 to 2 Hours",TRUE,"More Than 2 Hours")</f>
        <v>1 to 2 Hours</v>
      </c>
      <c r="K610" s="82">
        <f>ROUND(TABLE_PIVOT[[#This Row],[Satisfaction Rating]],0)</f>
        <v>4</v>
      </c>
    </row>
    <row r="611" spans="1:11" x14ac:dyDescent="0.3">
      <c r="A611" s="8" t="s">
        <v>2237</v>
      </c>
      <c r="B611" s="8" t="s">
        <v>1641</v>
      </c>
      <c r="C611" s="8">
        <v>98</v>
      </c>
      <c r="D611" s="120" t="s">
        <v>1630</v>
      </c>
      <c r="E611" s="121">
        <v>45117</v>
      </c>
      <c r="F611" s="8">
        <v>130</v>
      </c>
      <c r="G611" s="8">
        <v>3.4</v>
      </c>
      <c r="H611" s="82">
        <f>IF(MONTH(TABLE_PIVOT[[#This Row],[Date of Call]])&lt;=6,YEAR(TABLE_PIVOT[[#This Row],[Date of Call]]),YEAR(TABLE_PIVOT[[#This Row],[Date of Call]])+1)</f>
        <v>2024</v>
      </c>
      <c r="I611" s="82" t="str">
        <f>TEXT(TABLE_PIVOT[[#This Row],[Date of Call]],"DDDD")</f>
        <v>Monday</v>
      </c>
      <c r="J611" s="82" t="str" cm="1">
        <f t="array" ref="J611">_xlfn.IFS(TABLE_PIVOT[[#This Row],[Duration]]&lt;=10,"Under 10 Mins",TABLE_PIVOT[[#This Row],[Duration]]&lt;=30,"10 to 30 Mins",TABLE_PIVOT[[#This Row],[Duration]]&lt;=60,"30 to 60 Mins",TABLE_PIVOT[[#This Row],[Duration]]&lt;=120,"1 to 2 Hours",TRUE,"More Than 2 Hours")</f>
        <v>1 to 2 Hours</v>
      </c>
      <c r="K611" s="82">
        <f>ROUND(TABLE_PIVOT[[#This Row],[Satisfaction Rating]],0)</f>
        <v>3</v>
      </c>
    </row>
    <row r="612" spans="1:11" x14ac:dyDescent="0.3">
      <c r="A612" s="8" t="s">
        <v>2238</v>
      </c>
      <c r="B612" s="8" t="s">
        <v>1649</v>
      </c>
      <c r="C612" s="8">
        <v>52</v>
      </c>
      <c r="D612" s="120" t="s">
        <v>1630</v>
      </c>
      <c r="E612" s="121">
        <v>45117</v>
      </c>
      <c r="F612" s="8">
        <v>190</v>
      </c>
      <c r="G612" s="8">
        <v>3.3</v>
      </c>
      <c r="H612" s="82">
        <f>IF(MONTH(TABLE_PIVOT[[#This Row],[Date of Call]])&lt;=6,YEAR(TABLE_PIVOT[[#This Row],[Date of Call]]),YEAR(TABLE_PIVOT[[#This Row],[Date of Call]])+1)</f>
        <v>2024</v>
      </c>
      <c r="I612" s="82" t="str">
        <f>TEXT(TABLE_PIVOT[[#This Row],[Date of Call]],"DDDD")</f>
        <v>Monday</v>
      </c>
      <c r="J612" s="82" t="str" cm="1">
        <f t="array" ref="J612">_xlfn.IFS(TABLE_PIVOT[[#This Row],[Duration]]&lt;=10,"Under 10 Mins",TABLE_PIVOT[[#This Row],[Duration]]&lt;=30,"10 to 30 Mins",TABLE_PIVOT[[#This Row],[Duration]]&lt;=60,"30 to 60 Mins",TABLE_PIVOT[[#This Row],[Duration]]&lt;=120,"1 to 2 Hours",TRUE,"More Than 2 Hours")</f>
        <v>30 to 60 Mins</v>
      </c>
      <c r="K612" s="82">
        <f>ROUND(TABLE_PIVOT[[#This Row],[Satisfaction Rating]],0)</f>
        <v>3</v>
      </c>
    </row>
    <row r="613" spans="1:11" x14ac:dyDescent="0.3">
      <c r="A613" s="8" t="s">
        <v>2239</v>
      </c>
      <c r="B613" s="8" t="s">
        <v>1620</v>
      </c>
      <c r="C613" s="8">
        <v>154</v>
      </c>
      <c r="D613" s="120" t="s">
        <v>1621</v>
      </c>
      <c r="E613" s="121">
        <v>45117</v>
      </c>
      <c r="F613" s="8">
        <v>164</v>
      </c>
      <c r="G613" s="8">
        <v>4.9000000000000004</v>
      </c>
      <c r="H613" s="82">
        <f>IF(MONTH(TABLE_PIVOT[[#This Row],[Date of Call]])&lt;=6,YEAR(TABLE_PIVOT[[#This Row],[Date of Call]]),YEAR(TABLE_PIVOT[[#This Row],[Date of Call]])+1)</f>
        <v>2024</v>
      </c>
      <c r="I613" s="82" t="str">
        <f>TEXT(TABLE_PIVOT[[#This Row],[Date of Call]],"DDDD")</f>
        <v>Monday</v>
      </c>
      <c r="J613" s="82" t="str" cm="1">
        <f t="array" ref="J613">_xlfn.IFS(TABLE_PIVOT[[#This Row],[Duration]]&lt;=10,"Under 10 Mins",TABLE_PIVOT[[#This Row],[Duration]]&lt;=30,"10 to 30 Mins",TABLE_PIVOT[[#This Row],[Duration]]&lt;=60,"30 to 60 Mins",TABLE_PIVOT[[#This Row],[Duration]]&lt;=120,"1 to 2 Hours",TRUE,"More Than 2 Hours")</f>
        <v>More Than 2 Hours</v>
      </c>
      <c r="K613" s="82">
        <f>ROUND(TABLE_PIVOT[[#This Row],[Satisfaction Rating]],0)</f>
        <v>5</v>
      </c>
    </row>
    <row r="614" spans="1:11" x14ac:dyDescent="0.3">
      <c r="A614" s="8" t="s">
        <v>2240</v>
      </c>
      <c r="B614" s="8" t="s">
        <v>1682</v>
      </c>
      <c r="C614" s="8">
        <v>131</v>
      </c>
      <c r="D614" s="120" t="s">
        <v>1616</v>
      </c>
      <c r="E614" s="121">
        <v>45118</v>
      </c>
      <c r="F614" s="8">
        <v>76</v>
      </c>
      <c r="G614" s="8">
        <v>4.5</v>
      </c>
      <c r="H614" s="82">
        <f>IF(MONTH(TABLE_PIVOT[[#This Row],[Date of Call]])&lt;=6,YEAR(TABLE_PIVOT[[#This Row],[Date of Call]]),YEAR(TABLE_PIVOT[[#This Row],[Date of Call]])+1)</f>
        <v>2024</v>
      </c>
      <c r="I614" s="82" t="str">
        <f>TEXT(TABLE_PIVOT[[#This Row],[Date of Call]],"DDDD")</f>
        <v>Tuesday</v>
      </c>
      <c r="J614" s="82" t="str" cm="1">
        <f t="array" ref="J614">_xlfn.IFS(TABLE_PIVOT[[#This Row],[Duration]]&lt;=10,"Under 10 Mins",TABLE_PIVOT[[#This Row],[Duration]]&lt;=30,"10 to 30 Mins",TABLE_PIVOT[[#This Row],[Duration]]&lt;=60,"30 to 60 Mins",TABLE_PIVOT[[#This Row],[Duration]]&lt;=120,"1 to 2 Hours",TRUE,"More Than 2 Hours")</f>
        <v>More Than 2 Hours</v>
      </c>
      <c r="K614" s="82">
        <f>ROUND(TABLE_PIVOT[[#This Row],[Satisfaction Rating]],0)</f>
        <v>5</v>
      </c>
    </row>
    <row r="615" spans="1:11" x14ac:dyDescent="0.3">
      <c r="A615" s="8" t="s">
        <v>2241</v>
      </c>
      <c r="B615" s="8" t="s">
        <v>1615</v>
      </c>
      <c r="C615" s="8">
        <v>73</v>
      </c>
      <c r="D615" s="120" t="s">
        <v>1616</v>
      </c>
      <c r="E615" s="121">
        <v>45119</v>
      </c>
      <c r="F615" s="8">
        <v>87</v>
      </c>
      <c r="G615" s="8">
        <v>4.8</v>
      </c>
      <c r="H615" s="82">
        <f>IF(MONTH(TABLE_PIVOT[[#This Row],[Date of Call]])&lt;=6,YEAR(TABLE_PIVOT[[#This Row],[Date of Call]]),YEAR(TABLE_PIVOT[[#This Row],[Date of Call]])+1)</f>
        <v>2024</v>
      </c>
      <c r="I615" s="82" t="str">
        <f>TEXT(TABLE_PIVOT[[#This Row],[Date of Call]],"DDDD")</f>
        <v>Wednesday</v>
      </c>
      <c r="J615" s="82" t="str" cm="1">
        <f t="array" ref="J615">_xlfn.IFS(TABLE_PIVOT[[#This Row],[Duration]]&lt;=10,"Under 10 Mins",TABLE_PIVOT[[#This Row],[Duration]]&lt;=30,"10 to 30 Mins",TABLE_PIVOT[[#This Row],[Duration]]&lt;=60,"30 to 60 Mins",TABLE_PIVOT[[#This Row],[Duration]]&lt;=120,"1 to 2 Hours",TRUE,"More Than 2 Hours")</f>
        <v>1 to 2 Hours</v>
      </c>
      <c r="K615" s="82">
        <f>ROUND(TABLE_PIVOT[[#This Row],[Satisfaction Rating]],0)</f>
        <v>5</v>
      </c>
    </row>
    <row r="616" spans="1:11" x14ac:dyDescent="0.3">
      <c r="A616" s="8" t="s">
        <v>2242</v>
      </c>
      <c r="B616" s="8" t="s">
        <v>1633</v>
      </c>
      <c r="C616" s="8">
        <v>45</v>
      </c>
      <c r="D616" s="120" t="s">
        <v>1630</v>
      </c>
      <c r="E616" s="121">
        <v>45119</v>
      </c>
      <c r="F616" s="8">
        <v>84</v>
      </c>
      <c r="G616" s="8">
        <v>4.8</v>
      </c>
      <c r="H616" s="82">
        <f>IF(MONTH(TABLE_PIVOT[[#This Row],[Date of Call]])&lt;=6,YEAR(TABLE_PIVOT[[#This Row],[Date of Call]]),YEAR(TABLE_PIVOT[[#This Row],[Date of Call]])+1)</f>
        <v>2024</v>
      </c>
      <c r="I616" s="82" t="str">
        <f>TEXT(TABLE_PIVOT[[#This Row],[Date of Call]],"DDDD")</f>
        <v>Wednesday</v>
      </c>
      <c r="J616" s="82" t="str" cm="1">
        <f t="array" ref="J616">_xlfn.IFS(TABLE_PIVOT[[#This Row],[Duration]]&lt;=10,"Under 10 Mins",TABLE_PIVOT[[#This Row],[Duration]]&lt;=30,"10 to 30 Mins",TABLE_PIVOT[[#This Row],[Duration]]&lt;=60,"30 to 60 Mins",TABLE_PIVOT[[#This Row],[Duration]]&lt;=120,"1 to 2 Hours",TRUE,"More Than 2 Hours")</f>
        <v>30 to 60 Mins</v>
      </c>
      <c r="K616" s="82">
        <f>ROUND(TABLE_PIVOT[[#This Row],[Satisfaction Rating]],0)</f>
        <v>5</v>
      </c>
    </row>
    <row r="617" spans="1:11" x14ac:dyDescent="0.3">
      <c r="A617" s="8" t="s">
        <v>2243</v>
      </c>
      <c r="B617" s="8" t="s">
        <v>1644</v>
      </c>
      <c r="C617" s="8">
        <v>114</v>
      </c>
      <c r="D617" s="120" t="s">
        <v>1626</v>
      </c>
      <c r="E617" s="121">
        <v>45119</v>
      </c>
      <c r="F617" s="8">
        <v>114</v>
      </c>
      <c r="G617" s="8">
        <v>3.9</v>
      </c>
      <c r="H617" s="82">
        <f>IF(MONTH(TABLE_PIVOT[[#This Row],[Date of Call]])&lt;=6,YEAR(TABLE_PIVOT[[#This Row],[Date of Call]]),YEAR(TABLE_PIVOT[[#This Row],[Date of Call]])+1)</f>
        <v>2024</v>
      </c>
      <c r="I617" s="82" t="str">
        <f>TEXT(TABLE_PIVOT[[#This Row],[Date of Call]],"DDDD")</f>
        <v>Wednesday</v>
      </c>
      <c r="J617" s="82" t="str" cm="1">
        <f t="array" ref="J617">_xlfn.IFS(TABLE_PIVOT[[#This Row],[Duration]]&lt;=10,"Under 10 Mins",TABLE_PIVOT[[#This Row],[Duration]]&lt;=30,"10 to 30 Mins",TABLE_PIVOT[[#This Row],[Duration]]&lt;=60,"30 to 60 Mins",TABLE_PIVOT[[#This Row],[Duration]]&lt;=120,"1 to 2 Hours",TRUE,"More Than 2 Hours")</f>
        <v>1 to 2 Hours</v>
      </c>
      <c r="K617" s="82">
        <f>ROUND(TABLE_PIVOT[[#This Row],[Satisfaction Rating]],0)</f>
        <v>4</v>
      </c>
    </row>
    <row r="618" spans="1:11" x14ac:dyDescent="0.3">
      <c r="A618" s="8" t="s">
        <v>2244</v>
      </c>
      <c r="B618" s="8" t="s">
        <v>1641</v>
      </c>
      <c r="C618" s="8">
        <v>69</v>
      </c>
      <c r="D618" s="120" t="s">
        <v>1616</v>
      </c>
      <c r="E618" s="121">
        <v>45120</v>
      </c>
      <c r="F618" s="8">
        <v>56</v>
      </c>
      <c r="G618" s="8">
        <v>3.9</v>
      </c>
      <c r="H618" s="82">
        <f>IF(MONTH(TABLE_PIVOT[[#This Row],[Date of Call]])&lt;=6,YEAR(TABLE_PIVOT[[#This Row],[Date of Call]]),YEAR(TABLE_PIVOT[[#This Row],[Date of Call]])+1)</f>
        <v>2024</v>
      </c>
      <c r="I618" s="82" t="str">
        <f>TEXT(TABLE_PIVOT[[#This Row],[Date of Call]],"DDDD")</f>
        <v>Thursday</v>
      </c>
      <c r="J618" s="82" t="str" cm="1">
        <f t="array" ref="J618">_xlfn.IFS(TABLE_PIVOT[[#This Row],[Duration]]&lt;=10,"Under 10 Mins",TABLE_PIVOT[[#This Row],[Duration]]&lt;=30,"10 to 30 Mins",TABLE_PIVOT[[#This Row],[Duration]]&lt;=60,"30 to 60 Mins",TABLE_PIVOT[[#This Row],[Duration]]&lt;=120,"1 to 2 Hours",TRUE,"More Than 2 Hours")</f>
        <v>1 to 2 Hours</v>
      </c>
      <c r="K618" s="82">
        <f>ROUND(TABLE_PIVOT[[#This Row],[Satisfaction Rating]],0)</f>
        <v>4</v>
      </c>
    </row>
    <row r="619" spans="1:11" x14ac:dyDescent="0.3">
      <c r="A619" s="8" t="s">
        <v>2245</v>
      </c>
      <c r="B619" s="8" t="s">
        <v>1682</v>
      </c>
      <c r="C619" s="8">
        <v>33</v>
      </c>
      <c r="D619" s="120" t="s">
        <v>1621</v>
      </c>
      <c r="E619" s="121">
        <v>45120</v>
      </c>
      <c r="F619" s="8">
        <v>27</v>
      </c>
      <c r="G619" s="8">
        <v>3.7</v>
      </c>
      <c r="H619" s="82">
        <f>IF(MONTH(TABLE_PIVOT[[#This Row],[Date of Call]])&lt;=6,YEAR(TABLE_PIVOT[[#This Row],[Date of Call]]),YEAR(TABLE_PIVOT[[#This Row],[Date of Call]])+1)</f>
        <v>2024</v>
      </c>
      <c r="I619" s="82" t="str">
        <f>TEXT(TABLE_PIVOT[[#This Row],[Date of Call]],"DDDD")</f>
        <v>Thursday</v>
      </c>
      <c r="J619" s="82" t="str" cm="1">
        <f t="array" ref="J619">_xlfn.IFS(TABLE_PIVOT[[#This Row],[Duration]]&lt;=10,"Under 10 Mins",TABLE_PIVOT[[#This Row],[Duration]]&lt;=30,"10 to 30 Mins",TABLE_PIVOT[[#This Row],[Duration]]&lt;=60,"30 to 60 Mins",TABLE_PIVOT[[#This Row],[Duration]]&lt;=120,"1 to 2 Hours",TRUE,"More Than 2 Hours")</f>
        <v>30 to 60 Mins</v>
      </c>
      <c r="K619" s="82">
        <f>ROUND(TABLE_PIVOT[[#This Row],[Satisfaction Rating]],0)</f>
        <v>4</v>
      </c>
    </row>
    <row r="620" spans="1:11" x14ac:dyDescent="0.3">
      <c r="A620" s="8" t="s">
        <v>2246</v>
      </c>
      <c r="B620" s="8" t="s">
        <v>1613</v>
      </c>
      <c r="C620" s="8">
        <v>31</v>
      </c>
      <c r="D620" s="120" t="s">
        <v>1611</v>
      </c>
      <c r="E620" s="121">
        <v>45121</v>
      </c>
      <c r="F620" s="8">
        <v>84</v>
      </c>
      <c r="G620" s="8">
        <v>4.8</v>
      </c>
      <c r="H620" s="82">
        <f>IF(MONTH(TABLE_PIVOT[[#This Row],[Date of Call]])&lt;=6,YEAR(TABLE_PIVOT[[#This Row],[Date of Call]]),YEAR(TABLE_PIVOT[[#This Row],[Date of Call]])+1)</f>
        <v>2024</v>
      </c>
      <c r="I620" s="82" t="str">
        <f>TEXT(TABLE_PIVOT[[#This Row],[Date of Call]],"DDDD")</f>
        <v>Friday</v>
      </c>
      <c r="J620" s="82" t="str" cm="1">
        <f t="array" ref="J620">_xlfn.IFS(TABLE_PIVOT[[#This Row],[Duration]]&lt;=10,"Under 10 Mins",TABLE_PIVOT[[#This Row],[Duration]]&lt;=30,"10 to 30 Mins",TABLE_PIVOT[[#This Row],[Duration]]&lt;=60,"30 to 60 Mins",TABLE_PIVOT[[#This Row],[Duration]]&lt;=120,"1 to 2 Hours",TRUE,"More Than 2 Hours")</f>
        <v>30 to 60 Mins</v>
      </c>
      <c r="K620" s="82">
        <f>ROUND(TABLE_PIVOT[[#This Row],[Satisfaction Rating]],0)</f>
        <v>5</v>
      </c>
    </row>
    <row r="621" spans="1:11" x14ac:dyDescent="0.3">
      <c r="A621" s="8" t="s">
        <v>2247</v>
      </c>
      <c r="B621" s="8" t="s">
        <v>1633</v>
      </c>
      <c r="C621" s="8">
        <v>168</v>
      </c>
      <c r="D621" s="120" t="s">
        <v>1621</v>
      </c>
      <c r="E621" s="121">
        <v>45121</v>
      </c>
      <c r="F621" s="8">
        <v>72</v>
      </c>
      <c r="G621" s="8">
        <v>3.5</v>
      </c>
      <c r="H621" s="82">
        <f>IF(MONTH(TABLE_PIVOT[[#This Row],[Date of Call]])&lt;=6,YEAR(TABLE_PIVOT[[#This Row],[Date of Call]]),YEAR(TABLE_PIVOT[[#This Row],[Date of Call]])+1)</f>
        <v>2024</v>
      </c>
      <c r="I621" s="82" t="str">
        <f>TEXT(TABLE_PIVOT[[#This Row],[Date of Call]],"DDDD")</f>
        <v>Friday</v>
      </c>
      <c r="J621" s="82" t="str" cm="1">
        <f t="array" ref="J621">_xlfn.IFS(TABLE_PIVOT[[#This Row],[Duration]]&lt;=10,"Under 10 Mins",TABLE_PIVOT[[#This Row],[Duration]]&lt;=30,"10 to 30 Mins",TABLE_PIVOT[[#This Row],[Duration]]&lt;=60,"30 to 60 Mins",TABLE_PIVOT[[#This Row],[Duration]]&lt;=120,"1 to 2 Hours",TRUE,"More Than 2 Hours")</f>
        <v>More Than 2 Hours</v>
      </c>
      <c r="K621" s="82">
        <f>ROUND(TABLE_PIVOT[[#This Row],[Satisfaction Rating]],0)</f>
        <v>4</v>
      </c>
    </row>
    <row r="622" spans="1:11" x14ac:dyDescent="0.3">
      <c r="A622" s="8" t="s">
        <v>2248</v>
      </c>
      <c r="B622" s="8" t="s">
        <v>1615</v>
      </c>
      <c r="C622" s="8">
        <v>111</v>
      </c>
      <c r="D622" s="120" t="s">
        <v>1626</v>
      </c>
      <c r="E622" s="121">
        <v>45122</v>
      </c>
      <c r="F622" s="8">
        <v>126</v>
      </c>
      <c r="G622" s="8">
        <v>4.2</v>
      </c>
      <c r="H622" s="82">
        <f>IF(MONTH(TABLE_PIVOT[[#This Row],[Date of Call]])&lt;=6,YEAR(TABLE_PIVOT[[#This Row],[Date of Call]]),YEAR(TABLE_PIVOT[[#This Row],[Date of Call]])+1)</f>
        <v>2024</v>
      </c>
      <c r="I622" s="82" t="str">
        <f>TEXT(TABLE_PIVOT[[#This Row],[Date of Call]],"DDDD")</f>
        <v>Saturday</v>
      </c>
      <c r="J622" s="82" t="str" cm="1">
        <f t="array" ref="J622">_xlfn.IFS(TABLE_PIVOT[[#This Row],[Duration]]&lt;=10,"Under 10 Mins",TABLE_PIVOT[[#This Row],[Duration]]&lt;=30,"10 to 30 Mins",TABLE_PIVOT[[#This Row],[Duration]]&lt;=60,"30 to 60 Mins",TABLE_PIVOT[[#This Row],[Duration]]&lt;=120,"1 to 2 Hours",TRUE,"More Than 2 Hours")</f>
        <v>1 to 2 Hours</v>
      </c>
      <c r="K622" s="82">
        <f>ROUND(TABLE_PIVOT[[#This Row],[Satisfaction Rating]],0)</f>
        <v>4</v>
      </c>
    </row>
    <row r="623" spans="1:11" x14ac:dyDescent="0.3">
      <c r="A623" s="8" t="s">
        <v>2249</v>
      </c>
      <c r="B623" s="8" t="s">
        <v>1613</v>
      </c>
      <c r="C623" s="8">
        <v>80</v>
      </c>
      <c r="D623" s="120" t="s">
        <v>1621</v>
      </c>
      <c r="E623" s="121">
        <v>45123</v>
      </c>
      <c r="F623" s="8">
        <v>88</v>
      </c>
      <c r="G623" s="8">
        <v>4.9000000000000004</v>
      </c>
      <c r="H623" s="82">
        <f>IF(MONTH(TABLE_PIVOT[[#This Row],[Date of Call]])&lt;=6,YEAR(TABLE_PIVOT[[#This Row],[Date of Call]]),YEAR(TABLE_PIVOT[[#This Row],[Date of Call]])+1)</f>
        <v>2024</v>
      </c>
      <c r="I623" s="82" t="str">
        <f>TEXT(TABLE_PIVOT[[#This Row],[Date of Call]],"DDDD")</f>
        <v>Sunday</v>
      </c>
      <c r="J623" s="82" t="str" cm="1">
        <f t="array" ref="J623">_xlfn.IFS(TABLE_PIVOT[[#This Row],[Duration]]&lt;=10,"Under 10 Mins",TABLE_PIVOT[[#This Row],[Duration]]&lt;=30,"10 to 30 Mins",TABLE_PIVOT[[#This Row],[Duration]]&lt;=60,"30 to 60 Mins",TABLE_PIVOT[[#This Row],[Duration]]&lt;=120,"1 to 2 Hours",TRUE,"More Than 2 Hours")</f>
        <v>1 to 2 Hours</v>
      </c>
      <c r="K623" s="82">
        <f>ROUND(TABLE_PIVOT[[#This Row],[Satisfaction Rating]],0)</f>
        <v>5</v>
      </c>
    </row>
    <row r="624" spans="1:11" x14ac:dyDescent="0.3">
      <c r="A624" s="8" t="s">
        <v>2250</v>
      </c>
      <c r="B624" s="8" t="s">
        <v>1610</v>
      </c>
      <c r="C624" s="8">
        <v>37</v>
      </c>
      <c r="D624" s="120" t="s">
        <v>1621</v>
      </c>
      <c r="E624" s="121">
        <v>45123</v>
      </c>
      <c r="F624" s="8">
        <v>124</v>
      </c>
      <c r="G624" s="8">
        <v>4.5999999999999996</v>
      </c>
      <c r="H624" s="82">
        <f>IF(MONTH(TABLE_PIVOT[[#This Row],[Date of Call]])&lt;=6,YEAR(TABLE_PIVOT[[#This Row],[Date of Call]]),YEAR(TABLE_PIVOT[[#This Row],[Date of Call]])+1)</f>
        <v>2024</v>
      </c>
      <c r="I624" s="82" t="str">
        <f>TEXT(TABLE_PIVOT[[#This Row],[Date of Call]],"DDDD")</f>
        <v>Sunday</v>
      </c>
      <c r="J624" s="82" t="str" cm="1">
        <f t="array" ref="J624">_xlfn.IFS(TABLE_PIVOT[[#This Row],[Duration]]&lt;=10,"Under 10 Mins",TABLE_PIVOT[[#This Row],[Duration]]&lt;=30,"10 to 30 Mins",TABLE_PIVOT[[#This Row],[Duration]]&lt;=60,"30 to 60 Mins",TABLE_PIVOT[[#This Row],[Duration]]&lt;=120,"1 to 2 Hours",TRUE,"More Than 2 Hours")</f>
        <v>30 to 60 Mins</v>
      </c>
      <c r="K624" s="82">
        <f>ROUND(TABLE_PIVOT[[#This Row],[Satisfaction Rating]],0)</f>
        <v>5</v>
      </c>
    </row>
    <row r="625" spans="1:11" x14ac:dyDescent="0.3">
      <c r="A625" s="8" t="s">
        <v>2251</v>
      </c>
      <c r="B625" s="8" t="s">
        <v>1662</v>
      </c>
      <c r="C625" s="8">
        <v>137</v>
      </c>
      <c r="D625" s="120" t="s">
        <v>1621</v>
      </c>
      <c r="E625" s="121">
        <v>45124</v>
      </c>
      <c r="F625" s="8">
        <v>84</v>
      </c>
      <c r="G625" s="8">
        <v>2.6</v>
      </c>
      <c r="H625" s="82">
        <f>IF(MONTH(TABLE_PIVOT[[#This Row],[Date of Call]])&lt;=6,YEAR(TABLE_PIVOT[[#This Row],[Date of Call]]),YEAR(TABLE_PIVOT[[#This Row],[Date of Call]])+1)</f>
        <v>2024</v>
      </c>
      <c r="I625" s="82" t="str">
        <f>TEXT(TABLE_PIVOT[[#This Row],[Date of Call]],"DDDD")</f>
        <v>Monday</v>
      </c>
      <c r="J625" s="82" t="str" cm="1">
        <f t="array" ref="J625">_xlfn.IFS(TABLE_PIVOT[[#This Row],[Duration]]&lt;=10,"Under 10 Mins",TABLE_PIVOT[[#This Row],[Duration]]&lt;=30,"10 to 30 Mins",TABLE_PIVOT[[#This Row],[Duration]]&lt;=60,"30 to 60 Mins",TABLE_PIVOT[[#This Row],[Duration]]&lt;=120,"1 to 2 Hours",TRUE,"More Than 2 Hours")</f>
        <v>More Than 2 Hours</v>
      </c>
      <c r="K625" s="82">
        <f>ROUND(TABLE_PIVOT[[#This Row],[Satisfaction Rating]],0)</f>
        <v>3</v>
      </c>
    </row>
    <row r="626" spans="1:11" x14ac:dyDescent="0.3">
      <c r="A626" s="8" t="s">
        <v>2252</v>
      </c>
      <c r="B626" s="8" t="s">
        <v>1641</v>
      </c>
      <c r="C626" s="8">
        <v>123</v>
      </c>
      <c r="D626" s="120" t="s">
        <v>1626</v>
      </c>
      <c r="E626" s="121">
        <v>45124</v>
      </c>
      <c r="F626" s="8">
        <v>80</v>
      </c>
      <c r="G626" s="8">
        <v>2.7</v>
      </c>
      <c r="H626" s="82">
        <f>IF(MONTH(TABLE_PIVOT[[#This Row],[Date of Call]])&lt;=6,YEAR(TABLE_PIVOT[[#This Row],[Date of Call]]),YEAR(TABLE_PIVOT[[#This Row],[Date of Call]])+1)</f>
        <v>2024</v>
      </c>
      <c r="I626" s="82" t="str">
        <f>TEXT(TABLE_PIVOT[[#This Row],[Date of Call]],"DDDD")</f>
        <v>Monday</v>
      </c>
      <c r="J626" s="82" t="str" cm="1">
        <f t="array" ref="J626">_xlfn.IFS(TABLE_PIVOT[[#This Row],[Duration]]&lt;=10,"Under 10 Mins",TABLE_PIVOT[[#This Row],[Duration]]&lt;=30,"10 to 30 Mins",TABLE_PIVOT[[#This Row],[Duration]]&lt;=60,"30 to 60 Mins",TABLE_PIVOT[[#This Row],[Duration]]&lt;=120,"1 to 2 Hours",TRUE,"More Than 2 Hours")</f>
        <v>More Than 2 Hours</v>
      </c>
      <c r="K626" s="82">
        <f>ROUND(TABLE_PIVOT[[#This Row],[Satisfaction Rating]],0)</f>
        <v>3</v>
      </c>
    </row>
    <row r="627" spans="1:11" x14ac:dyDescent="0.3">
      <c r="A627" s="8" t="s">
        <v>2253</v>
      </c>
      <c r="B627" s="8" t="s">
        <v>1652</v>
      </c>
      <c r="C627" s="8">
        <v>105</v>
      </c>
      <c r="D627" s="120" t="s">
        <v>1626</v>
      </c>
      <c r="E627" s="121">
        <v>45125</v>
      </c>
      <c r="F627" s="8">
        <v>176</v>
      </c>
      <c r="G627" s="8">
        <v>4.7</v>
      </c>
      <c r="H627" s="82">
        <f>IF(MONTH(TABLE_PIVOT[[#This Row],[Date of Call]])&lt;=6,YEAR(TABLE_PIVOT[[#This Row],[Date of Call]]),YEAR(TABLE_PIVOT[[#This Row],[Date of Call]])+1)</f>
        <v>2024</v>
      </c>
      <c r="I627" s="82" t="str">
        <f>TEXT(TABLE_PIVOT[[#This Row],[Date of Call]],"DDDD")</f>
        <v>Tuesday</v>
      </c>
      <c r="J627" s="82" t="str" cm="1">
        <f t="array" ref="J627">_xlfn.IFS(TABLE_PIVOT[[#This Row],[Duration]]&lt;=10,"Under 10 Mins",TABLE_PIVOT[[#This Row],[Duration]]&lt;=30,"10 to 30 Mins",TABLE_PIVOT[[#This Row],[Duration]]&lt;=60,"30 to 60 Mins",TABLE_PIVOT[[#This Row],[Duration]]&lt;=120,"1 to 2 Hours",TRUE,"More Than 2 Hours")</f>
        <v>1 to 2 Hours</v>
      </c>
      <c r="K627" s="82">
        <f>ROUND(TABLE_PIVOT[[#This Row],[Satisfaction Rating]],0)</f>
        <v>5</v>
      </c>
    </row>
    <row r="628" spans="1:11" x14ac:dyDescent="0.3">
      <c r="A628" s="8" t="s">
        <v>2254</v>
      </c>
      <c r="B628" s="8" t="s">
        <v>1610</v>
      </c>
      <c r="C628" s="8">
        <v>76</v>
      </c>
      <c r="D628" s="120" t="s">
        <v>1630</v>
      </c>
      <c r="E628" s="121">
        <v>45126</v>
      </c>
      <c r="F628" s="8">
        <v>84</v>
      </c>
      <c r="G628" s="8">
        <v>3.9</v>
      </c>
      <c r="H628" s="82">
        <f>IF(MONTH(TABLE_PIVOT[[#This Row],[Date of Call]])&lt;=6,YEAR(TABLE_PIVOT[[#This Row],[Date of Call]]),YEAR(TABLE_PIVOT[[#This Row],[Date of Call]])+1)</f>
        <v>2024</v>
      </c>
      <c r="I628" s="82" t="str">
        <f>TEXT(TABLE_PIVOT[[#This Row],[Date of Call]],"DDDD")</f>
        <v>Wednesday</v>
      </c>
      <c r="J628" s="82" t="str" cm="1">
        <f t="array" ref="J628">_xlfn.IFS(TABLE_PIVOT[[#This Row],[Duration]]&lt;=10,"Under 10 Mins",TABLE_PIVOT[[#This Row],[Duration]]&lt;=30,"10 to 30 Mins",TABLE_PIVOT[[#This Row],[Duration]]&lt;=60,"30 to 60 Mins",TABLE_PIVOT[[#This Row],[Duration]]&lt;=120,"1 to 2 Hours",TRUE,"More Than 2 Hours")</f>
        <v>1 to 2 Hours</v>
      </c>
      <c r="K628" s="82">
        <f>ROUND(TABLE_PIVOT[[#This Row],[Satisfaction Rating]],0)</f>
        <v>4</v>
      </c>
    </row>
    <row r="629" spans="1:11" x14ac:dyDescent="0.3">
      <c r="A629" s="8" t="s">
        <v>2255</v>
      </c>
      <c r="B629" s="8" t="s">
        <v>1613</v>
      </c>
      <c r="C629" s="8">
        <v>144</v>
      </c>
      <c r="D629" s="120" t="s">
        <v>1630</v>
      </c>
      <c r="E629" s="121">
        <v>45126</v>
      </c>
      <c r="F629" s="8">
        <v>164</v>
      </c>
      <c r="G629" s="8">
        <v>2.8</v>
      </c>
      <c r="H629" s="82">
        <f>IF(MONTH(TABLE_PIVOT[[#This Row],[Date of Call]])&lt;=6,YEAR(TABLE_PIVOT[[#This Row],[Date of Call]]),YEAR(TABLE_PIVOT[[#This Row],[Date of Call]])+1)</f>
        <v>2024</v>
      </c>
      <c r="I629" s="82" t="str">
        <f>TEXT(TABLE_PIVOT[[#This Row],[Date of Call]],"DDDD")</f>
        <v>Wednesday</v>
      </c>
      <c r="J629" s="82" t="str" cm="1">
        <f t="array" ref="J629">_xlfn.IFS(TABLE_PIVOT[[#This Row],[Duration]]&lt;=10,"Under 10 Mins",TABLE_PIVOT[[#This Row],[Duration]]&lt;=30,"10 to 30 Mins",TABLE_PIVOT[[#This Row],[Duration]]&lt;=60,"30 to 60 Mins",TABLE_PIVOT[[#This Row],[Duration]]&lt;=120,"1 to 2 Hours",TRUE,"More Than 2 Hours")</f>
        <v>More Than 2 Hours</v>
      </c>
      <c r="K629" s="82">
        <f>ROUND(TABLE_PIVOT[[#This Row],[Satisfaction Rating]],0)</f>
        <v>3</v>
      </c>
    </row>
    <row r="630" spans="1:11" x14ac:dyDescent="0.3">
      <c r="A630" s="8" t="s">
        <v>2256</v>
      </c>
      <c r="B630" s="8" t="s">
        <v>1682</v>
      </c>
      <c r="C630" s="8">
        <v>109</v>
      </c>
      <c r="D630" s="120" t="s">
        <v>1611</v>
      </c>
      <c r="E630" s="121">
        <v>45126</v>
      </c>
      <c r="F630" s="8">
        <v>132</v>
      </c>
      <c r="G630" s="8">
        <v>3.1</v>
      </c>
      <c r="H630" s="82">
        <f>IF(MONTH(TABLE_PIVOT[[#This Row],[Date of Call]])&lt;=6,YEAR(TABLE_PIVOT[[#This Row],[Date of Call]]),YEAR(TABLE_PIVOT[[#This Row],[Date of Call]])+1)</f>
        <v>2024</v>
      </c>
      <c r="I630" s="82" t="str">
        <f>TEXT(TABLE_PIVOT[[#This Row],[Date of Call]],"DDDD")</f>
        <v>Wednesday</v>
      </c>
      <c r="J630" s="82" t="str" cm="1">
        <f t="array" ref="J630">_xlfn.IFS(TABLE_PIVOT[[#This Row],[Duration]]&lt;=10,"Under 10 Mins",TABLE_PIVOT[[#This Row],[Duration]]&lt;=30,"10 to 30 Mins",TABLE_PIVOT[[#This Row],[Duration]]&lt;=60,"30 to 60 Mins",TABLE_PIVOT[[#This Row],[Duration]]&lt;=120,"1 to 2 Hours",TRUE,"More Than 2 Hours")</f>
        <v>1 to 2 Hours</v>
      </c>
      <c r="K630" s="82">
        <f>ROUND(TABLE_PIVOT[[#This Row],[Satisfaction Rating]],0)</f>
        <v>3</v>
      </c>
    </row>
    <row r="631" spans="1:11" x14ac:dyDescent="0.3">
      <c r="A631" s="8" t="s">
        <v>2257</v>
      </c>
      <c r="B631" s="8" t="s">
        <v>1641</v>
      </c>
      <c r="C631" s="8">
        <v>172</v>
      </c>
      <c r="D631" s="120" t="s">
        <v>1621</v>
      </c>
      <c r="E631" s="121">
        <v>45127</v>
      </c>
      <c r="F631" s="8">
        <v>27</v>
      </c>
      <c r="G631" s="8">
        <v>4.2</v>
      </c>
      <c r="H631" s="82">
        <f>IF(MONTH(TABLE_PIVOT[[#This Row],[Date of Call]])&lt;=6,YEAR(TABLE_PIVOT[[#This Row],[Date of Call]]),YEAR(TABLE_PIVOT[[#This Row],[Date of Call]])+1)</f>
        <v>2024</v>
      </c>
      <c r="I631" s="82" t="str">
        <f>TEXT(TABLE_PIVOT[[#This Row],[Date of Call]],"DDDD")</f>
        <v>Thursday</v>
      </c>
      <c r="J631" s="82" t="str" cm="1">
        <f t="array" ref="J631">_xlfn.IFS(TABLE_PIVOT[[#This Row],[Duration]]&lt;=10,"Under 10 Mins",TABLE_PIVOT[[#This Row],[Duration]]&lt;=30,"10 to 30 Mins",TABLE_PIVOT[[#This Row],[Duration]]&lt;=60,"30 to 60 Mins",TABLE_PIVOT[[#This Row],[Duration]]&lt;=120,"1 to 2 Hours",TRUE,"More Than 2 Hours")</f>
        <v>More Than 2 Hours</v>
      </c>
      <c r="K631" s="82">
        <f>ROUND(TABLE_PIVOT[[#This Row],[Satisfaction Rating]],0)</f>
        <v>4</v>
      </c>
    </row>
    <row r="632" spans="1:11" x14ac:dyDescent="0.3">
      <c r="A632" s="8" t="s">
        <v>2258</v>
      </c>
      <c r="B632" s="8" t="s">
        <v>1613</v>
      </c>
      <c r="C632" s="8">
        <v>56</v>
      </c>
      <c r="D632" s="120" t="s">
        <v>1626</v>
      </c>
      <c r="E632" s="121">
        <v>45127</v>
      </c>
      <c r="F632" s="8">
        <v>27</v>
      </c>
      <c r="G632" s="8">
        <v>4.3</v>
      </c>
      <c r="H632" s="82">
        <f>IF(MONTH(TABLE_PIVOT[[#This Row],[Date of Call]])&lt;=6,YEAR(TABLE_PIVOT[[#This Row],[Date of Call]]),YEAR(TABLE_PIVOT[[#This Row],[Date of Call]])+1)</f>
        <v>2024</v>
      </c>
      <c r="I632" s="82" t="str">
        <f>TEXT(TABLE_PIVOT[[#This Row],[Date of Call]],"DDDD")</f>
        <v>Thursday</v>
      </c>
      <c r="J632" s="82" t="str" cm="1">
        <f t="array" ref="J632">_xlfn.IFS(TABLE_PIVOT[[#This Row],[Duration]]&lt;=10,"Under 10 Mins",TABLE_PIVOT[[#This Row],[Duration]]&lt;=30,"10 to 30 Mins",TABLE_PIVOT[[#This Row],[Duration]]&lt;=60,"30 to 60 Mins",TABLE_PIVOT[[#This Row],[Duration]]&lt;=120,"1 to 2 Hours",TRUE,"More Than 2 Hours")</f>
        <v>30 to 60 Mins</v>
      </c>
      <c r="K632" s="82">
        <f>ROUND(TABLE_PIVOT[[#This Row],[Satisfaction Rating]],0)</f>
        <v>4</v>
      </c>
    </row>
    <row r="633" spans="1:11" x14ac:dyDescent="0.3">
      <c r="A633" s="8" t="s">
        <v>2259</v>
      </c>
      <c r="B633" s="8" t="s">
        <v>1613</v>
      </c>
      <c r="C633" s="8">
        <v>121</v>
      </c>
      <c r="D633" s="120" t="s">
        <v>1616</v>
      </c>
      <c r="E633" s="121">
        <v>45127</v>
      </c>
      <c r="F633" s="8">
        <v>20</v>
      </c>
      <c r="G633" s="8">
        <v>2.7</v>
      </c>
      <c r="H633" s="82">
        <f>IF(MONTH(TABLE_PIVOT[[#This Row],[Date of Call]])&lt;=6,YEAR(TABLE_PIVOT[[#This Row],[Date of Call]]),YEAR(TABLE_PIVOT[[#This Row],[Date of Call]])+1)</f>
        <v>2024</v>
      </c>
      <c r="I633" s="82" t="str">
        <f>TEXT(TABLE_PIVOT[[#This Row],[Date of Call]],"DDDD")</f>
        <v>Thursday</v>
      </c>
      <c r="J633" s="82" t="str" cm="1">
        <f t="array" ref="J633">_xlfn.IFS(TABLE_PIVOT[[#This Row],[Duration]]&lt;=10,"Under 10 Mins",TABLE_PIVOT[[#This Row],[Duration]]&lt;=30,"10 to 30 Mins",TABLE_PIVOT[[#This Row],[Duration]]&lt;=60,"30 to 60 Mins",TABLE_PIVOT[[#This Row],[Duration]]&lt;=120,"1 to 2 Hours",TRUE,"More Than 2 Hours")</f>
        <v>More Than 2 Hours</v>
      </c>
      <c r="K633" s="82">
        <f>ROUND(TABLE_PIVOT[[#This Row],[Satisfaction Rating]],0)</f>
        <v>3</v>
      </c>
    </row>
    <row r="634" spans="1:11" x14ac:dyDescent="0.3">
      <c r="A634" s="8" t="s">
        <v>2260</v>
      </c>
      <c r="B634" s="8" t="s">
        <v>1641</v>
      </c>
      <c r="C634" s="8">
        <v>41</v>
      </c>
      <c r="D634" s="120" t="s">
        <v>1626</v>
      </c>
      <c r="E634" s="121">
        <v>45128</v>
      </c>
      <c r="F634" s="8">
        <v>112</v>
      </c>
      <c r="G634" s="8">
        <v>2.2999999999999998</v>
      </c>
      <c r="H634" s="82">
        <f>IF(MONTH(TABLE_PIVOT[[#This Row],[Date of Call]])&lt;=6,YEAR(TABLE_PIVOT[[#This Row],[Date of Call]]),YEAR(TABLE_PIVOT[[#This Row],[Date of Call]])+1)</f>
        <v>2024</v>
      </c>
      <c r="I634" s="82" t="str">
        <f>TEXT(TABLE_PIVOT[[#This Row],[Date of Call]],"DDDD")</f>
        <v>Friday</v>
      </c>
      <c r="J634" s="82" t="str" cm="1">
        <f t="array" ref="J634">_xlfn.IFS(TABLE_PIVOT[[#This Row],[Duration]]&lt;=10,"Under 10 Mins",TABLE_PIVOT[[#This Row],[Duration]]&lt;=30,"10 to 30 Mins",TABLE_PIVOT[[#This Row],[Duration]]&lt;=60,"30 to 60 Mins",TABLE_PIVOT[[#This Row],[Duration]]&lt;=120,"1 to 2 Hours",TRUE,"More Than 2 Hours")</f>
        <v>30 to 60 Mins</v>
      </c>
      <c r="K634" s="82">
        <f>ROUND(TABLE_PIVOT[[#This Row],[Satisfaction Rating]],0)</f>
        <v>2</v>
      </c>
    </row>
    <row r="635" spans="1:11" x14ac:dyDescent="0.3">
      <c r="A635" s="8" t="s">
        <v>2261</v>
      </c>
      <c r="B635" s="8" t="s">
        <v>1618</v>
      </c>
      <c r="C635" s="8">
        <v>60</v>
      </c>
      <c r="D635" s="120" t="s">
        <v>1621</v>
      </c>
      <c r="E635" s="121">
        <v>45128</v>
      </c>
      <c r="F635" s="8">
        <v>60</v>
      </c>
      <c r="G635" s="8">
        <v>2.2999999999999998</v>
      </c>
      <c r="H635" s="82">
        <f>IF(MONTH(TABLE_PIVOT[[#This Row],[Date of Call]])&lt;=6,YEAR(TABLE_PIVOT[[#This Row],[Date of Call]]),YEAR(TABLE_PIVOT[[#This Row],[Date of Call]])+1)</f>
        <v>2024</v>
      </c>
      <c r="I635" s="82" t="str">
        <f>TEXT(TABLE_PIVOT[[#This Row],[Date of Call]],"DDDD")</f>
        <v>Friday</v>
      </c>
      <c r="J635" s="82" t="str" cm="1">
        <f t="array" ref="J635">_xlfn.IFS(TABLE_PIVOT[[#This Row],[Duration]]&lt;=10,"Under 10 Mins",TABLE_PIVOT[[#This Row],[Duration]]&lt;=30,"10 to 30 Mins",TABLE_PIVOT[[#This Row],[Duration]]&lt;=60,"30 to 60 Mins",TABLE_PIVOT[[#This Row],[Duration]]&lt;=120,"1 to 2 Hours",TRUE,"More Than 2 Hours")</f>
        <v>30 to 60 Mins</v>
      </c>
      <c r="K635" s="82">
        <f>ROUND(TABLE_PIVOT[[#This Row],[Satisfaction Rating]],0)</f>
        <v>2</v>
      </c>
    </row>
    <row r="636" spans="1:11" x14ac:dyDescent="0.3">
      <c r="A636" s="8" t="s">
        <v>2262</v>
      </c>
      <c r="B636" s="8" t="s">
        <v>1618</v>
      </c>
      <c r="C636" s="8">
        <v>144</v>
      </c>
      <c r="D636" s="120" t="s">
        <v>1621</v>
      </c>
      <c r="E636" s="121">
        <v>45129</v>
      </c>
      <c r="F636" s="8">
        <v>102</v>
      </c>
      <c r="G636" s="8">
        <v>2.9</v>
      </c>
      <c r="H636" s="82">
        <f>IF(MONTH(TABLE_PIVOT[[#This Row],[Date of Call]])&lt;=6,YEAR(TABLE_PIVOT[[#This Row],[Date of Call]]),YEAR(TABLE_PIVOT[[#This Row],[Date of Call]])+1)</f>
        <v>2024</v>
      </c>
      <c r="I636" s="82" t="str">
        <f>TEXT(TABLE_PIVOT[[#This Row],[Date of Call]],"DDDD")</f>
        <v>Saturday</v>
      </c>
      <c r="J636" s="82" t="str" cm="1">
        <f t="array" ref="J636">_xlfn.IFS(TABLE_PIVOT[[#This Row],[Duration]]&lt;=10,"Under 10 Mins",TABLE_PIVOT[[#This Row],[Duration]]&lt;=30,"10 to 30 Mins",TABLE_PIVOT[[#This Row],[Duration]]&lt;=60,"30 to 60 Mins",TABLE_PIVOT[[#This Row],[Duration]]&lt;=120,"1 to 2 Hours",TRUE,"More Than 2 Hours")</f>
        <v>More Than 2 Hours</v>
      </c>
      <c r="K636" s="82">
        <f>ROUND(TABLE_PIVOT[[#This Row],[Satisfaction Rating]],0)</f>
        <v>3</v>
      </c>
    </row>
    <row r="637" spans="1:11" x14ac:dyDescent="0.3">
      <c r="A637" s="8" t="s">
        <v>2263</v>
      </c>
      <c r="B637" s="8" t="s">
        <v>1620</v>
      </c>
      <c r="C637" s="8">
        <v>67</v>
      </c>
      <c r="D637" s="120" t="s">
        <v>1621</v>
      </c>
      <c r="E637" s="121">
        <v>45129</v>
      </c>
      <c r="F637" s="8">
        <v>38</v>
      </c>
      <c r="G637" s="8">
        <v>4.2</v>
      </c>
      <c r="H637" s="82">
        <f>IF(MONTH(TABLE_PIVOT[[#This Row],[Date of Call]])&lt;=6,YEAR(TABLE_PIVOT[[#This Row],[Date of Call]]),YEAR(TABLE_PIVOT[[#This Row],[Date of Call]])+1)</f>
        <v>2024</v>
      </c>
      <c r="I637" s="82" t="str">
        <f>TEXT(TABLE_PIVOT[[#This Row],[Date of Call]],"DDDD")</f>
        <v>Saturday</v>
      </c>
      <c r="J637" s="82" t="str" cm="1">
        <f t="array" ref="J637">_xlfn.IFS(TABLE_PIVOT[[#This Row],[Duration]]&lt;=10,"Under 10 Mins",TABLE_PIVOT[[#This Row],[Duration]]&lt;=30,"10 to 30 Mins",TABLE_PIVOT[[#This Row],[Duration]]&lt;=60,"30 to 60 Mins",TABLE_PIVOT[[#This Row],[Duration]]&lt;=120,"1 to 2 Hours",TRUE,"More Than 2 Hours")</f>
        <v>1 to 2 Hours</v>
      </c>
      <c r="K637" s="82">
        <f>ROUND(TABLE_PIVOT[[#This Row],[Satisfaction Rating]],0)</f>
        <v>4</v>
      </c>
    </row>
    <row r="638" spans="1:11" x14ac:dyDescent="0.3">
      <c r="A638" s="8" t="s">
        <v>2264</v>
      </c>
      <c r="B638" s="8" t="s">
        <v>1641</v>
      </c>
      <c r="C638" s="8">
        <v>162</v>
      </c>
      <c r="D638" s="120" t="s">
        <v>1611</v>
      </c>
      <c r="E638" s="121">
        <v>45129</v>
      </c>
      <c r="F638" s="8">
        <v>82</v>
      </c>
      <c r="G638" s="8">
        <v>4.5999999999999996</v>
      </c>
      <c r="H638" s="82">
        <f>IF(MONTH(TABLE_PIVOT[[#This Row],[Date of Call]])&lt;=6,YEAR(TABLE_PIVOT[[#This Row],[Date of Call]]),YEAR(TABLE_PIVOT[[#This Row],[Date of Call]])+1)</f>
        <v>2024</v>
      </c>
      <c r="I638" s="82" t="str">
        <f>TEXT(TABLE_PIVOT[[#This Row],[Date of Call]],"DDDD")</f>
        <v>Saturday</v>
      </c>
      <c r="J638" s="82" t="str" cm="1">
        <f t="array" ref="J638">_xlfn.IFS(TABLE_PIVOT[[#This Row],[Duration]]&lt;=10,"Under 10 Mins",TABLE_PIVOT[[#This Row],[Duration]]&lt;=30,"10 to 30 Mins",TABLE_PIVOT[[#This Row],[Duration]]&lt;=60,"30 to 60 Mins",TABLE_PIVOT[[#This Row],[Duration]]&lt;=120,"1 to 2 Hours",TRUE,"More Than 2 Hours")</f>
        <v>More Than 2 Hours</v>
      </c>
      <c r="K638" s="82">
        <f>ROUND(TABLE_PIVOT[[#This Row],[Satisfaction Rating]],0)</f>
        <v>5</v>
      </c>
    </row>
    <row r="639" spans="1:11" x14ac:dyDescent="0.3">
      <c r="A639" s="8" t="s">
        <v>2265</v>
      </c>
      <c r="B639" s="8" t="s">
        <v>1618</v>
      </c>
      <c r="C639" s="8">
        <v>87</v>
      </c>
      <c r="D639" s="120" t="s">
        <v>1616</v>
      </c>
      <c r="E639" s="121">
        <v>45132</v>
      </c>
      <c r="F639" s="8">
        <v>125</v>
      </c>
      <c r="G639" s="8">
        <v>4.5</v>
      </c>
      <c r="H639" s="82">
        <f>IF(MONTH(TABLE_PIVOT[[#This Row],[Date of Call]])&lt;=6,YEAR(TABLE_PIVOT[[#This Row],[Date of Call]]),YEAR(TABLE_PIVOT[[#This Row],[Date of Call]])+1)</f>
        <v>2024</v>
      </c>
      <c r="I639" s="82" t="str">
        <f>TEXT(TABLE_PIVOT[[#This Row],[Date of Call]],"DDDD")</f>
        <v>Tuesday</v>
      </c>
      <c r="J639" s="82" t="str" cm="1">
        <f t="array" ref="J639">_xlfn.IFS(TABLE_PIVOT[[#This Row],[Duration]]&lt;=10,"Under 10 Mins",TABLE_PIVOT[[#This Row],[Duration]]&lt;=30,"10 to 30 Mins",TABLE_PIVOT[[#This Row],[Duration]]&lt;=60,"30 to 60 Mins",TABLE_PIVOT[[#This Row],[Duration]]&lt;=120,"1 to 2 Hours",TRUE,"More Than 2 Hours")</f>
        <v>1 to 2 Hours</v>
      </c>
      <c r="K639" s="82">
        <f>ROUND(TABLE_PIVOT[[#This Row],[Satisfaction Rating]],0)</f>
        <v>5</v>
      </c>
    </row>
    <row r="640" spans="1:11" x14ac:dyDescent="0.3">
      <c r="A640" s="8" t="s">
        <v>2266</v>
      </c>
      <c r="B640" s="8" t="s">
        <v>1649</v>
      </c>
      <c r="C640" s="8">
        <v>10</v>
      </c>
      <c r="D640" s="120" t="s">
        <v>1630</v>
      </c>
      <c r="E640" s="121">
        <v>45133</v>
      </c>
      <c r="F640" s="8">
        <v>72</v>
      </c>
      <c r="G640" s="8">
        <v>3.7</v>
      </c>
      <c r="H640" s="82">
        <f>IF(MONTH(TABLE_PIVOT[[#This Row],[Date of Call]])&lt;=6,YEAR(TABLE_PIVOT[[#This Row],[Date of Call]]),YEAR(TABLE_PIVOT[[#This Row],[Date of Call]])+1)</f>
        <v>2024</v>
      </c>
      <c r="I640" s="82" t="str">
        <f>TEXT(TABLE_PIVOT[[#This Row],[Date of Call]],"DDDD")</f>
        <v>Wednesday</v>
      </c>
      <c r="J640" s="82" t="str" cm="1">
        <f t="array" ref="J640">_xlfn.IFS(TABLE_PIVOT[[#This Row],[Duration]]&lt;=10,"Under 10 Mins",TABLE_PIVOT[[#This Row],[Duration]]&lt;=30,"10 to 30 Mins",TABLE_PIVOT[[#This Row],[Duration]]&lt;=60,"30 to 60 Mins",TABLE_PIVOT[[#This Row],[Duration]]&lt;=120,"1 to 2 Hours",TRUE,"More Than 2 Hours")</f>
        <v>Under 10 Mins</v>
      </c>
      <c r="K640" s="82">
        <f>ROUND(TABLE_PIVOT[[#This Row],[Satisfaction Rating]],0)</f>
        <v>4</v>
      </c>
    </row>
    <row r="641" spans="1:11" x14ac:dyDescent="0.3">
      <c r="A641" s="8" t="s">
        <v>2267</v>
      </c>
      <c r="B641" s="8" t="s">
        <v>1613</v>
      </c>
      <c r="C641" s="8">
        <v>138</v>
      </c>
      <c r="D641" s="120" t="s">
        <v>1630</v>
      </c>
      <c r="E641" s="121">
        <v>45133</v>
      </c>
      <c r="F641" s="8">
        <v>195</v>
      </c>
      <c r="G641" s="8">
        <v>4.0999999999999996</v>
      </c>
      <c r="H641" s="82">
        <f>IF(MONTH(TABLE_PIVOT[[#This Row],[Date of Call]])&lt;=6,YEAR(TABLE_PIVOT[[#This Row],[Date of Call]]),YEAR(TABLE_PIVOT[[#This Row],[Date of Call]])+1)</f>
        <v>2024</v>
      </c>
      <c r="I641" s="82" t="str">
        <f>TEXT(TABLE_PIVOT[[#This Row],[Date of Call]],"DDDD")</f>
        <v>Wednesday</v>
      </c>
      <c r="J641" s="82" t="str" cm="1">
        <f t="array" ref="J641">_xlfn.IFS(TABLE_PIVOT[[#This Row],[Duration]]&lt;=10,"Under 10 Mins",TABLE_PIVOT[[#This Row],[Duration]]&lt;=30,"10 to 30 Mins",TABLE_PIVOT[[#This Row],[Duration]]&lt;=60,"30 to 60 Mins",TABLE_PIVOT[[#This Row],[Duration]]&lt;=120,"1 to 2 Hours",TRUE,"More Than 2 Hours")</f>
        <v>More Than 2 Hours</v>
      </c>
      <c r="K641" s="82">
        <f>ROUND(TABLE_PIVOT[[#This Row],[Satisfaction Rating]],0)</f>
        <v>4</v>
      </c>
    </row>
    <row r="642" spans="1:11" x14ac:dyDescent="0.3">
      <c r="A642" s="8" t="s">
        <v>2268</v>
      </c>
      <c r="B642" s="8" t="s">
        <v>1641</v>
      </c>
      <c r="C642" s="8">
        <v>31</v>
      </c>
      <c r="D642" s="120" t="s">
        <v>1630</v>
      </c>
      <c r="E642" s="121">
        <v>45134</v>
      </c>
      <c r="F642" s="8">
        <v>160</v>
      </c>
      <c r="G642" s="8">
        <v>3.4</v>
      </c>
      <c r="H642" s="82">
        <f>IF(MONTH(TABLE_PIVOT[[#This Row],[Date of Call]])&lt;=6,YEAR(TABLE_PIVOT[[#This Row],[Date of Call]]),YEAR(TABLE_PIVOT[[#This Row],[Date of Call]])+1)</f>
        <v>2024</v>
      </c>
      <c r="I642" s="82" t="str">
        <f>TEXT(TABLE_PIVOT[[#This Row],[Date of Call]],"DDDD")</f>
        <v>Thursday</v>
      </c>
      <c r="J642" s="82" t="str" cm="1">
        <f t="array" ref="J642">_xlfn.IFS(TABLE_PIVOT[[#This Row],[Duration]]&lt;=10,"Under 10 Mins",TABLE_PIVOT[[#This Row],[Duration]]&lt;=30,"10 to 30 Mins",TABLE_PIVOT[[#This Row],[Duration]]&lt;=60,"30 to 60 Mins",TABLE_PIVOT[[#This Row],[Duration]]&lt;=120,"1 to 2 Hours",TRUE,"More Than 2 Hours")</f>
        <v>30 to 60 Mins</v>
      </c>
      <c r="K642" s="82">
        <f>ROUND(TABLE_PIVOT[[#This Row],[Satisfaction Rating]],0)</f>
        <v>3</v>
      </c>
    </row>
    <row r="643" spans="1:11" x14ac:dyDescent="0.3">
      <c r="A643" s="8" t="s">
        <v>2269</v>
      </c>
      <c r="B643" s="8" t="s">
        <v>1652</v>
      </c>
      <c r="C643" s="8">
        <v>75</v>
      </c>
      <c r="D643" s="120" t="s">
        <v>1611</v>
      </c>
      <c r="E643" s="121">
        <v>45134</v>
      </c>
      <c r="F643" s="8">
        <v>78</v>
      </c>
      <c r="G643" s="8">
        <v>3.3</v>
      </c>
      <c r="H643" s="82">
        <f>IF(MONTH(TABLE_PIVOT[[#This Row],[Date of Call]])&lt;=6,YEAR(TABLE_PIVOT[[#This Row],[Date of Call]]),YEAR(TABLE_PIVOT[[#This Row],[Date of Call]])+1)</f>
        <v>2024</v>
      </c>
      <c r="I643" s="82" t="str">
        <f>TEXT(TABLE_PIVOT[[#This Row],[Date of Call]],"DDDD")</f>
        <v>Thursday</v>
      </c>
      <c r="J643" s="82" t="str" cm="1">
        <f t="array" ref="J643">_xlfn.IFS(TABLE_PIVOT[[#This Row],[Duration]]&lt;=10,"Under 10 Mins",TABLE_PIVOT[[#This Row],[Duration]]&lt;=30,"10 to 30 Mins",TABLE_PIVOT[[#This Row],[Duration]]&lt;=60,"30 to 60 Mins",TABLE_PIVOT[[#This Row],[Duration]]&lt;=120,"1 to 2 Hours",TRUE,"More Than 2 Hours")</f>
        <v>1 to 2 Hours</v>
      </c>
      <c r="K643" s="82">
        <f>ROUND(TABLE_PIVOT[[#This Row],[Satisfaction Rating]],0)</f>
        <v>3</v>
      </c>
    </row>
    <row r="644" spans="1:11" x14ac:dyDescent="0.3">
      <c r="A644" s="8" t="s">
        <v>2270</v>
      </c>
      <c r="B644" s="8" t="s">
        <v>1610</v>
      </c>
      <c r="C644" s="8">
        <v>65</v>
      </c>
      <c r="D644" s="120" t="s">
        <v>1611</v>
      </c>
      <c r="E644" s="121">
        <v>45135</v>
      </c>
      <c r="F644" s="8">
        <v>70</v>
      </c>
      <c r="G644" s="8">
        <v>4.4000000000000004</v>
      </c>
      <c r="H644" s="82">
        <f>IF(MONTH(TABLE_PIVOT[[#This Row],[Date of Call]])&lt;=6,YEAR(TABLE_PIVOT[[#This Row],[Date of Call]]),YEAR(TABLE_PIVOT[[#This Row],[Date of Call]])+1)</f>
        <v>2024</v>
      </c>
      <c r="I644" s="82" t="str">
        <f>TEXT(TABLE_PIVOT[[#This Row],[Date of Call]],"DDDD")</f>
        <v>Friday</v>
      </c>
      <c r="J644" s="82" t="str" cm="1">
        <f t="array" ref="J644">_xlfn.IFS(TABLE_PIVOT[[#This Row],[Duration]]&lt;=10,"Under 10 Mins",TABLE_PIVOT[[#This Row],[Duration]]&lt;=30,"10 to 30 Mins",TABLE_PIVOT[[#This Row],[Duration]]&lt;=60,"30 to 60 Mins",TABLE_PIVOT[[#This Row],[Duration]]&lt;=120,"1 to 2 Hours",TRUE,"More Than 2 Hours")</f>
        <v>1 to 2 Hours</v>
      </c>
      <c r="K644" s="82">
        <f>ROUND(TABLE_PIVOT[[#This Row],[Satisfaction Rating]],0)</f>
        <v>4</v>
      </c>
    </row>
    <row r="645" spans="1:11" x14ac:dyDescent="0.3">
      <c r="A645" s="8" t="s">
        <v>2271</v>
      </c>
      <c r="B645" s="8" t="s">
        <v>1615</v>
      </c>
      <c r="C645" s="8">
        <v>106</v>
      </c>
      <c r="D645" s="120" t="s">
        <v>1626</v>
      </c>
      <c r="E645" s="121">
        <v>45135</v>
      </c>
      <c r="F645" s="8">
        <v>105</v>
      </c>
      <c r="G645" s="8">
        <v>4.2</v>
      </c>
      <c r="H645" s="82">
        <f>IF(MONTH(TABLE_PIVOT[[#This Row],[Date of Call]])&lt;=6,YEAR(TABLE_PIVOT[[#This Row],[Date of Call]]),YEAR(TABLE_PIVOT[[#This Row],[Date of Call]])+1)</f>
        <v>2024</v>
      </c>
      <c r="I645" s="82" t="str">
        <f>TEXT(TABLE_PIVOT[[#This Row],[Date of Call]],"DDDD")</f>
        <v>Friday</v>
      </c>
      <c r="J645" s="82" t="str" cm="1">
        <f t="array" ref="J645">_xlfn.IFS(TABLE_PIVOT[[#This Row],[Duration]]&lt;=10,"Under 10 Mins",TABLE_PIVOT[[#This Row],[Duration]]&lt;=30,"10 to 30 Mins",TABLE_PIVOT[[#This Row],[Duration]]&lt;=60,"30 to 60 Mins",TABLE_PIVOT[[#This Row],[Duration]]&lt;=120,"1 to 2 Hours",TRUE,"More Than 2 Hours")</f>
        <v>1 to 2 Hours</v>
      </c>
      <c r="K645" s="82">
        <f>ROUND(TABLE_PIVOT[[#This Row],[Satisfaction Rating]],0)</f>
        <v>4</v>
      </c>
    </row>
    <row r="646" spans="1:11" x14ac:dyDescent="0.3">
      <c r="A646" s="8" t="s">
        <v>2272</v>
      </c>
      <c r="B646" s="8" t="s">
        <v>1610</v>
      </c>
      <c r="C646" s="8">
        <v>107</v>
      </c>
      <c r="D646" s="120" t="s">
        <v>1626</v>
      </c>
      <c r="E646" s="121">
        <v>45136</v>
      </c>
      <c r="F646" s="8">
        <v>78</v>
      </c>
      <c r="G646" s="8">
        <v>3.4</v>
      </c>
      <c r="H646" s="82">
        <f>IF(MONTH(TABLE_PIVOT[[#This Row],[Date of Call]])&lt;=6,YEAR(TABLE_PIVOT[[#This Row],[Date of Call]]),YEAR(TABLE_PIVOT[[#This Row],[Date of Call]])+1)</f>
        <v>2024</v>
      </c>
      <c r="I646" s="82" t="str">
        <f>TEXT(TABLE_PIVOT[[#This Row],[Date of Call]],"DDDD")</f>
        <v>Saturday</v>
      </c>
      <c r="J646" s="82" t="str" cm="1">
        <f t="array" ref="J646">_xlfn.IFS(TABLE_PIVOT[[#This Row],[Duration]]&lt;=10,"Under 10 Mins",TABLE_PIVOT[[#This Row],[Duration]]&lt;=30,"10 to 30 Mins",TABLE_PIVOT[[#This Row],[Duration]]&lt;=60,"30 to 60 Mins",TABLE_PIVOT[[#This Row],[Duration]]&lt;=120,"1 to 2 Hours",TRUE,"More Than 2 Hours")</f>
        <v>1 to 2 Hours</v>
      </c>
      <c r="K646" s="82">
        <f>ROUND(TABLE_PIVOT[[#This Row],[Satisfaction Rating]],0)</f>
        <v>3</v>
      </c>
    </row>
    <row r="647" spans="1:11" x14ac:dyDescent="0.3">
      <c r="A647" s="8" t="s">
        <v>2273</v>
      </c>
      <c r="B647" s="8" t="s">
        <v>1662</v>
      </c>
      <c r="C647" s="8">
        <v>78</v>
      </c>
      <c r="D647" s="120" t="s">
        <v>1626</v>
      </c>
      <c r="E647" s="121">
        <v>45138</v>
      </c>
      <c r="F647" s="8">
        <v>205</v>
      </c>
      <c r="G647" s="8">
        <v>4.4000000000000004</v>
      </c>
      <c r="H647" s="82">
        <f>IF(MONTH(TABLE_PIVOT[[#This Row],[Date of Call]])&lt;=6,YEAR(TABLE_PIVOT[[#This Row],[Date of Call]]),YEAR(TABLE_PIVOT[[#This Row],[Date of Call]])+1)</f>
        <v>2024</v>
      </c>
      <c r="I647" s="82" t="str">
        <f>TEXT(TABLE_PIVOT[[#This Row],[Date of Call]],"DDDD")</f>
        <v>Monday</v>
      </c>
      <c r="J647" s="82" t="str" cm="1">
        <f t="array" ref="J647">_xlfn.IFS(TABLE_PIVOT[[#This Row],[Duration]]&lt;=10,"Under 10 Mins",TABLE_PIVOT[[#This Row],[Duration]]&lt;=30,"10 to 30 Mins",TABLE_PIVOT[[#This Row],[Duration]]&lt;=60,"30 to 60 Mins",TABLE_PIVOT[[#This Row],[Duration]]&lt;=120,"1 to 2 Hours",TRUE,"More Than 2 Hours")</f>
        <v>1 to 2 Hours</v>
      </c>
      <c r="K647" s="82">
        <f>ROUND(TABLE_PIVOT[[#This Row],[Satisfaction Rating]],0)</f>
        <v>4</v>
      </c>
    </row>
    <row r="648" spans="1:11" x14ac:dyDescent="0.3">
      <c r="A648" s="8" t="s">
        <v>2274</v>
      </c>
      <c r="B648" s="8" t="s">
        <v>1635</v>
      </c>
      <c r="C648" s="8">
        <v>122</v>
      </c>
      <c r="D648" s="120" t="s">
        <v>1626</v>
      </c>
      <c r="E648" s="121">
        <v>45138</v>
      </c>
      <c r="F648" s="8">
        <v>78</v>
      </c>
      <c r="G648" s="8">
        <v>2.7</v>
      </c>
      <c r="H648" s="82">
        <f>IF(MONTH(TABLE_PIVOT[[#This Row],[Date of Call]])&lt;=6,YEAR(TABLE_PIVOT[[#This Row],[Date of Call]]),YEAR(TABLE_PIVOT[[#This Row],[Date of Call]])+1)</f>
        <v>2024</v>
      </c>
      <c r="I648" s="82" t="str">
        <f>TEXT(TABLE_PIVOT[[#This Row],[Date of Call]],"DDDD")</f>
        <v>Monday</v>
      </c>
      <c r="J648" s="82" t="str" cm="1">
        <f t="array" ref="J648">_xlfn.IFS(TABLE_PIVOT[[#This Row],[Duration]]&lt;=10,"Under 10 Mins",TABLE_PIVOT[[#This Row],[Duration]]&lt;=30,"10 to 30 Mins",TABLE_PIVOT[[#This Row],[Duration]]&lt;=60,"30 to 60 Mins",TABLE_PIVOT[[#This Row],[Duration]]&lt;=120,"1 to 2 Hours",TRUE,"More Than 2 Hours")</f>
        <v>More Than 2 Hours</v>
      </c>
      <c r="K648" s="82">
        <f>ROUND(TABLE_PIVOT[[#This Row],[Satisfaction Rating]],0)</f>
        <v>3</v>
      </c>
    </row>
    <row r="649" spans="1:11" x14ac:dyDescent="0.3">
      <c r="A649" s="8" t="s">
        <v>2275</v>
      </c>
      <c r="B649" s="8" t="s">
        <v>1613</v>
      </c>
      <c r="C649" s="8">
        <v>58</v>
      </c>
      <c r="D649" s="120" t="s">
        <v>1630</v>
      </c>
      <c r="E649" s="121">
        <v>45138</v>
      </c>
      <c r="F649" s="8">
        <v>38</v>
      </c>
      <c r="G649" s="8">
        <v>4.5</v>
      </c>
      <c r="H649" s="82">
        <f>IF(MONTH(TABLE_PIVOT[[#This Row],[Date of Call]])&lt;=6,YEAR(TABLE_PIVOT[[#This Row],[Date of Call]]),YEAR(TABLE_PIVOT[[#This Row],[Date of Call]])+1)</f>
        <v>2024</v>
      </c>
      <c r="I649" s="82" t="str">
        <f>TEXT(TABLE_PIVOT[[#This Row],[Date of Call]],"DDDD")</f>
        <v>Monday</v>
      </c>
      <c r="J649" s="82" t="str" cm="1">
        <f t="array" ref="J649">_xlfn.IFS(TABLE_PIVOT[[#This Row],[Duration]]&lt;=10,"Under 10 Mins",TABLE_PIVOT[[#This Row],[Duration]]&lt;=30,"10 to 30 Mins",TABLE_PIVOT[[#This Row],[Duration]]&lt;=60,"30 to 60 Mins",TABLE_PIVOT[[#This Row],[Duration]]&lt;=120,"1 to 2 Hours",TRUE,"More Than 2 Hours")</f>
        <v>30 to 60 Mins</v>
      </c>
      <c r="K649" s="82">
        <f>ROUND(TABLE_PIVOT[[#This Row],[Satisfaction Rating]],0)</f>
        <v>5</v>
      </c>
    </row>
    <row r="650" spans="1:11" x14ac:dyDescent="0.3">
      <c r="A650" s="8" t="s">
        <v>2276</v>
      </c>
      <c r="B650" s="8" t="s">
        <v>1662</v>
      </c>
      <c r="C650" s="8">
        <v>33</v>
      </c>
      <c r="D650" s="120" t="s">
        <v>1621</v>
      </c>
      <c r="E650" s="121">
        <v>45138</v>
      </c>
      <c r="F650" s="8">
        <v>92</v>
      </c>
      <c r="G650" s="8">
        <v>1.7</v>
      </c>
      <c r="H650" s="82">
        <f>IF(MONTH(TABLE_PIVOT[[#This Row],[Date of Call]])&lt;=6,YEAR(TABLE_PIVOT[[#This Row],[Date of Call]]),YEAR(TABLE_PIVOT[[#This Row],[Date of Call]])+1)</f>
        <v>2024</v>
      </c>
      <c r="I650" s="82" t="str">
        <f>TEXT(TABLE_PIVOT[[#This Row],[Date of Call]],"DDDD")</f>
        <v>Monday</v>
      </c>
      <c r="J650" s="82" t="str" cm="1">
        <f t="array" ref="J650">_xlfn.IFS(TABLE_PIVOT[[#This Row],[Duration]]&lt;=10,"Under 10 Mins",TABLE_PIVOT[[#This Row],[Duration]]&lt;=30,"10 to 30 Mins",TABLE_PIVOT[[#This Row],[Duration]]&lt;=60,"30 to 60 Mins",TABLE_PIVOT[[#This Row],[Duration]]&lt;=120,"1 to 2 Hours",TRUE,"More Than 2 Hours")</f>
        <v>30 to 60 Mins</v>
      </c>
      <c r="K650" s="82">
        <f>ROUND(TABLE_PIVOT[[#This Row],[Satisfaction Rating]],0)</f>
        <v>2</v>
      </c>
    </row>
    <row r="651" spans="1:11" x14ac:dyDescent="0.3">
      <c r="A651" s="8" t="s">
        <v>2277</v>
      </c>
      <c r="B651" s="8" t="s">
        <v>1682</v>
      </c>
      <c r="C651" s="8">
        <v>164</v>
      </c>
      <c r="D651" s="120" t="s">
        <v>1611</v>
      </c>
      <c r="E651" s="121">
        <v>45138</v>
      </c>
      <c r="F651" s="8">
        <v>36</v>
      </c>
      <c r="G651" s="8">
        <v>4.7</v>
      </c>
      <c r="H651" s="82">
        <f>IF(MONTH(TABLE_PIVOT[[#This Row],[Date of Call]])&lt;=6,YEAR(TABLE_PIVOT[[#This Row],[Date of Call]]),YEAR(TABLE_PIVOT[[#This Row],[Date of Call]])+1)</f>
        <v>2024</v>
      </c>
      <c r="I651" s="82" t="str">
        <f>TEXT(TABLE_PIVOT[[#This Row],[Date of Call]],"DDDD")</f>
        <v>Monday</v>
      </c>
      <c r="J651" s="82" t="str" cm="1">
        <f t="array" ref="J651">_xlfn.IFS(TABLE_PIVOT[[#This Row],[Duration]]&lt;=10,"Under 10 Mins",TABLE_PIVOT[[#This Row],[Duration]]&lt;=30,"10 to 30 Mins",TABLE_PIVOT[[#This Row],[Duration]]&lt;=60,"30 to 60 Mins",TABLE_PIVOT[[#This Row],[Duration]]&lt;=120,"1 to 2 Hours",TRUE,"More Than 2 Hours")</f>
        <v>More Than 2 Hours</v>
      </c>
      <c r="K651" s="82">
        <f>ROUND(TABLE_PIVOT[[#This Row],[Satisfaction Rating]],0)</f>
        <v>5</v>
      </c>
    </row>
    <row r="652" spans="1:11" x14ac:dyDescent="0.3">
      <c r="A652" s="8" t="s">
        <v>2278</v>
      </c>
      <c r="B652" s="8" t="s">
        <v>1652</v>
      </c>
      <c r="C652" s="8">
        <v>163</v>
      </c>
      <c r="D652" s="120" t="s">
        <v>1616</v>
      </c>
      <c r="E652" s="121">
        <v>45138</v>
      </c>
      <c r="F652" s="8">
        <v>76</v>
      </c>
      <c r="G652" s="8">
        <v>4.4000000000000004</v>
      </c>
      <c r="H652" s="82">
        <f>IF(MONTH(TABLE_PIVOT[[#This Row],[Date of Call]])&lt;=6,YEAR(TABLE_PIVOT[[#This Row],[Date of Call]]),YEAR(TABLE_PIVOT[[#This Row],[Date of Call]])+1)</f>
        <v>2024</v>
      </c>
      <c r="I652" s="82" t="str">
        <f>TEXT(TABLE_PIVOT[[#This Row],[Date of Call]],"DDDD")</f>
        <v>Monday</v>
      </c>
      <c r="J652" s="82" t="str" cm="1">
        <f t="array" ref="J652">_xlfn.IFS(TABLE_PIVOT[[#This Row],[Duration]]&lt;=10,"Under 10 Mins",TABLE_PIVOT[[#This Row],[Duration]]&lt;=30,"10 to 30 Mins",TABLE_PIVOT[[#This Row],[Duration]]&lt;=60,"30 to 60 Mins",TABLE_PIVOT[[#This Row],[Duration]]&lt;=120,"1 to 2 Hours",TRUE,"More Than 2 Hours")</f>
        <v>More Than 2 Hours</v>
      </c>
      <c r="K652" s="82">
        <f>ROUND(TABLE_PIVOT[[#This Row],[Satisfaction Rating]],0)</f>
        <v>4</v>
      </c>
    </row>
    <row r="653" spans="1:11" x14ac:dyDescent="0.3">
      <c r="A653" s="8" t="s">
        <v>2279</v>
      </c>
      <c r="B653" s="8" t="s">
        <v>1624</v>
      </c>
      <c r="C653" s="8">
        <v>71</v>
      </c>
      <c r="D653" s="120" t="s">
        <v>1611</v>
      </c>
      <c r="E653" s="121">
        <v>45140</v>
      </c>
      <c r="F653" s="8">
        <v>170</v>
      </c>
      <c r="G653" s="8">
        <v>3.5</v>
      </c>
      <c r="H653" s="82">
        <f>IF(MONTH(TABLE_PIVOT[[#This Row],[Date of Call]])&lt;=6,YEAR(TABLE_PIVOT[[#This Row],[Date of Call]]),YEAR(TABLE_PIVOT[[#This Row],[Date of Call]])+1)</f>
        <v>2024</v>
      </c>
      <c r="I653" s="82" t="str">
        <f>TEXT(TABLE_PIVOT[[#This Row],[Date of Call]],"DDDD")</f>
        <v>Wednesday</v>
      </c>
      <c r="J653" s="82" t="str" cm="1">
        <f t="array" ref="J653">_xlfn.IFS(TABLE_PIVOT[[#This Row],[Duration]]&lt;=10,"Under 10 Mins",TABLE_PIVOT[[#This Row],[Duration]]&lt;=30,"10 to 30 Mins",TABLE_PIVOT[[#This Row],[Duration]]&lt;=60,"30 to 60 Mins",TABLE_PIVOT[[#This Row],[Duration]]&lt;=120,"1 to 2 Hours",TRUE,"More Than 2 Hours")</f>
        <v>1 to 2 Hours</v>
      </c>
      <c r="K653" s="82">
        <f>ROUND(TABLE_PIVOT[[#This Row],[Satisfaction Rating]],0)</f>
        <v>4</v>
      </c>
    </row>
    <row r="654" spans="1:11" x14ac:dyDescent="0.3">
      <c r="A654" s="8" t="s">
        <v>2280</v>
      </c>
      <c r="B654" s="8" t="s">
        <v>1662</v>
      </c>
      <c r="C654" s="8">
        <v>103</v>
      </c>
      <c r="D654" s="120" t="s">
        <v>1630</v>
      </c>
      <c r="E654" s="121">
        <v>45141</v>
      </c>
      <c r="F654" s="8">
        <v>117</v>
      </c>
      <c r="G654" s="8">
        <v>4.7</v>
      </c>
      <c r="H654" s="82">
        <f>IF(MONTH(TABLE_PIVOT[[#This Row],[Date of Call]])&lt;=6,YEAR(TABLE_PIVOT[[#This Row],[Date of Call]]),YEAR(TABLE_PIVOT[[#This Row],[Date of Call]])+1)</f>
        <v>2024</v>
      </c>
      <c r="I654" s="82" t="str">
        <f>TEXT(TABLE_PIVOT[[#This Row],[Date of Call]],"DDDD")</f>
        <v>Thursday</v>
      </c>
      <c r="J654" s="82" t="str" cm="1">
        <f t="array" ref="J654">_xlfn.IFS(TABLE_PIVOT[[#This Row],[Duration]]&lt;=10,"Under 10 Mins",TABLE_PIVOT[[#This Row],[Duration]]&lt;=30,"10 to 30 Mins",TABLE_PIVOT[[#This Row],[Duration]]&lt;=60,"30 to 60 Mins",TABLE_PIVOT[[#This Row],[Duration]]&lt;=120,"1 to 2 Hours",TRUE,"More Than 2 Hours")</f>
        <v>1 to 2 Hours</v>
      </c>
      <c r="K654" s="82">
        <f>ROUND(TABLE_PIVOT[[#This Row],[Satisfaction Rating]],0)</f>
        <v>5</v>
      </c>
    </row>
    <row r="655" spans="1:11" x14ac:dyDescent="0.3">
      <c r="A655" s="8" t="s">
        <v>2281</v>
      </c>
      <c r="B655" s="8" t="s">
        <v>1644</v>
      </c>
      <c r="C655" s="8">
        <v>69</v>
      </c>
      <c r="D655" s="120" t="s">
        <v>1616</v>
      </c>
      <c r="E655" s="121">
        <v>45141</v>
      </c>
      <c r="F655" s="8">
        <v>20</v>
      </c>
      <c r="G655" s="8">
        <v>4.3</v>
      </c>
      <c r="H655" s="82">
        <f>IF(MONTH(TABLE_PIVOT[[#This Row],[Date of Call]])&lt;=6,YEAR(TABLE_PIVOT[[#This Row],[Date of Call]]),YEAR(TABLE_PIVOT[[#This Row],[Date of Call]])+1)</f>
        <v>2024</v>
      </c>
      <c r="I655" s="82" t="str">
        <f>TEXT(TABLE_PIVOT[[#This Row],[Date of Call]],"DDDD")</f>
        <v>Thursday</v>
      </c>
      <c r="J655" s="82" t="str" cm="1">
        <f t="array" ref="J655">_xlfn.IFS(TABLE_PIVOT[[#This Row],[Duration]]&lt;=10,"Under 10 Mins",TABLE_PIVOT[[#This Row],[Duration]]&lt;=30,"10 to 30 Mins",TABLE_PIVOT[[#This Row],[Duration]]&lt;=60,"30 to 60 Mins",TABLE_PIVOT[[#This Row],[Duration]]&lt;=120,"1 to 2 Hours",TRUE,"More Than 2 Hours")</f>
        <v>1 to 2 Hours</v>
      </c>
      <c r="K655" s="82">
        <f>ROUND(TABLE_PIVOT[[#This Row],[Satisfaction Rating]],0)</f>
        <v>4</v>
      </c>
    </row>
    <row r="656" spans="1:11" x14ac:dyDescent="0.3">
      <c r="A656" s="8" t="s">
        <v>2282</v>
      </c>
      <c r="B656" s="8" t="s">
        <v>1652</v>
      </c>
      <c r="C656" s="8">
        <v>111</v>
      </c>
      <c r="D656" s="120" t="s">
        <v>1630</v>
      </c>
      <c r="E656" s="121">
        <v>45141</v>
      </c>
      <c r="F656" s="8">
        <v>99</v>
      </c>
      <c r="G656" s="8">
        <v>4.0999999999999996</v>
      </c>
      <c r="H656" s="82">
        <f>IF(MONTH(TABLE_PIVOT[[#This Row],[Date of Call]])&lt;=6,YEAR(TABLE_PIVOT[[#This Row],[Date of Call]]),YEAR(TABLE_PIVOT[[#This Row],[Date of Call]])+1)</f>
        <v>2024</v>
      </c>
      <c r="I656" s="82" t="str">
        <f>TEXT(TABLE_PIVOT[[#This Row],[Date of Call]],"DDDD")</f>
        <v>Thursday</v>
      </c>
      <c r="J656" s="82" t="str" cm="1">
        <f t="array" ref="J656">_xlfn.IFS(TABLE_PIVOT[[#This Row],[Duration]]&lt;=10,"Under 10 Mins",TABLE_PIVOT[[#This Row],[Duration]]&lt;=30,"10 to 30 Mins",TABLE_PIVOT[[#This Row],[Duration]]&lt;=60,"30 to 60 Mins",TABLE_PIVOT[[#This Row],[Duration]]&lt;=120,"1 to 2 Hours",TRUE,"More Than 2 Hours")</f>
        <v>1 to 2 Hours</v>
      </c>
      <c r="K656" s="82">
        <f>ROUND(TABLE_PIVOT[[#This Row],[Satisfaction Rating]],0)</f>
        <v>4</v>
      </c>
    </row>
    <row r="657" spans="1:11" x14ac:dyDescent="0.3">
      <c r="A657" s="8" t="s">
        <v>2283</v>
      </c>
      <c r="B657" s="8" t="s">
        <v>1629</v>
      </c>
      <c r="C657" s="8">
        <v>97</v>
      </c>
      <c r="D657" s="120" t="s">
        <v>1616</v>
      </c>
      <c r="E657" s="121">
        <v>45142</v>
      </c>
      <c r="F657" s="8">
        <v>105</v>
      </c>
      <c r="G657" s="8">
        <v>2.9</v>
      </c>
      <c r="H657" s="82">
        <f>IF(MONTH(TABLE_PIVOT[[#This Row],[Date of Call]])&lt;=6,YEAR(TABLE_PIVOT[[#This Row],[Date of Call]]),YEAR(TABLE_PIVOT[[#This Row],[Date of Call]])+1)</f>
        <v>2024</v>
      </c>
      <c r="I657" s="82" t="str">
        <f>TEXT(TABLE_PIVOT[[#This Row],[Date of Call]],"DDDD")</f>
        <v>Friday</v>
      </c>
      <c r="J657" s="82" t="str" cm="1">
        <f t="array" ref="J657">_xlfn.IFS(TABLE_PIVOT[[#This Row],[Duration]]&lt;=10,"Under 10 Mins",TABLE_PIVOT[[#This Row],[Duration]]&lt;=30,"10 to 30 Mins",TABLE_PIVOT[[#This Row],[Duration]]&lt;=60,"30 to 60 Mins",TABLE_PIVOT[[#This Row],[Duration]]&lt;=120,"1 to 2 Hours",TRUE,"More Than 2 Hours")</f>
        <v>1 to 2 Hours</v>
      </c>
      <c r="K657" s="82">
        <f>ROUND(TABLE_PIVOT[[#This Row],[Satisfaction Rating]],0)</f>
        <v>3</v>
      </c>
    </row>
    <row r="658" spans="1:11" x14ac:dyDescent="0.3">
      <c r="A658" s="8" t="s">
        <v>2284</v>
      </c>
      <c r="B658" s="8" t="s">
        <v>1633</v>
      </c>
      <c r="C658" s="8">
        <v>144</v>
      </c>
      <c r="D658" s="120" t="s">
        <v>1626</v>
      </c>
      <c r="E658" s="121">
        <v>45142</v>
      </c>
      <c r="F658" s="8">
        <v>195</v>
      </c>
      <c r="G658" s="8">
        <v>3.4</v>
      </c>
      <c r="H658" s="82">
        <f>IF(MONTH(TABLE_PIVOT[[#This Row],[Date of Call]])&lt;=6,YEAR(TABLE_PIVOT[[#This Row],[Date of Call]]),YEAR(TABLE_PIVOT[[#This Row],[Date of Call]])+1)</f>
        <v>2024</v>
      </c>
      <c r="I658" s="82" t="str">
        <f>TEXT(TABLE_PIVOT[[#This Row],[Date of Call]],"DDDD")</f>
        <v>Friday</v>
      </c>
      <c r="J658" s="82" t="str" cm="1">
        <f t="array" ref="J658">_xlfn.IFS(TABLE_PIVOT[[#This Row],[Duration]]&lt;=10,"Under 10 Mins",TABLE_PIVOT[[#This Row],[Duration]]&lt;=30,"10 to 30 Mins",TABLE_PIVOT[[#This Row],[Duration]]&lt;=60,"30 to 60 Mins",TABLE_PIVOT[[#This Row],[Duration]]&lt;=120,"1 to 2 Hours",TRUE,"More Than 2 Hours")</f>
        <v>More Than 2 Hours</v>
      </c>
      <c r="K658" s="82">
        <f>ROUND(TABLE_PIVOT[[#This Row],[Satisfaction Rating]],0)</f>
        <v>3</v>
      </c>
    </row>
    <row r="659" spans="1:11" x14ac:dyDescent="0.3">
      <c r="A659" s="8" t="s">
        <v>2285</v>
      </c>
      <c r="B659" s="8" t="s">
        <v>1615</v>
      </c>
      <c r="C659" s="8">
        <v>56</v>
      </c>
      <c r="D659" s="120" t="s">
        <v>1616</v>
      </c>
      <c r="E659" s="121">
        <v>45143</v>
      </c>
      <c r="F659" s="8">
        <v>152</v>
      </c>
      <c r="G659" s="8">
        <v>4.5999999999999996</v>
      </c>
      <c r="H659" s="82">
        <f>IF(MONTH(TABLE_PIVOT[[#This Row],[Date of Call]])&lt;=6,YEAR(TABLE_PIVOT[[#This Row],[Date of Call]]),YEAR(TABLE_PIVOT[[#This Row],[Date of Call]])+1)</f>
        <v>2024</v>
      </c>
      <c r="I659" s="82" t="str">
        <f>TEXT(TABLE_PIVOT[[#This Row],[Date of Call]],"DDDD")</f>
        <v>Saturday</v>
      </c>
      <c r="J659" s="82" t="str" cm="1">
        <f t="array" ref="J659">_xlfn.IFS(TABLE_PIVOT[[#This Row],[Duration]]&lt;=10,"Under 10 Mins",TABLE_PIVOT[[#This Row],[Duration]]&lt;=30,"10 to 30 Mins",TABLE_PIVOT[[#This Row],[Duration]]&lt;=60,"30 to 60 Mins",TABLE_PIVOT[[#This Row],[Duration]]&lt;=120,"1 to 2 Hours",TRUE,"More Than 2 Hours")</f>
        <v>30 to 60 Mins</v>
      </c>
      <c r="K659" s="82">
        <f>ROUND(TABLE_PIVOT[[#This Row],[Satisfaction Rating]],0)</f>
        <v>5</v>
      </c>
    </row>
    <row r="660" spans="1:11" x14ac:dyDescent="0.3">
      <c r="A660" s="8" t="s">
        <v>2286</v>
      </c>
      <c r="B660" s="8" t="s">
        <v>1633</v>
      </c>
      <c r="C660" s="8">
        <v>132</v>
      </c>
      <c r="D660" s="120" t="s">
        <v>1626</v>
      </c>
      <c r="E660" s="121">
        <v>45144</v>
      </c>
      <c r="F660" s="8">
        <v>195</v>
      </c>
      <c r="G660" s="8">
        <v>4.9000000000000004</v>
      </c>
      <c r="H660" s="82">
        <f>IF(MONTH(TABLE_PIVOT[[#This Row],[Date of Call]])&lt;=6,YEAR(TABLE_PIVOT[[#This Row],[Date of Call]]),YEAR(TABLE_PIVOT[[#This Row],[Date of Call]])+1)</f>
        <v>2024</v>
      </c>
      <c r="I660" s="82" t="str">
        <f>TEXT(TABLE_PIVOT[[#This Row],[Date of Call]],"DDDD")</f>
        <v>Sunday</v>
      </c>
      <c r="J660" s="82" t="str" cm="1">
        <f t="array" ref="J660">_xlfn.IFS(TABLE_PIVOT[[#This Row],[Duration]]&lt;=10,"Under 10 Mins",TABLE_PIVOT[[#This Row],[Duration]]&lt;=30,"10 to 30 Mins",TABLE_PIVOT[[#This Row],[Duration]]&lt;=60,"30 to 60 Mins",TABLE_PIVOT[[#This Row],[Duration]]&lt;=120,"1 to 2 Hours",TRUE,"More Than 2 Hours")</f>
        <v>More Than 2 Hours</v>
      </c>
      <c r="K660" s="82">
        <f>ROUND(TABLE_PIVOT[[#This Row],[Satisfaction Rating]],0)</f>
        <v>5</v>
      </c>
    </row>
    <row r="661" spans="1:11" x14ac:dyDescent="0.3">
      <c r="A661" s="8" t="s">
        <v>2287</v>
      </c>
      <c r="B661" s="8" t="s">
        <v>1624</v>
      </c>
      <c r="C661" s="8">
        <v>72</v>
      </c>
      <c r="D661" s="120" t="s">
        <v>1621</v>
      </c>
      <c r="E661" s="121">
        <v>45144</v>
      </c>
      <c r="F661" s="8">
        <v>70</v>
      </c>
      <c r="G661" s="8">
        <v>3.6</v>
      </c>
      <c r="H661" s="82">
        <f>IF(MONTH(TABLE_PIVOT[[#This Row],[Date of Call]])&lt;=6,YEAR(TABLE_PIVOT[[#This Row],[Date of Call]]),YEAR(TABLE_PIVOT[[#This Row],[Date of Call]])+1)</f>
        <v>2024</v>
      </c>
      <c r="I661" s="82" t="str">
        <f>TEXT(TABLE_PIVOT[[#This Row],[Date of Call]],"DDDD")</f>
        <v>Sunday</v>
      </c>
      <c r="J661" s="82" t="str" cm="1">
        <f t="array" ref="J661">_xlfn.IFS(TABLE_PIVOT[[#This Row],[Duration]]&lt;=10,"Under 10 Mins",TABLE_PIVOT[[#This Row],[Duration]]&lt;=30,"10 to 30 Mins",TABLE_PIVOT[[#This Row],[Duration]]&lt;=60,"30 to 60 Mins",TABLE_PIVOT[[#This Row],[Duration]]&lt;=120,"1 to 2 Hours",TRUE,"More Than 2 Hours")</f>
        <v>1 to 2 Hours</v>
      </c>
      <c r="K661" s="82">
        <f>ROUND(TABLE_PIVOT[[#This Row],[Satisfaction Rating]],0)</f>
        <v>4</v>
      </c>
    </row>
    <row r="662" spans="1:11" x14ac:dyDescent="0.3">
      <c r="A662" s="8" t="s">
        <v>2288</v>
      </c>
      <c r="B662" s="8" t="s">
        <v>1652</v>
      </c>
      <c r="C662" s="8">
        <v>18</v>
      </c>
      <c r="D662" s="120" t="s">
        <v>1621</v>
      </c>
      <c r="E662" s="121">
        <v>45144</v>
      </c>
      <c r="F662" s="8">
        <v>22</v>
      </c>
      <c r="G662" s="8">
        <v>3.5</v>
      </c>
      <c r="H662" s="82">
        <f>IF(MONTH(TABLE_PIVOT[[#This Row],[Date of Call]])&lt;=6,YEAR(TABLE_PIVOT[[#This Row],[Date of Call]]),YEAR(TABLE_PIVOT[[#This Row],[Date of Call]])+1)</f>
        <v>2024</v>
      </c>
      <c r="I662" s="82" t="str">
        <f>TEXT(TABLE_PIVOT[[#This Row],[Date of Call]],"DDDD")</f>
        <v>Sunday</v>
      </c>
      <c r="J662" s="82" t="str" cm="1">
        <f t="array" ref="J662">_xlfn.IFS(TABLE_PIVOT[[#This Row],[Duration]]&lt;=10,"Under 10 Mins",TABLE_PIVOT[[#This Row],[Duration]]&lt;=30,"10 to 30 Mins",TABLE_PIVOT[[#This Row],[Duration]]&lt;=60,"30 to 60 Mins",TABLE_PIVOT[[#This Row],[Duration]]&lt;=120,"1 to 2 Hours",TRUE,"More Than 2 Hours")</f>
        <v>10 to 30 Mins</v>
      </c>
      <c r="K662" s="82">
        <f>ROUND(TABLE_PIVOT[[#This Row],[Satisfaction Rating]],0)</f>
        <v>4</v>
      </c>
    </row>
    <row r="663" spans="1:11" x14ac:dyDescent="0.3">
      <c r="A663" s="8" t="s">
        <v>2289</v>
      </c>
      <c r="B663" s="8" t="s">
        <v>1620</v>
      </c>
      <c r="C663" s="8">
        <v>115</v>
      </c>
      <c r="D663" s="120" t="s">
        <v>1630</v>
      </c>
      <c r="E663" s="121">
        <v>45145</v>
      </c>
      <c r="F663" s="8">
        <v>40</v>
      </c>
      <c r="G663" s="8">
        <v>3.3</v>
      </c>
      <c r="H663" s="82">
        <f>IF(MONTH(TABLE_PIVOT[[#This Row],[Date of Call]])&lt;=6,YEAR(TABLE_PIVOT[[#This Row],[Date of Call]]),YEAR(TABLE_PIVOT[[#This Row],[Date of Call]])+1)</f>
        <v>2024</v>
      </c>
      <c r="I663" s="82" t="str">
        <f>TEXT(TABLE_PIVOT[[#This Row],[Date of Call]],"DDDD")</f>
        <v>Monday</v>
      </c>
      <c r="J663" s="82" t="str" cm="1">
        <f t="array" ref="J663">_xlfn.IFS(TABLE_PIVOT[[#This Row],[Duration]]&lt;=10,"Under 10 Mins",TABLE_PIVOT[[#This Row],[Duration]]&lt;=30,"10 to 30 Mins",TABLE_PIVOT[[#This Row],[Duration]]&lt;=60,"30 to 60 Mins",TABLE_PIVOT[[#This Row],[Duration]]&lt;=120,"1 to 2 Hours",TRUE,"More Than 2 Hours")</f>
        <v>1 to 2 Hours</v>
      </c>
      <c r="K663" s="82">
        <f>ROUND(TABLE_PIVOT[[#This Row],[Satisfaction Rating]],0)</f>
        <v>3</v>
      </c>
    </row>
    <row r="664" spans="1:11" x14ac:dyDescent="0.3">
      <c r="A664" s="8" t="s">
        <v>2290</v>
      </c>
      <c r="B664" s="8" t="s">
        <v>1620</v>
      </c>
      <c r="C664" s="8">
        <v>124</v>
      </c>
      <c r="D664" s="120" t="s">
        <v>1616</v>
      </c>
      <c r="E664" s="121">
        <v>45146</v>
      </c>
      <c r="F664" s="8">
        <v>54</v>
      </c>
      <c r="G664" s="8">
        <v>3.8</v>
      </c>
      <c r="H664" s="82">
        <f>IF(MONTH(TABLE_PIVOT[[#This Row],[Date of Call]])&lt;=6,YEAR(TABLE_PIVOT[[#This Row],[Date of Call]]),YEAR(TABLE_PIVOT[[#This Row],[Date of Call]])+1)</f>
        <v>2024</v>
      </c>
      <c r="I664" s="82" t="str">
        <f>TEXT(TABLE_PIVOT[[#This Row],[Date of Call]],"DDDD")</f>
        <v>Tuesday</v>
      </c>
      <c r="J664" s="82" t="str" cm="1">
        <f t="array" ref="J664">_xlfn.IFS(TABLE_PIVOT[[#This Row],[Duration]]&lt;=10,"Under 10 Mins",TABLE_PIVOT[[#This Row],[Duration]]&lt;=30,"10 to 30 Mins",TABLE_PIVOT[[#This Row],[Duration]]&lt;=60,"30 to 60 Mins",TABLE_PIVOT[[#This Row],[Duration]]&lt;=120,"1 to 2 Hours",TRUE,"More Than 2 Hours")</f>
        <v>More Than 2 Hours</v>
      </c>
      <c r="K664" s="82">
        <f>ROUND(TABLE_PIVOT[[#This Row],[Satisfaction Rating]],0)</f>
        <v>4</v>
      </c>
    </row>
    <row r="665" spans="1:11" x14ac:dyDescent="0.3">
      <c r="A665" s="8" t="s">
        <v>2291</v>
      </c>
      <c r="B665" s="8" t="s">
        <v>1613</v>
      </c>
      <c r="C665" s="8">
        <v>130</v>
      </c>
      <c r="D665" s="120" t="s">
        <v>1616</v>
      </c>
      <c r="E665" s="121">
        <v>45146</v>
      </c>
      <c r="F665" s="8">
        <v>60</v>
      </c>
      <c r="G665" s="8">
        <v>2.5</v>
      </c>
      <c r="H665" s="82">
        <f>IF(MONTH(TABLE_PIVOT[[#This Row],[Date of Call]])&lt;=6,YEAR(TABLE_PIVOT[[#This Row],[Date of Call]]),YEAR(TABLE_PIVOT[[#This Row],[Date of Call]])+1)</f>
        <v>2024</v>
      </c>
      <c r="I665" s="82" t="str">
        <f>TEXT(TABLE_PIVOT[[#This Row],[Date of Call]],"DDDD")</f>
        <v>Tuesday</v>
      </c>
      <c r="J665" s="82" t="str" cm="1">
        <f t="array" ref="J665">_xlfn.IFS(TABLE_PIVOT[[#This Row],[Duration]]&lt;=10,"Under 10 Mins",TABLE_PIVOT[[#This Row],[Duration]]&lt;=30,"10 to 30 Mins",TABLE_PIVOT[[#This Row],[Duration]]&lt;=60,"30 to 60 Mins",TABLE_PIVOT[[#This Row],[Duration]]&lt;=120,"1 to 2 Hours",TRUE,"More Than 2 Hours")</f>
        <v>More Than 2 Hours</v>
      </c>
      <c r="K665" s="82">
        <f>ROUND(TABLE_PIVOT[[#This Row],[Satisfaction Rating]],0)</f>
        <v>3</v>
      </c>
    </row>
    <row r="666" spans="1:11" x14ac:dyDescent="0.3">
      <c r="A666" s="8" t="s">
        <v>2292</v>
      </c>
      <c r="B666" s="8" t="s">
        <v>1649</v>
      </c>
      <c r="C666" s="8">
        <v>120</v>
      </c>
      <c r="D666" s="120" t="s">
        <v>1611</v>
      </c>
      <c r="E666" s="121">
        <v>45148</v>
      </c>
      <c r="F666" s="8">
        <v>58</v>
      </c>
      <c r="G666" s="8">
        <v>4.5999999999999996</v>
      </c>
      <c r="H666" s="82">
        <f>IF(MONTH(TABLE_PIVOT[[#This Row],[Date of Call]])&lt;=6,YEAR(TABLE_PIVOT[[#This Row],[Date of Call]]),YEAR(TABLE_PIVOT[[#This Row],[Date of Call]])+1)</f>
        <v>2024</v>
      </c>
      <c r="I666" s="82" t="str">
        <f>TEXT(TABLE_PIVOT[[#This Row],[Date of Call]],"DDDD")</f>
        <v>Thursday</v>
      </c>
      <c r="J666" s="82" t="str" cm="1">
        <f t="array" ref="J666">_xlfn.IFS(TABLE_PIVOT[[#This Row],[Duration]]&lt;=10,"Under 10 Mins",TABLE_PIVOT[[#This Row],[Duration]]&lt;=30,"10 to 30 Mins",TABLE_PIVOT[[#This Row],[Duration]]&lt;=60,"30 to 60 Mins",TABLE_PIVOT[[#This Row],[Duration]]&lt;=120,"1 to 2 Hours",TRUE,"More Than 2 Hours")</f>
        <v>1 to 2 Hours</v>
      </c>
      <c r="K666" s="82">
        <f>ROUND(TABLE_PIVOT[[#This Row],[Satisfaction Rating]],0)</f>
        <v>5</v>
      </c>
    </row>
    <row r="667" spans="1:11" x14ac:dyDescent="0.3">
      <c r="A667" s="8" t="s">
        <v>2293</v>
      </c>
      <c r="B667" s="8" t="s">
        <v>1629</v>
      </c>
      <c r="C667" s="8">
        <v>75</v>
      </c>
      <c r="D667" s="120" t="s">
        <v>1630</v>
      </c>
      <c r="E667" s="121">
        <v>45148</v>
      </c>
      <c r="F667" s="8">
        <v>220</v>
      </c>
      <c r="G667" s="8">
        <v>4.7</v>
      </c>
      <c r="H667" s="82">
        <f>IF(MONTH(TABLE_PIVOT[[#This Row],[Date of Call]])&lt;=6,YEAR(TABLE_PIVOT[[#This Row],[Date of Call]]),YEAR(TABLE_PIVOT[[#This Row],[Date of Call]])+1)</f>
        <v>2024</v>
      </c>
      <c r="I667" s="82" t="str">
        <f>TEXT(TABLE_PIVOT[[#This Row],[Date of Call]],"DDDD")</f>
        <v>Thursday</v>
      </c>
      <c r="J667" s="82" t="str" cm="1">
        <f t="array" ref="J667">_xlfn.IFS(TABLE_PIVOT[[#This Row],[Duration]]&lt;=10,"Under 10 Mins",TABLE_PIVOT[[#This Row],[Duration]]&lt;=30,"10 to 30 Mins",TABLE_PIVOT[[#This Row],[Duration]]&lt;=60,"30 to 60 Mins",TABLE_PIVOT[[#This Row],[Duration]]&lt;=120,"1 to 2 Hours",TRUE,"More Than 2 Hours")</f>
        <v>1 to 2 Hours</v>
      </c>
      <c r="K667" s="82">
        <f>ROUND(TABLE_PIVOT[[#This Row],[Satisfaction Rating]],0)</f>
        <v>5</v>
      </c>
    </row>
    <row r="668" spans="1:11" x14ac:dyDescent="0.3">
      <c r="A668" s="8" t="s">
        <v>2294</v>
      </c>
      <c r="B668" s="8" t="s">
        <v>1610</v>
      </c>
      <c r="C668" s="8">
        <v>63</v>
      </c>
      <c r="D668" s="120" t="s">
        <v>1630</v>
      </c>
      <c r="E668" s="121">
        <v>45148</v>
      </c>
      <c r="F668" s="8">
        <v>27</v>
      </c>
      <c r="G668" s="8">
        <v>3.6</v>
      </c>
      <c r="H668" s="82">
        <f>IF(MONTH(TABLE_PIVOT[[#This Row],[Date of Call]])&lt;=6,YEAR(TABLE_PIVOT[[#This Row],[Date of Call]]),YEAR(TABLE_PIVOT[[#This Row],[Date of Call]])+1)</f>
        <v>2024</v>
      </c>
      <c r="I668" s="82" t="str">
        <f>TEXT(TABLE_PIVOT[[#This Row],[Date of Call]],"DDDD")</f>
        <v>Thursday</v>
      </c>
      <c r="J668" s="82" t="str" cm="1">
        <f t="array" ref="J668">_xlfn.IFS(TABLE_PIVOT[[#This Row],[Duration]]&lt;=10,"Under 10 Mins",TABLE_PIVOT[[#This Row],[Duration]]&lt;=30,"10 to 30 Mins",TABLE_PIVOT[[#This Row],[Duration]]&lt;=60,"30 to 60 Mins",TABLE_PIVOT[[#This Row],[Duration]]&lt;=120,"1 to 2 Hours",TRUE,"More Than 2 Hours")</f>
        <v>1 to 2 Hours</v>
      </c>
      <c r="K668" s="82">
        <f>ROUND(TABLE_PIVOT[[#This Row],[Satisfaction Rating]],0)</f>
        <v>4</v>
      </c>
    </row>
    <row r="669" spans="1:11" x14ac:dyDescent="0.3">
      <c r="A669" s="8" t="s">
        <v>2295</v>
      </c>
      <c r="B669" s="8" t="s">
        <v>1633</v>
      </c>
      <c r="C669" s="8">
        <v>74</v>
      </c>
      <c r="D669" s="120" t="s">
        <v>1630</v>
      </c>
      <c r="E669" s="121">
        <v>45150</v>
      </c>
      <c r="F669" s="8">
        <v>26</v>
      </c>
      <c r="G669" s="8">
        <v>4.3</v>
      </c>
      <c r="H669" s="82">
        <f>IF(MONTH(TABLE_PIVOT[[#This Row],[Date of Call]])&lt;=6,YEAR(TABLE_PIVOT[[#This Row],[Date of Call]]),YEAR(TABLE_PIVOT[[#This Row],[Date of Call]])+1)</f>
        <v>2024</v>
      </c>
      <c r="I669" s="82" t="str">
        <f>TEXT(TABLE_PIVOT[[#This Row],[Date of Call]],"DDDD")</f>
        <v>Saturday</v>
      </c>
      <c r="J669" s="82" t="str" cm="1">
        <f t="array" ref="J669">_xlfn.IFS(TABLE_PIVOT[[#This Row],[Duration]]&lt;=10,"Under 10 Mins",TABLE_PIVOT[[#This Row],[Duration]]&lt;=30,"10 to 30 Mins",TABLE_PIVOT[[#This Row],[Duration]]&lt;=60,"30 to 60 Mins",TABLE_PIVOT[[#This Row],[Duration]]&lt;=120,"1 to 2 Hours",TRUE,"More Than 2 Hours")</f>
        <v>1 to 2 Hours</v>
      </c>
      <c r="K669" s="82">
        <f>ROUND(TABLE_PIVOT[[#This Row],[Satisfaction Rating]],0)</f>
        <v>4</v>
      </c>
    </row>
    <row r="670" spans="1:11" x14ac:dyDescent="0.3">
      <c r="A670" s="8" t="s">
        <v>2296</v>
      </c>
      <c r="B670" s="8" t="s">
        <v>1644</v>
      </c>
      <c r="C670" s="8">
        <v>134</v>
      </c>
      <c r="D670" s="120" t="s">
        <v>1626</v>
      </c>
      <c r="E670" s="121">
        <v>45151</v>
      </c>
      <c r="F670" s="8">
        <v>160</v>
      </c>
      <c r="G670" s="8">
        <v>4.7</v>
      </c>
      <c r="H670" s="82">
        <f>IF(MONTH(TABLE_PIVOT[[#This Row],[Date of Call]])&lt;=6,YEAR(TABLE_PIVOT[[#This Row],[Date of Call]]),YEAR(TABLE_PIVOT[[#This Row],[Date of Call]])+1)</f>
        <v>2024</v>
      </c>
      <c r="I670" s="82" t="str">
        <f>TEXT(TABLE_PIVOT[[#This Row],[Date of Call]],"DDDD")</f>
        <v>Sunday</v>
      </c>
      <c r="J670" s="82" t="str" cm="1">
        <f t="array" ref="J670">_xlfn.IFS(TABLE_PIVOT[[#This Row],[Duration]]&lt;=10,"Under 10 Mins",TABLE_PIVOT[[#This Row],[Duration]]&lt;=30,"10 to 30 Mins",TABLE_PIVOT[[#This Row],[Duration]]&lt;=60,"30 to 60 Mins",TABLE_PIVOT[[#This Row],[Duration]]&lt;=120,"1 to 2 Hours",TRUE,"More Than 2 Hours")</f>
        <v>More Than 2 Hours</v>
      </c>
      <c r="K670" s="82">
        <f>ROUND(TABLE_PIVOT[[#This Row],[Satisfaction Rating]],0)</f>
        <v>5</v>
      </c>
    </row>
    <row r="671" spans="1:11" x14ac:dyDescent="0.3">
      <c r="A671" s="8" t="s">
        <v>2297</v>
      </c>
      <c r="B671" s="8" t="s">
        <v>1652</v>
      </c>
      <c r="C671" s="8">
        <v>103</v>
      </c>
      <c r="D671" s="120" t="s">
        <v>1616</v>
      </c>
      <c r="E671" s="121">
        <v>45151</v>
      </c>
      <c r="F671" s="8">
        <v>200</v>
      </c>
      <c r="G671" s="8">
        <v>4.9000000000000004</v>
      </c>
      <c r="H671" s="82">
        <f>IF(MONTH(TABLE_PIVOT[[#This Row],[Date of Call]])&lt;=6,YEAR(TABLE_PIVOT[[#This Row],[Date of Call]]),YEAR(TABLE_PIVOT[[#This Row],[Date of Call]])+1)</f>
        <v>2024</v>
      </c>
      <c r="I671" s="82" t="str">
        <f>TEXT(TABLE_PIVOT[[#This Row],[Date of Call]],"DDDD")</f>
        <v>Sunday</v>
      </c>
      <c r="J671" s="82" t="str" cm="1">
        <f t="array" ref="J671">_xlfn.IFS(TABLE_PIVOT[[#This Row],[Duration]]&lt;=10,"Under 10 Mins",TABLE_PIVOT[[#This Row],[Duration]]&lt;=30,"10 to 30 Mins",TABLE_PIVOT[[#This Row],[Duration]]&lt;=60,"30 to 60 Mins",TABLE_PIVOT[[#This Row],[Duration]]&lt;=120,"1 to 2 Hours",TRUE,"More Than 2 Hours")</f>
        <v>1 to 2 Hours</v>
      </c>
      <c r="K671" s="82">
        <f>ROUND(TABLE_PIVOT[[#This Row],[Satisfaction Rating]],0)</f>
        <v>5</v>
      </c>
    </row>
    <row r="672" spans="1:11" x14ac:dyDescent="0.3">
      <c r="A672" s="8" t="s">
        <v>2298</v>
      </c>
      <c r="B672" s="8" t="s">
        <v>1652</v>
      </c>
      <c r="C672" s="8">
        <v>155</v>
      </c>
      <c r="D672" s="120" t="s">
        <v>1611</v>
      </c>
      <c r="E672" s="121">
        <v>45154</v>
      </c>
      <c r="F672" s="8">
        <v>135</v>
      </c>
      <c r="G672" s="8">
        <v>4.9000000000000004</v>
      </c>
      <c r="H672" s="82">
        <f>IF(MONTH(TABLE_PIVOT[[#This Row],[Date of Call]])&lt;=6,YEAR(TABLE_PIVOT[[#This Row],[Date of Call]]),YEAR(TABLE_PIVOT[[#This Row],[Date of Call]])+1)</f>
        <v>2024</v>
      </c>
      <c r="I672" s="82" t="str">
        <f>TEXT(TABLE_PIVOT[[#This Row],[Date of Call]],"DDDD")</f>
        <v>Wednesday</v>
      </c>
      <c r="J672" s="82" t="str" cm="1">
        <f t="array" ref="J672">_xlfn.IFS(TABLE_PIVOT[[#This Row],[Duration]]&lt;=10,"Under 10 Mins",TABLE_PIVOT[[#This Row],[Duration]]&lt;=30,"10 to 30 Mins",TABLE_PIVOT[[#This Row],[Duration]]&lt;=60,"30 to 60 Mins",TABLE_PIVOT[[#This Row],[Duration]]&lt;=120,"1 to 2 Hours",TRUE,"More Than 2 Hours")</f>
        <v>More Than 2 Hours</v>
      </c>
      <c r="K672" s="82">
        <f>ROUND(TABLE_PIVOT[[#This Row],[Satisfaction Rating]],0)</f>
        <v>5</v>
      </c>
    </row>
    <row r="673" spans="1:11" x14ac:dyDescent="0.3">
      <c r="A673" s="8" t="s">
        <v>2299</v>
      </c>
      <c r="B673" s="8" t="s">
        <v>1610</v>
      </c>
      <c r="C673" s="8">
        <v>128</v>
      </c>
      <c r="D673" s="120" t="s">
        <v>1616</v>
      </c>
      <c r="E673" s="121">
        <v>45155</v>
      </c>
      <c r="F673" s="8">
        <v>22</v>
      </c>
      <c r="G673" s="8">
        <v>1.9</v>
      </c>
      <c r="H673" s="82">
        <f>IF(MONTH(TABLE_PIVOT[[#This Row],[Date of Call]])&lt;=6,YEAR(TABLE_PIVOT[[#This Row],[Date of Call]]),YEAR(TABLE_PIVOT[[#This Row],[Date of Call]])+1)</f>
        <v>2024</v>
      </c>
      <c r="I673" s="82" t="str">
        <f>TEXT(TABLE_PIVOT[[#This Row],[Date of Call]],"DDDD")</f>
        <v>Thursday</v>
      </c>
      <c r="J673" s="82" t="str" cm="1">
        <f t="array" ref="J673">_xlfn.IFS(TABLE_PIVOT[[#This Row],[Duration]]&lt;=10,"Under 10 Mins",TABLE_PIVOT[[#This Row],[Duration]]&lt;=30,"10 to 30 Mins",TABLE_PIVOT[[#This Row],[Duration]]&lt;=60,"30 to 60 Mins",TABLE_PIVOT[[#This Row],[Duration]]&lt;=120,"1 to 2 Hours",TRUE,"More Than 2 Hours")</f>
        <v>More Than 2 Hours</v>
      </c>
      <c r="K673" s="82">
        <f>ROUND(TABLE_PIVOT[[#This Row],[Satisfaction Rating]],0)</f>
        <v>2</v>
      </c>
    </row>
    <row r="674" spans="1:11" x14ac:dyDescent="0.3">
      <c r="A674" s="8" t="s">
        <v>2300</v>
      </c>
      <c r="B674" s="8" t="s">
        <v>1629</v>
      </c>
      <c r="C674" s="8">
        <v>89</v>
      </c>
      <c r="D674" s="120" t="s">
        <v>1626</v>
      </c>
      <c r="E674" s="121">
        <v>45156</v>
      </c>
      <c r="F674" s="8">
        <v>164</v>
      </c>
      <c r="G674" s="8">
        <v>4.5</v>
      </c>
      <c r="H674" s="82">
        <f>IF(MONTH(TABLE_PIVOT[[#This Row],[Date of Call]])&lt;=6,YEAR(TABLE_PIVOT[[#This Row],[Date of Call]]),YEAR(TABLE_PIVOT[[#This Row],[Date of Call]])+1)</f>
        <v>2024</v>
      </c>
      <c r="I674" s="82" t="str">
        <f>TEXT(TABLE_PIVOT[[#This Row],[Date of Call]],"DDDD")</f>
        <v>Friday</v>
      </c>
      <c r="J674" s="82" t="str" cm="1">
        <f t="array" ref="J674">_xlfn.IFS(TABLE_PIVOT[[#This Row],[Duration]]&lt;=10,"Under 10 Mins",TABLE_PIVOT[[#This Row],[Duration]]&lt;=30,"10 to 30 Mins",TABLE_PIVOT[[#This Row],[Duration]]&lt;=60,"30 to 60 Mins",TABLE_PIVOT[[#This Row],[Duration]]&lt;=120,"1 to 2 Hours",TRUE,"More Than 2 Hours")</f>
        <v>1 to 2 Hours</v>
      </c>
      <c r="K674" s="82">
        <f>ROUND(TABLE_PIVOT[[#This Row],[Satisfaction Rating]],0)</f>
        <v>5</v>
      </c>
    </row>
    <row r="675" spans="1:11" x14ac:dyDescent="0.3">
      <c r="A675" s="8" t="s">
        <v>2301</v>
      </c>
      <c r="B675" s="8" t="s">
        <v>1620</v>
      </c>
      <c r="C675" s="8">
        <v>81</v>
      </c>
      <c r="D675" s="120" t="s">
        <v>1611</v>
      </c>
      <c r="E675" s="121">
        <v>45156</v>
      </c>
      <c r="F675" s="8">
        <v>21</v>
      </c>
      <c r="G675" s="8">
        <v>4.9000000000000004</v>
      </c>
      <c r="H675" s="82">
        <f>IF(MONTH(TABLE_PIVOT[[#This Row],[Date of Call]])&lt;=6,YEAR(TABLE_PIVOT[[#This Row],[Date of Call]]),YEAR(TABLE_PIVOT[[#This Row],[Date of Call]])+1)</f>
        <v>2024</v>
      </c>
      <c r="I675" s="82" t="str">
        <f>TEXT(TABLE_PIVOT[[#This Row],[Date of Call]],"DDDD")</f>
        <v>Friday</v>
      </c>
      <c r="J675" s="82" t="str" cm="1">
        <f t="array" ref="J675">_xlfn.IFS(TABLE_PIVOT[[#This Row],[Duration]]&lt;=10,"Under 10 Mins",TABLE_PIVOT[[#This Row],[Duration]]&lt;=30,"10 to 30 Mins",TABLE_PIVOT[[#This Row],[Duration]]&lt;=60,"30 to 60 Mins",TABLE_PIVOT[[#This Row],[Duration]]&lt;=120,"1 to 2 Hours",TRUE,"More Than 2 Hours")</f>
        <v>1 to 2 Hours</v>
      </c>
      <c r="K675" s="82">
        <f>ROUND(TABLE_PIVOT[[#This Row],[Satisfaction Rating]],0)</f>
        <v>5</v>
      </c>
    </row>
    <row r="676" spans="1:11" x14ac:dyDescent="0.3">
      <c r="A676" s="8" t="s">
        <v>2302</v>
      </c>
      <c r="B676" s="8" t="s">
        <v>1629</v>
      </c>
      <c r="C676" s="8">
        <v>66</v>
      </c>
      <c r="D676" s="120" t="s">
        <v>1626</v>
      </c>
      <c r="E676" s="121">
        <v>45157</v>
      </c>
      <c r="F676" s="8">
        <v>120</v>
      </c>
      <c r="G676" s="8">
        <v>4.5</v>
      </c>
      <c r="H676" s="82">
        <f>IF(MONTH(TABLE_PIVOT[[#This Row],[Date of Call]])&lt;=6,YEAR(TABLE_PIVOT[[#This Row],[Date of Call]]),YEAR(TABLE_PIVOT[[#This Row],[Date of Call]])+1)</f>
        <v>2024</v>
      </c>
      <c r="I676" s="82" t="str">
        <f>TEXT(TABLE_PIVOT[[#This Row],[Date of Call]],"DDDD")</f>
        <v>Saturday</v>
      </c>
      <c r="J676" s="82" t="str" cm="1">
        <f t="array" ref="J676">_xlfn.IFS(TABLE_PIVOT[[#This Row],[Duration]]&lt;=10,"Under 10 Mins",TABLE_PIVOT[[#This Row],[Duration]]&lt;=30,"10 to 30 Mins",TABLE_PIVOT[[#This Row],[Duration]]&lt;=60,"30 to 60 Mins",TABLE_PIVOT[[#This Row],[Duration]]&lt;=120,"1 to 2 Hours",TRUE,"More Than 2 Hours")</f>
        <v>1 to 2 Hours</v>
      </c>
      <c r="K676" s="82">
        <f>ROUND(TABLE_PIVOT[[#This Row],[Satisfaction Rating]],0)</f>
        <v>5</v>
      </c>
    </row>
    <row r="677" spans="1:11" x14ac:dyDescent="0.3">
      <c r="A677" s="8" t="s">
        <v>2303</v>
      </c>
      <c r="B677" s="8" t="s">
        <v>1624</v>
      </c>
      <c r="C677" s="8">
        <v>61</v>
      </c>
      <c r="D677" s="120" t="s">
        <v>1621</v>
      </c>
      <c r="E677" s="121">
        <v>45157</v>
      </c>
      <c r="F677" s="8">
        <v>93</v>
      </c>
      <c r="G677" s="8">
        <v>2.7</v>
      </c>
      <c r="H677" s="82">
        <f>IF(MONTH(TABLE_PIVOT[[#This Row],[Date of Call]])&lt;=6,YEAR(TABLE_PIVOT[[#This Row],[Date of Call]]),YEAR(TABLE_PIVOT[[#This Row],[Date of Call]])+1)</f>
        <v>2024</v>
      </c>
      <c r="I677" s="82" t="str">
        <f>TEXT(TABLE_PIVOT[[#This Row],[Date of Call]],"DDDD")</f>
        <v>Saturday</v>
      </c>
      <c r="J677" s="82" t="str" cm="1">
        <f t="array" ref="J677">_xlfn.IFS(TABLE_PIVOT[[#This Row],[Duration]]&lt;=10,"Under 10 Mins",TABLE_PIVOT[[#This Row],[Duration]]&lt;=30,"10 to 30 Mins",TABLE_PIVOT[[#This Row],[Duration]]&lt;=60,"30 to 60 Mins",TABLE_PIVOT[[#This Row],[Duration]]&lt;=120,"1 to 2 Hours",TRUE,"More Than 2 Hours")</f>
        <v>1 to 2 Hours</v>
      </c>
      <c r="K677" s="82">
        <f>ROUND(TABLE_PIVOT[[#This Row],[Satisfaction Rating]],0)</f>
        <v>3</v>
      </c>
    </row>
    <row r="678" spans="1:11" x14ac:dyDescent="0.3">
      <c r="A678" s="8" t="s">
        <v>2304</v>
      </c>
      <c r="B678" s="8" t="s">
        <v>1620</v>
      </c>
      <c r="C678" s="8">
        <v>128</v>
      </c>
      <c r="D678" s="120" t="s">
        <v>1621</v>
      </c>
      <c r="E678" s="121">
        <v>45157</v>
      </c>
      <c r="F678" s="8">
        <v>135</v>
      </c>
      <c r="G678" s="8">
        <v>2.1</v>
      </c>
      <c r="H678" s="82">
        <f>IF(MONTH(TABLE_PIVOT[[#This Row],[Date of Call]])&lt;=6,YEAR(TABLE_PIVOT[[#This Row],[Date of Call]]),YEAR(TABLE_PIVOT[[#This Row],[Date of Call]])+1)</f>
        <v>2024</v>
      </c>
      <c r="I678" s="82" t="str">
        <f>TEXT(TABLE_PIVOT[[#This Row],[Date of Call]],"DDDD")</f>
        <v>Saturday</v>
      </c>
      <c r="J678" s="82" t="str" cm="1">
        <f t="array" ref="J678">_xlfn.IFS(TABLE_PIVOT[[#This Row],[Duration]]&lt;=10,"Under 10 Mins",TABLE_PIVOT[[#This Row],[Duration]]&lt;=30,"10 to 30 Mins",TABLE_PIVOT[[#This Row],[Duration]]&lt;=60,"30 to 60 Mins",TABLE_PIVOT[[#This Row],[Duration]]&lt;=120,"1 to 2 Hours",TRUE,"More Than 2 Hours")</f>
        <v>More Than 2 Hours</v>
      </c>
      <c r="K678" s="82">
        <f>ROUND(TABLE_PIVOT[[#This Row],[Satisfaction Rating]],0)</f>
        <v>2</v>
      </c>
    </row>
    <row r="679" spans="1:11" x14ac:dyDescent="0.3">
      <c r="A679" s="8" t="s">
        <v>2305</v>
      </c>
      <c r="B679" s="8" t="s">
        <v>1652</v>
      </c>
      <c r="C679" s="8">
        <v>30</v>
      </c>
      <c r="D679" s="120" t="s">
        <v>1611</v>
      </c>
      <c r="E679" s="121">
        <v>45157</v>
      </c>
      <c r="F679" s="8">
        <v>210</v>
      </c>
      <c r="G679" s="8">
        <v>4.2</v>
      </c>
      <c r="H679" s="82">
        <f>IF(MONTH(TABLE_PIVOT[[#This Row],[Date of Call]])&lt;=6,YEAR(TABLE_PIVOT[[#This Row],[Date of Call]]),YEAR(TABLE_PIVOT[[#This Row],[Date of Call]])+1)</f>
        <v>2024</v>
      </c>
      <c r="I679" s="82" t="str">
        <f>TEXT(TABLE_PIVOT[[#This Row],[Date of Call]],"DDDD")</f>
        <v>Saturday</v>
      </c>
      <c r="J679" s="82" t="str" cm="1">
        <f t="array" ref="J679">_xlfn.IFS(TABLE_PIVOT[[#This Row],[Duration]]&lt;=10,"Under 10 Mins",TABLE_PIVOT[[#This Row],[Duration]]&lt;=30,"10 to 30 Mins",TABLE_PIVOT[[#This Row],[Duration]]&lt;=60,"30 to 60 Mins",TABLE_PIVOT[[#This Row],[Duration]]&lt;=120,"1 to 2 Hours",TRUE,"More Than 2 Hours")</f>
        <v>10 to 30 Mins</v>
      </c>
      <c r="K679" s="82">
        <f>ROUND(TABLE_PIVOT[[#This Row],[Satisfaction Rating]],0)</f>
        <v>4</v>
      </c>
    </row>
    <row r="680" spans="1:11" x14ac:dyDescent="0.3">
      <c r="A680" s="8" t="s">
        <v>2306</v>
      </c>
      <c r="B680" s="8" t="s">
        <v>1682</v>
      </c>
      <c r="C680" s="8">
        <v>63</v>
      </c>
      <c r="D680" s="120" t="s">
        <v>1621</v>
      </c>
      <c r="E680" s="121">
        <v>45158</v>
      </c>
      <c r="F680" s="8">
        <v>29</v>
      </c>
      <c r="G680" s="8">
        <v>4.7</v>
      </c>
      <c r="H680" s="82">
        <f>IF(MONTH(TABLE_PIVOT[[#This Row],[Date of Call]])&lt;=6,YEAR(TABLE_PIVOT[[#This Row],[Date of Call]]),YEAR(TABLE_PIVOT[[#This Row],[Date of Call]])+1)</f>
        <v>2024</v>
      </c>
      <c r="I680" s="82" t="str">
        <f>TEXT(TABLE_PIVOT[[#This Row],[Date of Call]],"DDDD")</f>
        <v>Sunday</v>
      </c>
      <c r="J680" s="82" t="str" cm="1">
        <f t="array" ref="J680">_xlfn.IFS(TABLE_PIVOT[[#This Row],[Duration]]&lt;=10,"Under 10 Mins",TABLE_PIVOT[[#This Row],[Duration]]&lt;=30,"10 to 30 Mins",TABLE_PIVOT[[#This Row],[Duration]]&lt;=60,"30 to 60 Mins",TABLE_PIVOT[[#This Row],[Duration]]&lt;=120,"1 to 2 Hours",TRUE,"More Than 2 Hours")</f>
        <v>1 to 2 Hours</v>
      </c>
      <c r="K680" s="82">
        <f>ROUND(TABLE_PIVOT[[#This Row],[Satisfaction Rating]],0)</f>
        <v>5</v>
      </c>
    </row>
    <row r="681" spans="1:11" x14ac:dyDescent="0.3">
      <c r="A681" s="8" t="s">
        <v>2307</v>
      </c>
      <c r="B681" s="8" t="s">
        <v>1635</v>
      </c>
      <c r="C681" s="8">
        <v>64</v>
      </c>
      <c r="D681" s="120" t="s">
        <v>1630</v>
      </c>
      <c r="E681" s="121">
        <v>45158</v>
      </c>
      <c r="F681" s="8">
        <v>111</v>
      </c>
      <c r="G681" s="8">
        <v>3.9</v>
      </c>
      <c r="H681" s="82">
        <f>IF(MONTH(TABLE_PIVOT[[#This Row],[Date of Call]])&lt;=6,YEAR(TABLE_PIVOT[[#This Row],[Date of Call]]),YEAR(TABLE_PIVOT[[#This Row],[Date of Call]])+1)</f>
        <v>2024</v>
      </c>
      <c r="I681" s="82" t="str">
        <f>TEXT(TABLE_PIVOT[[#This Row],[Date of Call]],"DDDD")</f>
        <v>Sunday</v>
      </c>
      <c r="J681" s="82" t="str" cm="1">
        <f t="array" ref="J681">_xlfn.IFS(TABLE_PIVOT[[#This Row],[Duration]]&lt;=10,"Under 10 Mins",TABLE_PIVOT[[#This Row],[Duration]]&lt;=30,"10 to 30 Mins",TABLE_PIVOT[[#This Row],[Duration]]&lt;=60,"30 to 60 Mins",TABLE_PIVOT[[#This Row],[Duration]]&lt;=120,"1 to 2 Hours",TRUE,"More Than 2 Hours")</f>
        <v>1 to 2 Hours</v>
      </c>
      <c r="K681" s="82">
        <f>ROUND(TABLE_PIVOT[[#This Row],[Satisfaction Rating]],0)</f>
        <v>4</v>
      </c>
    </row>
    <row r="682" spans="1:11" x14ac:dyDescent="0.3">
      <c r="A682" s="8" t="s">
        <v>2308</v>
      </c>
      <c r="B682" s="8" t="s">
        <v>1618</v>
      </c>
      <c r="C682" s="8">
        <v>151</v>
      </c>
      <c r="D682" s="120" t="s">
        <v>1616</v>
      </c>
      <c r="E682" s="121">
        <v>45159</v>
      </c>
      <c r="F682" s="8">
        <v>63</v>
      </c>
      <c r="G682" s="8">
        <v>4.0999999999999996</v>
      </c>
      <c r="H682" s="82">
        <f>IF(MONTH(TABLE_PIVOT[[#This Row],[Date of Call]])&lt;=6,YEAR(TABLE_PIVOT[[#This Row],[Date of Call]]),YEAR(TABLE_PIVOT[[#This Row],[Date of Call]])+1)</f>
        <v>2024</v>
      </c>
      <c r="I682" s="82" t="str">
        <f>TEXT(TABLE_PIVOT[[#This Row],[Date of Call]],"DDDD")</f>
        <v>Monday</v>
      </c>
      <c r="J682" s="82" t="str" cm="1">
        <f t="array" ref="J682">_xlfn.IFS(TABLE_PIVOT[[#This Row],[Duration]]&lt;=10,"Under 10 Mins",TABLE_PIVOT[[#This Row],[Duration]]&lt;=30,"10 to 30 Mins",TABLE_PIVOT[[#This Row],[Duration]]&lt;=60,"30 to 60 Mins",TABLE_PIVOT[[#This Row],[Duration]]&lt;=120,"1 to 2 Hours",TRUE,"More Than 2 Hours")</f>
        <v>More Than 2 Hours</v>
      </c>
      <c r="K682" s="82">
        <f>ROUND(TABLE_PIVOT[[#This Row],[Satisfaction Rating]],0)</f>
        <v>4</v>
      </c>
    </row>
    <row r="683" spans="1:11" x14ac:dyDescent="0.3">
      <c r="A683" s="8" t="s">
        <v>2309</v>
      </c>
      <c r="B683" s="8" t="s">
        <v>1662</v>
      </c>
      <c r="C683" s="8">
        <v>116</v>
      </c>
      <c r="D683" s="120" t="s">
        <v>1626</v>
      </c>
      <c r="E683" s="121">
        <v>45159</v>
      </c>
      <c r="F683" s="8">
        <v>44</v>
      </c>
      <c r="G683" s="8">
        <v>3.8</v>
      </c>
      <c r="H683" s="82">
        <f>IF(MONTH(TABLE_PIVOT[[#This Row],[Date of Call]])&lt;=6,YEAR(TABLE_PIVOT[[#This Row],[Date of Call]]),YEAR(TABLE_PIVOT[[#This Row],[Date of Call]])+1)</f>
        <v>2024</v>
      </c>
      <c r="I683" s="82" t="str">
        <f>TEXT(TABLE_PIVOT[[#This Row],[Date of Call]],"DDDD")</f>
        <v>Monday</v>
      </c>
      <c r="J683" s="82" t="str" cm="1">
        <f t="array" ref="J683">_xlfn.IFS(TABLE_PIVOT[[#This Row],[Duration]]&lt;=10,"Under 10 Mins",TABLE_PIVOT[[#This Row],[Duration]]&lt;=30,"10 to 30 Mins",TABLE_PIVOT[[#This Row],[Duration]]&lt;=60,"30 to 60 Mins",TABLE_PIVOT[[#This Row],[Duration]]&lt;=120,"1 to 2 Hours",TRUE,"More Than 2 Hours")</f>
        <v>1 to 2 Hours</v>
      </c>
      <c r="K683" s="82">
        <f>ROUND(TABLE_PIVOT[[#This Row],[Satisfaction Rating]],0)</f>
        <v>4</v>
      </c>
    </row>
    <row r="684" spans="1:11" x14ac:dyDescent="0.3">
      <c r="A684" s="8" t="s">
        <v>2310</v>
      </c>
      <c r="B684" s="8" t="s">
        <v>1618</v>
      </c>
      <c r="C684" s="8">
        <v>111</v>
      </c>
      <c r="D684" s="120" t="s">
        <v>1626</v>
      </c>
      <c r="E684" s="121">
        <v>45161</v>
      </c>
      <c r="F684" s="8">
        <v>120</v>
      </c>
      <c r="G684" s="8">
        <v>1.8</v>
      </c>
      <c r="H684" s="82">
        <f>IF(MONTH(TABLE_PIVOT[[#This Row],[Date of Call]])&lt;=6,YEAR(TABLE_PIVOT[[#This Row],[Date of Call]]),YEAR(TABLE_PIVOT[[#This Row],[Date of Call]])+1)</f>
        <v>2024</v>
      </c>
      <c r="I684" s="82" t="str">
        <f>TEXT(TABLE_PIVOT[[#This Row],[Date of Call]],"DDDD")</f>
        <v>Wednesday</v>
      </c>
      <c r="J684" s="82" t="str" cm="1">
        <f t="array" ref="J684">_xlfn.IFS(TABLE_PIVOT[[#This Row],[Duration]]&lt;=10,"Under 10 Mins",TABLE_PIVOT[[#This Row],[Duration]]&lt;=30,"10 to 30 Mins",TABLE_PIVOT[[#This Row],[Duration]]&lt;=60,"30 to 60 Mins",TABLE_PIVOT[[#This Row],[Duration]]&lt;=120,"1 to 2 Hours",TRUE,"More Than 2 Hours")</f>
        <v>1 to 2 Hours</v>
      </c>
      <c r="K684" s="82">
        <f>ROUND(TABLE_PIVOT[[#This Row],[Satisfaction Rating]],0)</f>
        <v>2</v>
      </c>
    </row>
    <row r="685" spans="1:11" x14ac:dyDescent="0.3">
      <c r="A685" s="8" t="s">
        <v>2311</v>
      </c>
      <c r="B685" s="8" t="s">
        <v>1620</v>
      </c>
      <c r="C685" s="8">
        <v>15</v>
      </c>
      <c r="D685" s="120" t="s">
        <v>1626</v>
      </c>
      <c r="E685" s="121">
        <v>45161</v>
      </c>
      <c r="F685" s="8">
        <v>120</v>
      </c>
      <c r="G685" s="8">
        <v>4.0999999999999996</v>
      </c>
      <c r="H685" s="82">
        <f>IF(MONTH(TABLE_PIVOT[[#This Row],[Date of Call]])&lt;=6,YEAR(TABLE_PIVOT[[#This Row],[Date of Call]]),YEAR(TABLE_PIVOT[[#This Row],[Date of Call]])+1)</f>
        <v>2024</v>
      </c>
      <c r="I685" s="82" t="str">
        <f>TEXT(TABLE_PIVOT[[#This Row],[Date of Call]],"DDDD")</f>
        <v>Wednesday</v>
      </c>
      <c r="J685" s="82" t="str" cm="1">
        <f t="array" ref="J685">_xlfn.IFS(TABLE_PIVOT[[#This Row],[Duration]]&lt;=10,"Under 10 Mins",TABLE_PIVOT[[#This Row],[Duration]]&lt;=30,"10 to 30 Mins",TABLE_PIVOT[[#This Row],[Duration]]&lt;=60,"30 to 60 Mins",TABLE_PIVOT[[#This Row],[Duration]]&lt;=120,"1 to 2 Hours",TRUE,"More Than 2 Hours")</f>
        <v>10 to 30 Mins</v>
      </c>
      <c r="K685" s="82">
        <f>ROUND(TABLE_PIVOT[[#This Row],[Satisfaction Rating]],0)</f>
        <v>4</v>
      </c>
    </row>
    <row r="686" spans="1:11" x14ac:dyDescent="0.3">
      <c r="A686" s="8" t="s">
        <v>2312</v>
      </c>
      <c r="B686" s="8" t="s">
        <v>1635</v>
      </c>
      <c r="C686" s="8">
        <v>18</v>
      </c>
      <c r="D686" s="120" t="s">
        <v>1616</v>
      </c>
      <c r="E686" s="121">
        <v>45162</v>
      </c>
      <c r="F686" s="8">
        <v>40</v>
      </c>
      <c r="G686" s="8">
        <v>4.4000000000000004</v>
      </c>
      <c r="H686" s="82">
        <f>IF(MONTH(TABLE_PIVOT[[#This Row],[Date of Call]])&lt;=6,YEAR(TABLE_PIVOT[[#This Row],[Date of Call]]),YEAR(TABLE_PIVOT[[#This Row],[Date of Call]])+1)</f>
        <v>2024</v>
      </c>
      <c r="I686" s="82" t="str">
        <f>TEXT(TABLE_PIVOT[[#This Row],[Date of Call]],"DDDD")</f>
        <v>Thursday</v>
      </c>
      <c r="J686" s="82" t="str" cm="1">
        <f t="array" ref="J686">_xlfn.IFS(TABLE_PIVOT[[#This Row],[Duration]]&lt;=10,"Under 10 Mins",TABLE_PIVOT[[#This Row],[Duration]]&lt;=30,"10 to 30 Mins",TABLE_PIVOT[[#This Row],[Duration]]&lt;=60,"30 to 60 Mins",TABLE_PIVOT[[#This Row],[Duration]]&lt;=120,"1 to 2 Hours",TRUE,"More Than 2 Hours")</f>
        <v>10 to 30 Mins</v>
      </c>
      <c r="K686" s="82">
        <f>ROUND(TABLE_PIVOT[[#This Row],[Satisfaction Rating]],0)</f>
        <v>4</v>
      </c>
    </row>
    <row r="687" spans="1:11" x14ac:dyDescent="0.3">
      <c r="A687" s="8" t="s">
        <v>2313</v>
      </c>
      <c r="B687" s="8" t="s">
        <v>1624</v>
      </c>
      <c r="C687" s="8">
        <v>146</v>
      </c>
      <c r="D687" s="120" t="s">
        <v>1621</v>
      </c>
      <c r="E687" s="121">
        <v>45162</v>
      </c>
      <c r="F687" s="8">
        <v>160</v>
      </c>
      <c r="G687" s="8">
        <v>4.0999999999999996</v>
      </c>
      <c r="H687" s="82">
        <f>IF(MONTH(TABLE_PIVOT[[#This Row],[Date of Call]])&lt;=6,YEAR(TABLE_PIVOT[[#This Row],[Date of Call]]),YEAR(TABLE_PIVOT[[#This Row],[Date of Call]])+1)</f>
        <v>2024</v>
      </c>
      <c r="I687" s="82" t="str">
        <f>TEXT(TABLE_PIVOT[[#This Row],[Date of Call]],"DDDD")</f>
        <v>Thursday</v>
      </c>
      <c r="J687" s="82" t="str" cm="1">
        <f t="array" ref="J687">_xlfn.IFS(TABLE_PIVOT[[#This Row],[Duration]]&lt;=10,"Under 10 Mins",TABLE_PIVOT[[#This Row],[Duration]]&lt;=30,"10 to 30 Mins",TABLE_PIVOT[[#This Row],[Duration]]&lt;=60,"30 to 60 Mins",TABLE_PIVOT[[#This Row],[Duration]]&lt;=120,"1 to 2 Hours",TRUE,"More Than 2 Hours")</f>
        <v>More Than 2 Hours</v>
      </c>
      <c r="K687" s="82">
        <f>ROUND(TABLE_PIVOT[[#This Row],[Satisfaction Rating]],0)</f>
        <v>4</v>
      </c>
    </row>
    <row r="688" spans="1:11" x14ac:dyDescent="0.3">
      <c r="A688" s="8" t="s">
        <v>2314</v>
      </c>
      <c r="B688" s="8" t="s">
        <v>1652</v>
      </c>
      <c r="C688" s="8">
        <v>73</v>
      </c>
      <c r="D688" s="120" t="s">
        <v>1626</v>
      </c>
      <c r="E688" s="121">
        <v>45163</v>
      </c>
      <c r="F688" s="8">
        <v>44</v>
      </c>
      <c r="G688" s="8">
        <v>3.8</v>
      </c>
      <c r="H688" s="82">
        <f>IF(MONTH(TABLE_PIVOT[[#This Row],[Date of Call]])&lt;=6,YEAR(TABLE_PIVOT[[#This Row],[Date of Call]]),YEAR(TABLE_PIVOT[[#This Row],[Date of Call]])+1)</f>
        <v>2024</v>
      </c>
      <c r="I688" s="82" t="str">
        <f>TEXT(TABLE_PIVOT[[#This Row],[Date of Call]],"DDDD")</f>
        <v>Friday</v>
      </c>
      <c r="J688" s="82" t="str" cm="1">
        <f t="array" ref="J688">_xlfn.IFS(TABLE_PIVOT[[#This Row],[Duration]]&lt;=10,"Under 10 Mins",TABLE_PIVOT[[#This Row],[Duration]]&lt;=30,"10 to 30 Mins",TABLE_PIVOT[[#This Row],[Duration]]&lt;=60,"30 to 60 Mins",TABLE_PIVOT[[#This Row],[Duration]]&lt;=120,"1 to 2 Hours",TRUE,"More Than 2 Hours")</f>
        <v>1 to 2 Hours</v>
      </c>
      <c r="K688" s="82">
        <f>ROUND(TABLE_PIVOT[[#This Row],[Satisfaction Rating]],0)</f>
        <v>4</v>
      </c>
    </row>
    <row r="689" spans="1:11" x14ac:dyDescent="0.3">
      <c r="A689" s="8" t="s">
        <v>2315</v>
      </c>
      <c r="B689" s="8" t="s">
        <v>1618</v>
      </c>
      <c r="C689" s="8">
        <v>108</v>
      </c>
      <c r="D689" s="120" t="s">
        <v>1616</v>
      </c>
      <c r="E689" s="121">
        <v>45163</v>
      </c>
      <c r="F689" s="8">
        <v>80</v>
      </c>
      <c r="G689" s="8">
        <v>4.3</v>
      </c>
      <c r="H689" s="82">
        <f>IF(MONTH(TABLE_PIVOT[[#This Row],[Date of Call]])&lt;=6,YEAR(TABLE_PIVOT[[#This Row],[Date of Call]]),YEAR(TABLE_PIVOT[[#This Row],[Date of Call]])+1)</f>
        <v>2024</v>
      </c>
      <c r="I689" s="82" t="str">
        <f>TEXT(TABLE_PIVOT[[#This Row],[Date of Call]],"DDDD")</f>
        <v>Friday</v>
      </c>
      <c r="J689" s="82" t="str" cm="1">
        <f t="array" ref="J689">_xlfn.IFS(TABLE_PIVOT[[#This Row],[Duration]]&lt;=10,"Under 10 Mins",TABLE_PIVOT[[#This Row],[Duration]]&lt;=30,"10 to 30 Mins",TABLE_PIVOT[[#This Row],[Duration]]&lt;=60,"30 to 60 Mins",TABLE_PIVOT[[#This Row],[Duration]]&lt;=120,"1 to 2 Hours",TRUE,"More Than 2 Hours")</f>
        <v>1 to 2 Hours</v>
      </c>
      <c r="K689" s="82">
        <f>ROUND(TABLE_PIVOT[[#This Row],[Satisfaction Rating]],0)</f>
        <v>4</v>
      </c>
    </row>
    <row r="690" spans="1:11" x14ac:dyDescent="0.3">
      <c r="A690" s="8" t="s">
        <v>2316</v>
      </c>
      <c r="B690" s="8" t="s">
        <v>1644</v>
      </c>
      <c r="C690" s="8">
        <v>52</v>
      </c>
      <c r="D690" s="120" t="s">
        <v>1616</v>
      </c>
      <c r="E690" s="121">
        <v>45164</v>
      </c>
      <c r="F690" s="8">
        <v>66</v>
      </c>
      <c r="G690" s="8">
        <v>4.5</v>
      </c>
      <c r="H690" s="82">
        <f>IF(MONTH(TABLE_PIVOT[[#This Row],[Date of Call]])&lt;=6,YEAR(TABLE_PIVOT[[#This Row],[Date of Call]]),YEAR(TABLE_PIVOT[[#This Row],[Date of Call]])+1)</f>
        <v>2024</v>
      </c>
      <c r="I690" s="82" t="str">
        <f>TEXT(TABLE_PIVOT[[#This Row],[Date of Call]],"DDDD")</f>
        <v>Saturday</v>
      </c>
      <c r="J690" s="82" t="str" cm="1">
        <f t="array" ref="J690">_xlfn.IFS(TABLE_PIVOT[[#This Row],[Duration]]&lt;=10,"Under 10 Mins",TABLE_PIVOT[[#This Row],[Duration]]&lt;=30,"10 to 30 Mins",TABLE_PIVOT[[#This Row],[Duration]]&lt;=60,"30 to 60 Mins",TABLE_PIVOT[[#This Row],[Duration]]&lt;=120,"1 to 2 Hours",TRUE,"More Than 2 Hours")</f>
        <v>30 to 60 Mins</v>
      </c>
      <c r="K690" s="82">
        <f>ROUND(TABLE_PIVOT[[#This Row],[Satisfaction Rating]],0)</f>
        <v>5</v>
      </c>
    </row>
    <row r="691" spans="1:11" x14ac:dyDescent="0.3">
      <c r="A691" s="8" t="s">
        <v>2317</v>
      </c>
      <c r="B691" s="8" t="s">
        <v>1662</v>
      </c>
      <c r="C691" s="8">
        <v>165</v>
      </c>
      <c r="D691" s="120" t="s">
        <v>1630</v>
      </c>
      <c r="E691" s="121">
        <v>45164</v>
      </c>
      <c r="F691" s="8">
        <v>82</v>
      </c>
      <c r="G691" s="8">
        <v>3.4</v>
      </c>
      <c r="H691" s="82">
        <f>IF(MONTH(TABLE_PIVOT[[#This Row],[Date of Call]])&lt;=6,YEAR(TABLE_PIVOT[[#This Row],[Date of Call]]),YEAR(TABLE_PIVOT[[#This Row],[Date of Call]])+1)</f>
        <v>2024</v>
      </c>
      <c r="I691" s="82" t="str">
        <f>TEXT(TABLE_PIVOT[[#This Row],[Date of Call]],"DDDD")</f>
        <v>Saturday</v>
      </c>
      <c r="J691" s="82" t="str" cm="1">
        <f t="array" ref="J691">_xlfn.IFS(TABLE_PIVOT[[#This Row],[Duration]]&lt;=10,"Under 10 Mins",TABLE_PIVOT[[#This Row],[Duration]]&lt;=30,"10 to 30 Mins",TABLE_PIVOT[[#This Row],[Duration]]&lt;=60,"30 to 60 Mins",TABLE_PIVOT[[#This Row],[Duration]]&lt;=120,"1 to 2 Hours",TRUE,"More Than 2 Hours")</f>
        <v>More Than 2 Hours</v>
      </c>
      <c r="K691" s="82">
        <f>ROUND(TABLE_PIVOT[[#This Row],[Satisfaction Rating]],0)</f>
        <v>3</v>
      </c>
    </row>
    <row r="692" spans="1:11" x14ac:dyDescent="0.3">
      <c r="A692" s="8" t="s">
        <v>2318</v>
      </c>
      <c r="B692" s="8" t="s">
        <v>1624</v>
      </c>
      <c r="C692" s="8">
        <v>104</v>
      </c>
      <c r="D692" s="120" t="s">
        <v>1626</v>
      </c>
      <c r="E692" s="121">
        <v>45164</v>
      </c>
      <c r="F692" s="8">
        <v>66</v>
      </c>
      <c r="G692" s="8">
        <v>4.8</v>
      </c>
      <c r="H692" s="82">
        <f>IF(MONTH(TABLE_PIVOT[[#This Row],[Date of Call]])&lt;=6,YEAR(TABLE_PIVOT[[#This Row],[Date of Call]]),YEAR(TABLE_PIVOT[[#This Row],[Date of Call]])+1)</f>
        <v>2024</v>
      </c>
      <c r="I692" s="82" t="str">
        <f>TEXT(TABLE_PIVOT[[#This Row],[Date of Call]],"DDDD")</f>
        <v>Saturday</v>
      </c>
      <c r="J692" s="82" t="str" cm="1">
        <f t="array" ref="J692">_xlfn.IFS(TABLE_PIVOT[[#This Row],[Duration]]&lt;=10,"Under 10 Mins",TABLE_PIVOT[[#This Row],[Duration]]&lt;=30,"10 to 30 Mins",TABLE_PIVOT[[#This Row],[Duration]]&lt;=60,"30 to 60 Mins",TABLE_PIVOT[[#This Row],[Duration]]&lt;=120,"1 to 2 Hours",TRUE,"More Than 2 Hours")</f>
        <v>1 to 2 Hours</v>
      </c>
      <c r="K692" s="82">
        <f>ROUND(TABLE_PIVOT[[#This Row],[Satisfaction Rating]],0)</f>
        <v>5</v>
      </c>
    </row>
    <row r="693" spans="1:11" x14ac:dyDescent="0.3">
      <c r="A693" s="8" t="s">
        <v>2319</v>
      </c>
      <c r="B693" s="8" t="s">
        <v>1652</v>
      </c>
      <c r="C693" s="8">
        <v>131</v>
      </c>
      <c r="D693" s="120" t="s">
        <v>1621</v>
      </c>
      <c r="E693" s="121">
        <v>45164</v>
      </c>
      <c r="F693" s="8">
        <v>92</v>
      </c>
      <c r="G693" s="8">
        <v>4.9000000000000004</v>
      </c>
      <c r="H693" s="82">
        <f>IF(MONTH(TABLE_PIVOT[[#This Row],[Date of Call]])&lt;=6,YEAR(TABLE_PIVOT[[#This Row],[Date of Call]]),YEAR(TABLE_PIVOT[[#This Row],[Date of Call]])+1)</f>
        <v>2024</v>
      </c>
      <c r="I693" s="82" t="str">
        <f>TEXT(TABLE_PIVOT[[#This Row],[Date of Call]],"DDDD")</f>
        <v>Saturday</v>
      </c>
      <c r="J693" s="82" t="str" cm="1">
        <f t="array" ref="J693">_xlfn.IFS(TABLE_PIVOT[[#This Row],[Duration]]&lt;=10,"Under 10 Mins",TABLE_PIVOT[[#This Row],[Duration]]&lt;=30,"10 to 30 Mins",TABLE_PIVOT[[#This Row],[Duration]]&lt;=60,"30 to 60 Mins",TABLE_PIVOT[[#This Row],[Duration]]&lt;=120,"1 to 2 Hours",TRUE,"More Than 2 Hours")</f>
        <v>More Than 2 Hours</v>
      </c>
      <c r="K693" s="82">
        <f>ROUND(TABLE_PIVOT[[#This Row],[Satisfaction Rating]],0)</f>
        <v>5</v>
      </c>
    </row>
    <row r="694" spans="1:11" x14ac:dyDescent="0.3">
      <c r="A694" s="8" t="s">
        <v>2320</v>
      </c>
      <c r="B694" s="8" t="s">
        <v>1649</v>
      </c>
      <c r="C694" s="8">
        <v>80</v>
      </c>
      <c r="D694" s="120" t="s">
        <v>1630</v>
      </c>
      <c r="E694" s="121">
        <v>45165</v>
      </c>
      <c r="F694" s="8">
        <v>104</v>
      </c>
      <c r="G694" s="8">
        <v>4.7</v>
      </c>
      <c r="H694" s="82">
        <f>IF(MONTH(TABLE_PIVOT[[#This Row],[Date of Call]])&lt;=6,YEAR(TABLE_PIVOT[[#This Row],[Date of Call]]),YEAR(TABLE_PIVOT[[#This Row],[Date of Call]])+1)</f>
        <v>2024</v>
      </c>
      <c r="I694" s="82" t="str">
        <f>TEXT(TABLE_PIVOT[[#This Row],[Date of Call]],"DDDD")</f>
        <v>Sunday</v>
      </c>
      <c r="J694" s="82" t="str" cm="1">
        <f t="array" ref="J694">_xlfn.IFS(TABLE_PIVOT[[#This Row],[Duration]]&lt;=10,"Under 10 Mins",TABLE_PIVOT[[#This Row],[Duration]]&lt;=30,"10 to 30 Mins",TABLE_PIVOT[[#This Row],[Duration]]&lt;=60,"30 to 60 Mins",TABLE_PIVOT[[#This Row],[Duration]]&lt;=120,"1 to 2 Hours",TRUE,"More Than 2 Hours")</f>
        <v>1 to 2 Hours</v>
      </c>
      <c r="K694" s="82">
        <f>ROUND(TABLE_PIVOT[[#This Row],[Satisfaction Rating]],0)</f>
        <v>5</v>
      </c>
    </row>
    <row r="695" spans="1:11" x14ac:dyDescent="0.3">
      <c r="A695" s="8" t="s">
        <v>2321</v>
      </c>
      <c r="B695" s="8" t="s">
        <v>1620</v>
      </c>
      <c r="C695" s="8">
        <v>49</v>
      </c>
      <c r="D695" s="120" t="s">
        <v>1626</v>
      </c>
      <c r="E695" s="121">
        <v>45165</v>
      </c>
      <c r="F695" s="8">
        <v>105</v>
      </c>
      <c r="G695" s="8">
        <v>3.3</v>
      </c>
      <c r="H695" s="82">
        <f>IF(MONTH(TABLE_PIVOT[[#This Row],[Date of Call]])&lt;=6,YEAR(TABLE_PIVOT[[#This Row],[Date of Call]]),YEAR(TABLE_PIVOT[[#This Row],[Date of Call]])+1)</f>
        <v>2024</v>
      </c>
      <c r="I695" s="82" t="str">
        <f>TEXT(TABLE_PIVOT[[#This Row],[Date of Call]],"DDDD")</f>
        <v>Sunday</v>
      </c>
      <c r="J695" s="82" t="str" cm="1">
        <f t="array" ref="J695">_xlfn.IFS(TABLE_PIVOT[[#This Row],[Duration]]&lt;=10,"Under 10 Mins",TABLE_PIVOT[[#This Row],[Duration]]&lt;=30,"10 to 30 Mins",TABLE_PIVOT[[#This Row],[Duration]]&lt;=60,"30 to 60 Mins",TABLE_PIVOT[[#This Row],[Duration]]&lt;=120,"1 to 2 Hours",TRUE,"More Than 2 Hours")</f>
        <v>30 to 60 Mins</v>
      </c>
      <c r="K695" s="82">
        <f>ROUND(TABLE_PIVOT[[#This Row],[Satisfaction Rating]],0)</f>
        <v>3</v>
      </c>
    </row>
    <row r="696" spans="1:11" x14ac:dyDescent="0.3">
      <c r="A696" s="8" t="s">
        <v>2322</v>
      </c>
      <c r="B696" s="8" t="s">
        <v>1662</v>
      </c>
      <c r="C696" s="8">
        <v>73</v>
      </c>
      <c r="D696" s="120" t="s">
        <v>1626</v>
      </c>
      <c r="E696" s="121">
        <v>45165</v>
      </c>
      <c r="F696" s="8">
        <v>100</v>
      </c>
      <c r="G696" s="8">
        <v>2.8</v>
      </c>
      <c r="H696" s="82">
        <f>IF(MONTH(TABLE_PIVOT[[#This Row],[Date of Call]])&lt;=6,YEAR(TABLE_PIVOT[[#This Row],[Date of Call]]),YEAR(TABLE_PIVOT[[#This Row],[Date of Call]])+1)</f>
        <v>2024</v>
      </c>
      <c r="I696" s="82" t="str">
        <f>TEXT(TABLE_PIVOT[[#This Row],[Date of Call]],"DDDD")</f>
        <v>Sunday</v>
      </c>
      <c r="J696" s="82" t="str" cm="1">
        <f t="array" ref="J696">_xlfn.IFS(TABLE_PIVOT[[#This Row],[Duration]]&lt;=10,"Under 10 Mins",TABLE_PIVOT[[#This Row],[Duration]]&lt;=30,"10 to 30 Mins",TABLE_PIVOT[[#This Row],[Duration]]&lt;=60,"30 to 60 Mins",TABLE_PIVOT[[#This Row],[Duration]]&lt;=120,"1 to 2 Hours",TRUE,"More Than 2 Hours")</f>
        <v>1 to 2 Hours</v>
      </c>
      <c r="K696" s="82">
        <f>ROUND(TABLE_PIVOT[[#This Row],[Satisfaction Rating]],0)</f>
        <v>3</v>
      </c>
    </row>
    <row r="697" spans="1:11" x14ac:dyDescent="0.3">
      <c r="A697" s="8" t="s">
        <v>2323</v>
      </c>
      <c r="B697" s="8" t="s">
        <v>1624</v>
      </c>
      <c r="C697" s="8">
        <v>117</v>
      </c>
      <c r="D697" s="120" t="s">
        <v>1630</v>
      </c>
      <c r="E697" s="121">
        <v>45165</v>
      </c>
      <c r="F697" s="8">
        <v>90</v>
      </c>
      <c r="G697" s="8">
        <v>4.0999999999999996</v>
      </c>
      <c r="H697" s="82">
        <f>IF(MONTH(TABLE_PIVOT[[#This Row],[Date of Call]])&lt;=6,YEAR(TABLE_PIVOT[[#This Row],[Date of Call]]),YEAR(TABLE_PIVOT[[#This Row],[Date of Call]])+1)</f>
        <v>2024</v>
      </c>
      <c r="I697" s="82" t="str">
        <f>TEXT(TABLE_PIVOT[[#This Row],[Date of Call]],"DDDD")</f>
        <v>Sunday</v>
      </c>
      <c r="J697" s="82" t="str" cm="1">
        <f t="array" ref="J697">_xlfn.IFS(TABLE_PIVOT[[#This Row],[Duration]]&lt;=10,"Under 10 Mins",TABLE_PIVOT[[#This Row],[Duration]]&lt;=30,"10 to 30 Mins",TABLE_PIVOT[[#This Row],[Duration]]&lt;=60,"30 to 60 Mins",TABLE_PIVOT[[#This Row],[Duration]]&lt;=120,"1 to 2 Hours",TRUE,"More Than 2 Hours")</f>
        <v>1 to 2 Hours</v>
      </c>
      <c r="K697" s="82">
        <f>ROUND(TABLE_PIVOT[[#This Row],[Satisfaction Rating]],0)</f>
        <v>4</v>
      </c>
    </row>
    <row r="698" spans="1:11" x14ac:dyDescent="0.3">
      <c r="A698" s="8" t="s">
        <v>2324</v>
      </c>
      <c r="B698" s="8" t="s">
        <v>1615</v>
      </c>
      <c r="C698" s="8">
        <v>38</v>
      </c>
      <c r="D698" s="120" t="s">
        <v>1611</v>
      </c>
      <c r="E698" s="121">
        <v>45165</v>
      </c>
      <c r="F698" s="8">
        <v>110</v>
      </c>
      <c r="G698" s="8">
        <v>3.5</v>
      </c>
      <c r="H698" s="82">
        <f>IF(MONTH(TABLE_PIVOT[[#This Row],[Date of Call]])&lt;=6,YEAR(TABLE_PIVOT[[#This Row],[Date of Call]]),YEAR(TABLE_PIVOT[[#This Row],[Date of Call]])+1)</f>
        <v>2024</v>
      </c>
      <c r="I698" s="82" t="str">
        <f>TEXT(TABLE_PIVOT[[#This Row],[Date of Call]],"DDDD")</f>
        <v>Sunday</v>
      </c>
      <c r="J698" s="82" t="str" cm="1">
        <f t="array" ref="J698">_xlfn.IFS(TABLE_PIVOT[[#This Row],[Duration]]&lt;=10,"Under 10 Mins",TABLE_PIVOT[[#This Row],[Duration]]&lt;=30,"10 to 30 Mins",TABLE_PIVOT[[#This Row],[Duration]]&lt;=60,"30 to 60 Mins",TABLE_PIVOT[[#This Row],[Duration]]&lt;=120,"1 to 2 Hours",TRUE,"More Than 2 Hours")</f>
        <v>30 to 60 Mins</v>
      </c>
      <c r="K698" s="82">
        <f>ROUND(TABLE_PIVOT[[#This Row],[Satisfaction Rating]],0)</f>
        <v>4</v>
      </c>
    </row>
    <row r="699" spans="1:11" x14ac:dyDescent="0.3">
      <c r="A699" s="8" t="s">
        <v>2325</v>
      </c>
      <c r="B699" s="8" t="s">
        <v>1644</v>
      </c>
      <c r="C699" s="8">
        <v>109</v>
      </c>
      <c r="D699" s="120" t="s">
        <v>1630</v>
      </c>
      <c r="E699" s="121">
        <v>45167</v>
      </c>
      <c r="F699" s="8">
        <v>68</v>
      </c>
      <c r="G699" s="8">
        <v>2.2999999999999998</v>
      </c>
      <c r="H699" s="82">
        <f>IF(MONTH(TABLE_PIVOT[[#This Row],[Date of Call]])&lt;=6,YEAR(TABLE_PIVOT[[#This Row],[Date of Call]]),YEAR(TABLE_PIVOT[[#This Row],[Date of Call]])+1)</f>
        <v>2024</v>
      </c>
      <c r="I699" s="82" t="str">
        <f>TEXT(TABLE_PIVOT[[#This Row],[Date of Call]],"DDDD")</f>
        <v>Tuesday</v>
      </c>
      <c r="J699" s="82" t="str" cm="1">
        <f t="array" ref="J699">_xlfn.IFS(TABLE_PIVOT[[#This Row],[Duration]]&lt;=10,"Under 10 Mins",TABLE_PIVOT[[#This Row],[Duration]]&lt;=30,"10 to 30 Mins",TABLE_PIVOT[[#This Row],[Duration]]&lt;=60,"30 to 60 Mins",TABLE_PIVOT[[#This Row],[Duration]]&lt;=120,"1 to 2 Hours",TRUE,"More Than 2 Hours")</f>
        <v>1 to 2 Hours</v>
      </c>
      <c r="K699" s="82">
        <f>ROUND(TABLE_PIVOT[[#This Row],[Satisfaction Rating]],0)</f>
        <v>2</v>
      </c>
    </row>
    <row r="700" spans="1:11" x14ac:dyDescent="0.3">
      <c r="A700" s="8" t="s">
        <v>2326</v>
      </c>
      <c r="B700" s="8" t="s">
        <v>1620</v>
      </c>
      <c r="C700" s="8">
        <v>70</v>
      </c>
      <c r="D700" s="120" t="s">
        <v>1616</v>
      </c>
      <c r="E700" s="121">
        <v>45168</v>
      </c>
      <c r="F700" s="8">
        <v>210</v>
      </c>
      <c r="G700" s="8">
        <v>4.0999999999999996</v>
      </c>
      <c r="H700" s="82">
        <f>IF(MONTH(TABLE_PIVOT[[#This Row],[Date of Call]])&lt;=6,YEAR(TABLE_PIVOT[[#This Row],[Date of Call]]),YEAR(TABLE_PIVOT[[#This Row],[Date of Call]])+1)</f>
        <v>2024</v>
      </c>
      <c r="I700" s="82" t="str">
        <f>TEXT(TABLE_PIVOT[[#This Row],[Date of Call]],"DDDD")</f>
        <v>Wednesday</v>
      </c>
      <c r="J700" s="82" t="str" cm="1">
        <f t="array" ref="J700">_xlfn.IFS(TABLE_PIVOT[[#This Row],[Duration]]&lt;=10,"Under 10 Mins",TABLE_PIVOT[[#This Row],[Duration]]&lt;=30,"10 to 30 Mins",TABLE_PIVOT[[#This Row],[Duration]]&lt;=60,"30 to 60 Mins",TABLE_PIVOT[[#This Row],[Duration]]&lt;=120,"1 to 2 Hours",TRUE,"More Than 2 Hours")</f>
        <v>1 to 2 Hours</v>
      </c>
      <c r="K700" s="82">
        <f>ROUND(TABLE_PIVOT[[#This Row],[Satisfaction Rating]],0)</f>
        <v>4</v>
      </c>
    </row>
    <row r="701" spans="1:11" x14ac:dyDescent="0.3">
      <c r="A701" s="8" t="s">
        <v>2327</v>
      </c>
      <c r="B701" s="8" t="s">
        <v>1613</v>
      </c>
      <c r="C701" s="8">
        <v>51</v>
      </c>
      <c r="D701" s="120" t="s">
        <v>1611</v>
      </c>
      <c r="E701" s="121">
        <v>45168</v>
      </c>
      <c r="F701" s="8">
        <v>111</v>
      </c>
      <c r="G701" s="8">
        <v>4.3</v>
      </c>
      <c r="H701" s="82">
        <f>IF(MONTH(TABLE_PIVOT[[#This Row],[Date of Call]])&lt;=6,YEAR(TABLE_PIVOT[[#This Row],[Date of Call]]),YEAR(TABLE_PIVOT[[#This Row],[Date of Call]])+1)</f>
        <v>2024</v>
      </c>
      <c r="I701" s="82" t="str">
        <f>TEXT(TABLE_PIVOT[[#This Row],[Date of Call]],"DDDD")</f>
        <v>Wednesday</v>
      </c>
      <c r="J701" s="82" t="str" cm="1">
        <f t="array" ref="J701">_xlfn.IFS(TABLE_PIVOT[[#This Row],[Duration]]&lt;=10,"Under 10 Mins",TABLE_PIVOT[[#This Row],[Duration]]&lt;=30,"10 to 30 Mins",TABLE_PIVOT[[#This Row],[Duration]]&lt;=60,"30 to 60 Mins",TABLE_PIVOT[[#This Row],[Duration]]&lt;=120,"1 to 2 Hours",TRUE,"More Than 2 Hours")</f>
        <v>30 to 60 Mins</v>
      </c>
      <c r="K701" s="82">
        <f>ROUND(TABLE_PIVOT[[#This Row],[Satisfaction Rating]],0)</f>
        <v>4</v>
      </c>
    </row>
    <row r="702" spans="1:11" x14ac:dyDescent="0.3">
      <c r="A702" s="8" t="s">
        <v>2328</v>
      </c>
      <c r="B702" s="8" t="s">
        <v>1613</v>
      </c>
      <c r="C702" s="8">
        <v>100</v>
      </c>
      <c r="D702" s="120" t="s">
        <v>1616</v>
      </c>
      <c r="E702" s="121">
        <v>45169</v>
      </c>
      <c r="F702" s="8">
        <v>45</v>
      </c>
      <c r="G702" s="8">
        <v>4.9000000000000004</v>
      </c>
      <c r="H702" s="82">
        <f>IF(MONTH(TABLE_PIVOT[[#This Row],[Date of Call]])&lt;=6,YEAR(TABLE_PIVOT[[#This Row],[Date of Call]]),YEAR(TABLE_PIVOT[[#This Row],[Date of Call]])+1)</f>
        <v>2024</v>
      </c>
      <c r="I702" s="82" t="str">
        <f>TEXT(TABLE_PIVOT[[#This Row],[Date of Call]],"DDDD")</f>
        <v>Thursday</v>
      </c>
      <c r="J702" s="82" t="str" cm="1">
        <f t="array" ref="J702">_xlfn.IFS(TABLE_PIVOT[[#This Row],[Duration]]&lt;=10,"Under 10 Mins",TABLE_PIVOT[[#This Row],[Duration]]&lt;=30,"10 to 30 Mins",TABLE_PIVOT[[#This Row],[Duration]]&lt;=60,"30 to 60 Mins",TABLE_PIVOT[[#This Row],[Duration]]&lt;=120,"1 to 2 Hours",TRUE,"More Than 2 Hours")</f>
        <v>1 to 2 Hours</v>
      </c>
      <c r="K702" s="82">
        <f>ROUND(TABLE_PIVOT[[#This Row],[Satisfaction Rating]],0)</f>
        <v>5</v>
      </c>
    </row>
    <row r="703" spans="1:11" x14ac:dyDescent="0.3">
      <c r="A703" s="8" t="s">
        <v>2329</v>
      </c>
      <c r="B703" s="8" t="s">
        <v>1633</v>
      </c>
      <c r="C703" s="8">
        <v>124</v>
      </c>
      <c r="D703" s="120" t="s">
        <v>1611</v>
      </c>
      <c r="E703" s="121">
        <v>45170</v>
      </c>
      <c r="F703" s="8">
        <v>132</v>
      </c>
      <c r="G703" s="8">
        <v>4</v>
      </c>
      <c r="H703" s="82">
        <f>IF(MONTH(TABLE_PIVOT[[#This Row],[Date of Call]])&lt;=6,YEAR(TABLE_PIVOT[[#This Row],[Date of Call]]),YEAR(TABLE_PIVOT[[#This Row],[Date of Call]])+1)</f>
        <v>2024</v>
      </c>
      <c r="I703" s="82" t="str">
        <f>TEXT(TABLE_PIVOT[[#This Row],[Date of Call]],"DDDD")</f>
        <v>Friday</v>
      </c>
      <c r="J703" s="82" t="str" cm="1">
        <f t="array" ref="J703">_xlfn.IFS(TABLE_PIVOT[[#This Row],[Duration]]&lt;=10,"Under 10 Mins",TABLE_PIVOT[[#This Row],[Duration]]&lt;=30,"10 to 30 Mins",TABLE_PIVOT[[#This Row],[Duration]]&lt;=60,"30 to 60 Mins",TABLE_PIVOT[[#This Row],[Duration]]&lt;=120,"1 to 2 Hours",TRUE,"More Than 2 Hours")</f>
        <v>More Than 2 Hours</v>
      </c>
      <c r="K703" s="82">
        <f>ROUND(TABLE_PIVOT[[#This Row],[Satisfaction Rating]],0)</f>
        <v>4</v>
      </c>
    </row>
    <row r="704" spans="1:11" x14ac:dyDescent="0.3">
      <c r="A704" s="8" t="s">
        <v>2330</v>
      </c>
      <c r="B704" s="8" t="s">
        <v>1610</v>
      </c>
      <c r="C704" s="8">
        <v>143</v>
      </c>
      <c r="D704" s="120" t="s">
        <v>1630</v>
      </c>
      <c r="E704" s="121">
        <v>45170</v>
      </c>
      <c r="F704" s="8">
        <v>20</v>
      </c>
      <c r="G704" s="8">
        <v>4.7</v>
      </c>
      <c r="H704" s="82">
        <f>IF(MONTH(TABLE_PIVOT[[#This Row],[Date of Call]])&lt;=6,YEAR(TABLE_PIVOT[[#This Row],[Date of Call]]),YEAR(TABLE_PIVOT[[#This Row],[Date of Call]])+1)</f>
        <v>2024</v>
      </c>
      <c r="I704" s="82" t="str">
        <f>TEXT(TABLE_PIVOT[[#This Row],[Date of Call]],"DDDD")</f>
        <v>Friday</v>
      </c>
      <c r="J704" s="82" t="str" cm="1">
        <f t="array" ref="J704">_xlfn.IFS(TABLE_PIVOT[[#This Row],[Duration]]&lt;=10,"Under 10 Mins",TABLE_PIVOT[[#This Row],[Duration]]&lt;=30,"10 to 30 Mins",TABLE_PIVOT[[#This Row],[Duration]]&lt;=60,"30 to 60 Mins",TABLE_PIVOT[[#This Row],[Duration]]&lt;=120,"1 to 2 Hours",TRUE,"More Than 2 Hours")</f>
        <v>More Than 2 Hours</v>
      </c>
      <c r="K704" s="82">
        <f>ROUND(TABLE_PIVOT[[#This Row],[Satisfaction Rating]],0)</f>
        <v>5</v>
      </c>
    </row>
    <row r="705" spans="1:11" x14ac:dyDescent="0.3">
      <c r="A705" s="8" t="s">
        <v>2331</v>
      </c>
      <c r="B705" s="8" t="s">
        <v>1629</v>
      </c>
      <c r="C705" s="8">
        <v>96</v>
      </c>
      <c r="D705" s="120" t="s">
        <v>1626</v>
      </c>
      <c r="E705" s="121">
        <v>45170</v>
      </c>
      <c r="F705" s="8">
        <v>36</v>
      </c>
      <c r="G705" s="8">
        <v>3.4</v>
      </c>
      <c r="H705" s="82">
        <f>IF(MONTH(TABLE_PIVOT[[#This Row],[Date of Call]])&lt;=6,YEAR(TABLE_PIVOT[[#This Row],[Date of Call]]),YEAR(TABLE_PIVOT[[#This Row],[Date of Call]])+1)</f>
        <v>2024</v>
      </c>
      <c r="I705" s="82" t="str">
        <f>TEXT(TABLE_PIVOT[[#This Row],[Date of Call]],"DDDD")</f>
        <v>Friday</v>
      </c>
      <c r="J705" s="82" t="str" cm="1">
        <f t="array" ref="J705">_xlfn.IFS(TABLE_PIVOT[[#This Row],[Duration]]&lt;=10,"Under 10 Mins",TABLE_PIVOT[[#This Row],[Duration]]&lt;=30,"10 to 30 Mins",TABLE_PIVOT[[#This Row],[Duration]]&lt;=60,"30 to 60 Mins",TABLE_PIVOT[[#This Row],[Duration]]&lt;=120,"1 to 2 Hours",TRUE,"More Than 2 Hours")</f>
        <v>1 to 2 Hours</v>
      </c>
      <c r="K705" s="82">
        <f>ROUND(TABLE_PIVOT[[#This Row],[Satisfaction Rating]],0)</f>
        <v>3</v>
      </c>
    </row>
    <row r="706" spans="1:11" x14ac:dyDescent="0.3">
      <c r="A706" s="8" t="s">
        <v>2332</v>
      </c>
      <c r="B706" s="8" t="s">
        <v>1662</v>
      </c>
      <c r="C706" s="8">
        <v>84</v>
      </c>
      <c r="D706" s="120" t="s">
        <v>1616</v>
      </c>
      <c r="E706" s="121">
        <v>45172</v>
      </c>
      <c r="F706" s="8">
        <v>72</v>
      </c>
      <c r="G706" s="8">
        <v>4</v>
      </c>
      <c r="H706" s="82">
        <f>IF(MONTH(TABLE_PIVOT[[#This Row],[Date of Call]])&lt;=6,YEAR(TABLE_PIVOT[[#This Row],[Date of Call]]),YEAR(TABLE_PIVOT[[#This Row],[Date of Call]])+1)</f>
        <v>2024</v>
      </c>
      <c r="I706" s="82" t="str">
        <f>TEXT(TABLE_PIVOT[[#This Row],[Date of Call]],"DDDD")</f>
        <v>Sunday</v>
      </c>
      <c r="J706" s="82" t="str" cm="1">
        <f t="array" ref="J706">_xlfn.IFS(TABLE_PIVOT[[#This Row],[Duration]]&lt;=10,"Under 10 Mins",TABLE_PIVOT[[#This Row],[Duration]]&lt;=30,"10 to 30 Mins",TABLE_PIVOT[[#This Row],[Duration]]&lt;=60,"30 to 60 Mins",TABLE_PIVOT[[#This Row],[Duration]]&lt;=120,"1 to 2 Hours",TRUE,"More Than 2 Hours")</f>
        <v>1 to 2 Hours</v>
      </c>
      <c r="K706" s="82">
        <f>ROUND(TABLE_PIVOT[[#This Row],[Satisfaction Rating]],0)</f>
        <v>4</v>
      </c>
    </row>
    <row r="707" spans="1:11" x14ac:dyDescent="0.3">
      <c r="A707" s="8" t="s">
        <v>2333</v>
      </c>
      <c r="B707" s="8" t="s">
        <v>1641</v>
      </c>
      <c r="C707" s="8">
        <v>111</v>
      </c>
      <c r="D707" s="120" t="s">
        <v>1616</v>
      </c>
      <c r="E707" s="121">
        <v>45172</v>
      </c>
      <c r="F707" s="8">
        <v>63</v>
      </c>
      <c r="G707" s="8">
        <v>4.5</v>
      </c>
      <c r="H707" s="82">
        <f>IF(MONTH(TABLE_PIVOT[[#This Row],[Date of Call]])&lt;=6,YEAR(TABLE_PIVOT[[#This Row],[Date of Call]]),YEAR(TABLE_PIVOT[[#This Row],[Date of Call]])+1)</f>
        <v>2024</v>
      </c>
      <c r="I707" s="82" t="str">
        <f>TEXT(TABLE_PIVOT[[#This Row],[Date of Call]],"DDDD")</f>
        <v>Sunday</v>
      </c>
      <c r="J707" s="82" t="str" cm="1">
        <f t="array" ref="J707">_xlfn.IFS(TABLE_PIVOT[[#This Row],[Duration]]&lt;=10,"Under 10 Mins",TABLE_PIVOT[[#This Row],[Duration]]&lt;=30,"10 to 30 Mins",TABLE_PIVOT[[#This Row],[Duration]]&lt;=60,"30 to 60 Mins",TABLE_PIVOT[[#This Row],[Duration]]&lt;=120,"1 to 2 Hours",TRUE,"More Than 2 Hours")</f>
        <v>1 to 2 Hours</v>
      </c>
      <c r="K707" s="82">
        <f>ROUND(TABLE_PIVOT[[#This Row],[Satisfaction Rating]],0)</f>
        <v>5</v>
      </c>
    </row>
    <row r="708" spans="1:11" x14ac:dyDescent="0.3">
      <c r="A708" s="8" t="s">
        <v>2334</v>
      </c>
      <c r="B708" s="8" t="s">
        <v>1641</v>
      </c>
      <c r="C708" s="8">
        <v>103</v>
      </c>
      <c r="D708" s="120" t="s">
        <v>1611</v>
      </c>
      <c r="E708" s="121">
        <v>45173</v>
      </c>
      <c r="F708" s="8">
        <v>44</v>
      </c>
      <c r="G708" s="8">
        <v>4.5</v>
      </c>
      <c r="H708" s="82">
        <f>IF(MONTH(TABLE_PIVOT[[#This Row],[Date of Call]])&lt;=6,YEAR(TABLE_PIVOT[[#This Row],[Date of Call]]),YEAR(TABLE_PIVOT[[#This Row],[Date of Call]])+1)</f>
        <v>2024</v>
      </c>
      <c r="I708" s="82" t="str">
        <f>TEXT(TABLE_PIVOT[[#This Row],[Date of Call]],"DDDD")</f>
        <v>Monday</v>
      </c>
      <c r="J708" s="82" t="str" cm="1">
        <f t="array" ref="J708">_xlfn.IFS(TABLE_PIVOT[[#This Row],[Duration]]&lt;=10,"Under 10 Mins",TABLE_PIVOT[[#This Row],[Duration]]&lt;=30,"10 to 30 Mins",TABLE_PIVOT[[#This Row],[Duration]]&lt;=60,"30 to 60 Mins",TABLE_PIVOT[[#This Row],[Duration]]&lt;=120,"1 to 2 Hours",TRUE,"More Than 2 Hours")</f>
        <v>1 to 2 Hours</v>
      </c>
      <c r="K708" s="82">
        <f>ROUND(TABLE_PIVOT[[#This Row],[Satisfaction Rating]],0)</f>
        <v>5</v>
      </c>
    </row>
    <row r="709" spans="1:11" x14ac:dyDescent="0.3">
      <c r="A709" s="8" t="s">
        <v>2335</v>
      </c>
      <c r="B709" s="8" t="s">
        <v>1610</v>
      </c>
      <c r="C709" s="8">
        <v>61</v>
      </c>
      <c r="D709" s="120" t="s">
        <v>1621</v>
      </c>
      <c r="E709" s="121">
        <v>45173</v>
      </c>
      <c r="F709" s="8">
        <v>132</v>
      </c>
      <c r="G709" s="8">
        <v>4.9000000000000004</v>
      </c>
      <c r="H709" s="82">
        <f>IF(MONTH(TABLE_PIVOT[[#This Row],[Date of Call]])&lt;=6,YEAR(TABLE_PIVOT[[#This Row],[Date of Call]]),YEAR(TABLE_PIVOT[[#This Row],[Date of Call]])+1)</f>
        <v>2024</v>
      </c>
      <c r="I709" s="82" t="str">
        <f>TEXT(TABLE_PIVOT[[#This Row],[Date of Call]],"DDDD")</f>
        <v>Monday</v>
      </c>
      <c r="J709" s="82" t="str" cm="1">
        <f t="array" ref="J709">_xlfn.IFS(TABLE_PIVOT[[#This Row],[Duration]]&lt;=10,"Under 10 Mins",TABLE_PIVOT[[#This Row],[Duration]]&lt;=30,"10 to 30 Mins",TABLE_PIVOT[[#This Row],[Duration]]&lt;=60,"30 to 60 Mins",TABLE_PIVOT[[#This Row],[Duration]]&lt;=120,"1 to 2 Hours",TRUE,"More Than 2 Hours")</f>
        <v>1 to 2 Hours</v>
      </c>
      <c r="K709" s="82">
        <f>ROUND(TABLE_PIVOT[[#This Row],[Satisfaction Rating]],0)</f>
        <v>5</v>
      </c>
    </row>
    <row r="710" spans="1:11" x14ac:dyDescent="0.3">
      <c r="A710" s="8" t="s">
        <v>2336</v>
      </c>
      <c r="B710" s="8" t="s">
        <v>1652</v>
      </c>
      <c r="C710" s="8">
        <v>113</v>
      </c>
      <c r="D710" s="120" t="s">
        <v>1626</v>
      </c>
      <c r="E710" s="121">
        <v>45173</v>
      </c>
      <c r="F710" s="8">
        <v>46</v>
      </c>
      <c r="G710" s="8">
        <v>4.4000000000000004</v>
      </c>
      <c r="H710" s="82">
        <f>IF(MONTH(TABLE_PIVOT[[#This Row],[Date of Call]])&lt;=6,YEAR(TABLE_PIVOT[[#This Row],[Date of Call]]),YEAR(TABLE_PIVOT[[#This Row],[Date of Call]])+1)</f>
        <v>2024</v>
      </c>
      <c r="I710" s="82" t="str">
        <f>TEXT(TABLE_PIVOT[[#This Row],[Date of Call]],"DDDD")</f>
        <v>Monday</v>
      </c>
      <c r="J710" s="82" t="str" cm="1">
        <f t="array" ref="J710">_xlfn.IFS(TABLE_PIVOT[[#This Row],[Duration]]&lt;=10,"Under 10 Mins",TABLE_PIVOT[[#This Row],[Duration]]&lt;=30,"10 to 30 Mins",TABLE_PIVOT[[#This Row],[Duration]]&lt;=60,"30 to 60 Mins",TABLE_PIVOT[[#This Row],[Duration]]&lt;=120,"1 to 2 Hours",TRUE,"More Than 2 Hours")</f>
        <v>1 to 2 Hours</v>
      </c>
      <c r="K710" s="82">
        <f>ROUND(TABLE_PIVOT[[#This Row],[Satisfaction Rating]],0)</f>
        <v>4</v>
      </c>
    </row>
    <row r="711" spans="1:11" x14ac:dyDescent="0.3">
      <c r="A711" s="8" t="s">
        <v>2337</v>
      </c>
      <c r="B711" s="8" t="s">
        <v>1652</v>
      </c>
      <c r="C711" s="8">
        <v>96</v>
      </c>
      <c r="D711" s="120" t="s">
        <v>1626</v>
      </c>
      <c r="E711" s="121">
        <v>45173</v>
      </c>
      <c r="F711" s="8">
        <v>96</v>
      </c>
      <c r="G711" s="8">
        <v>2.9</v>
      </c>
      <c r="H711" s="82">
        <f>IF(MONTH(TABLE_PIVOT[[#This Row],[Date of Call]])&lt;=6,YEAR(TABLE_PIVOT[[#This Row],[Date of Call]]),YEAR(TABLE_PIVOT[[#This Row],[Date of Call]])+1)</f>
        <v>2024</v>
      </c>
      <c r="I711" s="82" t="str">
        <f>TEXT(TABLE_PIVOT[[#This Row],[Date of Call]],"DDDD")</f>
        <v>Monday</v>
      </c>
      <c r="J711" s="82" t="str" cm="1">
        <f t="array" ref="J711">_xlfn.IFS(TABLE_PIVOT[[#This Row],[Duration]]&lt;=10,"Under 10 Mins",TABLE_PIVOT[[#This Row],[Duration]]&lt;=30,"10 to 30 Mins",TABLE_PIVOT[[#This Row],[Duration]]&lt;=60,"30 to 60 Mins",TABLE_PIVOT[[#This Row],[Duration]]&lt;=120,"1 to 2 Hours",TRUE,"More Than 2 Hours")</f>
        <v>1 to 2 Hours</v>
      </c>
      <c r="K711" s="82">
        <f>ROUND(TABLE_PIVOT[[#This Row],[Satisfaction Rating]],0)</f>
        <v>3</v>
      </c>
    </row>
    <row r="712" spans="1:11" x14ac:dyDescent="0.3">
      <c r="A712" s="8" t="s">
        <v>2338</v>
      </c>
      <c r="B712" s="8" t="s">
        <v>1635</v>
      </c>
      <c r="C712" s="8">
        <v>131</v>
      </c>
      <c r="D712" s="120" t="s">
        <v>1611</v>
      </c>
      <c r="E712" s="121">
        <v>45174</v>
      </c>
      <c r="F712" s="8">
        <v>75</v>
      </c>
      <c r="G712" s="8">
        <v>4.4000000000000004</v>
      </c>
      <c r="H712" s="82">
        <f>IF(MONTH(TABLE_PIVOT[[#This Row],[Date of Call]])&lt;=6,YEAR(TABLE_PIVOT[[#This Row],[Date of Call]]),YEAR(TABLE_PIVOT[[#This Row],[Date of Call]])+1)</f>
        <v>2024</v>
      </c>
      <c r="I712" s="82" t="str">
        <f>TEXT(TABLE_PIVOT[[#This Row],[Date of Call]],"DDDD")</f>
        <v>Tuesday</v>
      </c>
      <c r="J712" s="82" t="str" cm="1">
        <f t="array" ref="J712">_xlfn.IFS(TABLE_PIVOT[[#This Row],[Duration]]&lt;=10,"Under 10 Mins",TABLE_PIVOT[[#This Row],[Duration]]&lt;=30,"10 to 30 Mins",TABLE_PIVOT[[#This Row],[Duration]]&lt;=60,"30 to 60 Mins",TABLE_PIVOT[[#This Row],[Duration]]&lt;=120,"1 to 2 Hours",TRUE,"More Than 2 Hours")</f>
        <v>More Than 2 Hours</v>
      </c>
      <c r="K712" s="82">
        <f>ROUND(TABLE_PIVOT[[#This Row],[Satisfaction Rating]],0)</f>
        <v>4</v>
      </c>
    </row>
    <row r="713" spans="1:11" x14ac:dyDescent="0.3">
      <c r="A713" s="8" t="s">
        <v>2339</v>
      </c>
      <c r="B713" s="8" t="s">
        <v>1624</v>
      </c>
      <c r="C713" s="8">
        <v>52</v>
      </c>
      <c r="D713" s="120" t="s">
        <v>1626</v>
      </c>
      <c r="E713" s="121">
        <v>45175</v>
      </c>
      <c r="F713" s="8">
        <v>88</v>
      </c>
      <c r="G713" s="8">
        <v>4.3</v>
      </c>
      <c r="H713" s="82">
        <f>IF(MONTH(TABLE_PIVOT[[#This Row],[Date of Call]])&lt;=6,YEAR(TABLE_PIVOT[[#This Row],[Date of Call]]),YEAR(TABLE_PIVOT[[#This Row],[Date of Call]])+1)</f>
        <v>2024</v>
      </c>
      <c r="I713" s="82" t="str">
        <f>TEXT(TABLE_PIVOT[[#This Row],[Date of Call]],"DDDD")</f>
        <v>Wednesday</v>
      </c>
      <c r="J713" s="82" t="str" cm="1">
        <f t="array" ref="J713">_xlfn.IFS(TABLE_PIVOT[[#This Row],[Duration]]&lt;=10,"Under 10 Mins",TABLE_PIVOT[[#This Row],[Duration]]&lt;=30,"10 to 30 Mins",TABLE_PIVOT[[#This Row],[Duration]]&lt;=60,"30 to 60 Mins",TABLE_PIVOT[[#This Row],[Duration]]&lt;=120,"1 to 2 Hours",TRUE,"More Than 2 Hours")</f>
        <v>30 to 60 Mins</v>
      </c>
      <c r="K713" s="82">
        <f>ROUND(TABLE_PIVOT[[#This Row],[Satisfaction Rating]],0)</f>
        <v>4</v>
      </c>
    </row>
    <row r="714" spans="1:11" x14ac:dyDescent="0.3">
      <c r="A714" s="8" t="s">
        <v>2340</v>
      </c>
      <c r="B714" s="8" t="s">
        <v>1613</v>
      </c>
      <c r="C714" s="8">
        <v>100</v>
      </c>
      <c r="D714" s="120" t="s">
        <v>1611</v>
      </c>
      <c r="E714" s="121">
        <v>45175</v>
      </c>
      <c r="F714" s="8">
        <v>24</v>
      </c>
      <c r="G714" s="8">
        <v>4.7</v>
      </c>
      <c r="H714" s="82">
        <f>IF(MONTH(TABLE_PIVOT[[#This Row],[Date of Call]])&lt;=6,YEAR(TABLE_PIVOT[[#This Row],[Date of Call]]),YEAR(TABLE_PIVOT[[#This Row],[Date of Call]])+1)</f>
        <v>2024</v>
      </c>
      <c r="I714" s="82" t="str">
        <f>TEXT(TABLE_PIVOT[[#This Row],[Date of Call]],"DDDD")</f>
        <v>Wednesday</v>
      </c>
      <c r="J714" s="82" t="str" cm="1">
        <f t="array" ref="J714">_xlfn.IFS(TABLE_PIVOT[[#This Row],[Duration]]&lt;=10,"Under 10 Mins",TABLE_PIVOT[[#This Row],[Duration]]&lt;=30,"10 to 30 Mins",TABLE_PIVOT[[#This Row],[Duration]]&lt;=60,"30 to 60 Mins",TABLE_PIVOT[[#This Row],[Duration]]&lt;=120,"1 to 2 Hours",TRUE,"More Than 2 Hours")</f>
        <v>1 to 2 Hours</v>
      </c>
      <c r="K714" s="82">
        <f>ROUND(TABLE_PIVOT[[#This Row],[Satisfaction Rating]],0)</f>
        <v>5</v>
      </c>
    </row>
    <row r="715" spans="1:11" x14ac:dyDescent="0.3">
      <c r="A715" s="8" t="s">
        <v>2341</v>
      </c>
      <c r="B715" s="8" t="s">
        <v>1618</v>
      </c>
      <c r="C715" s="8">
        <v>58</v>
      </c>
      <c r="D715" s="120" t="s">
        <v>1630</v>
      </c>
      <c r="E715" s="121">
        <v>45175</v>
      </c>
      <c r="F715" s="8">
        <v>96</v>
      </c>
      <c r="G715" s="8">
        <v>3.2</v>
      </c>
      <c r="H715" s="82">
        <f>IF(MONTH(TABLE_PIVOT[[#This Row],[Date of Call]])&lt;=6,YEAR(TABLE_PIVOT[[#This Row],[Date of Call]]),YEAR(TABLE_PIVOT[[#This Row],[Date of Call]])+1)</f>
        <v>2024</v>
      </c>
      <c r="I715" s="82" t="str">
        <f>TEXT(TABLE_PIVOT[[#This Row],[Date of Call]],"DDDD")</f>
        <v>Wednesday</v>
      </c>
      <c r="J715" s="82" t="str" cm="1">
        <f t="array" ref="J715">_xlfn.IFS(TABLE_PIVOT[[#This Row],[Duration]]&lt;=10,"Under 10 Mins",TABLE_PIVOT[[#This Row],[Duration]]&lt;=30,"10 to 30 Mins",TABLE_PIVOT[[#This Row],[Duration]]&lt;=60,"30 to 60 Mins",TABLE_PIVOT[[#This Row],[Duration]]&lt;=120,"1 to 2 Hours",TRUE,"More Than 2 Hours")</f>
        <v>30 to 60 Mins</v>
      </c>
      <c r="K715" s="82">
        <f>ROUND(TABLE_PIVOT[[#This Row],[Satisfaction Rating]],0)</f>
        <v>3</v>
      </c>
    </row>
    <row r="716" spans="1:11" x14ac:dyDescent="0.3">
      <c r="A716" s="8" t="s">
        <v>2342</v>
      </c>
      <c r="B716" s="8" t="s">
        <v>1620</v>
      </c>
      <c r="C716" s="8">
        <v>144</v>
      </c>
      <c r="D716" s="120" t="s">
        <v>1630</v>
      </c>
      <c r="E716" s="121">
        <v>45176</v>
      </c>
      <c r="F716" s="8">
        <v>124</v>
      </c>
      <c r="G716" s="8">
        <v>2.2999999999999998</v>
      </c>
      <c r="H716" s="82">
        <f>IF(MONTH(TABLE_PIVOT[[#This Row],[Date of Call]])&lt;=6,YEAR(TABLE_PIVOT[[#This Row],[Date of Call]]),YEAR(TABLE_PIVOT[[#This Row],[Date of Call]])+1)</f>
        <v>2024</v>
      </c>
      <c r="I716" s="82" t="str">
        <f>TEXT(TABLE_PIVOT[[#This Row],[Date of Call]],"DDDD")</f>
        <v>Thursday</v>
      </c>
      <c r="J716" s="82" t="str" cm="1">
        <f t="array" ref="J716">_xlfn.IFS(TABLE_PIVOT[[#This Row],[Duration]]&lt;=10,"Under 10 Mins",TABLE_PIVOT[[#This Row],[Duration]]&lt;=30,"10 to 30 Mins",TABLE_PIVOT[[#This Row],[Duration]]&lt;=60,"30 to 60 Mins",TABLE_PIVOT[[#This Row],[Duration]]&lt;=120,"1 to 2 Hours",TRUE,"More Than 2 Hours")</f>
        <v>More Than 2 Hours</v>
      </c>
      <c r="K716" s="82">
        <f>ROUND(TABLE_PIVOT[[#This Row],[Satisfaction Rating]],0)</f>
        <v>2</v>
      </c>
    </row>
    <row r="717" spans="1:11" x14ac:dyDescent="0.3">
      <c r="A717" s="8" t="s">
        <v>2343</v>
      </c>
      <c r="B717" s="8" t="s">
        <v>1618</v>
      </c>
      <c r="C717" s="8">
        <v>53</v>
      </c>
      <c r="D717" s="120" t="s">
        <v>1621</v>
      </c>
      <c r="E717" s="121">
        <v>45177</v>
      </c>
      <c r="F717" s="8">
        <v>130</v>
      </c>
      <c r="G717" s="8">
        <v>3.6</v>
      </c>
      <c r="H717" s="82">
        <f>IF(MONTH(TABLE_PIVOT[[#This Row],[Date of Call]])&lt;=6,YEAR(TABLE_PIVOT[[#This Row],[Date of Call]]),YEAR(TABLE_PIVOT[[#This Row],[Date of Call]])+1)</f>
        <v>2024</v>
      </c>
      <c r="I717" s="82" t="str">
        <f>TEXT(TABLE_PIVOT[[#This Row],[Date of Call]],"DDDD")</f>
        <v>Friday</v>
      </c>
      <c r="J717" s="82" t="str" cm="1">
        <f t="array" ref="J717">_xlfn.IFS(TABLE_PIVOT[[#This Row],[Duration]]&lt;=10,"Under 10 Mins",TABLE_PIVOT[[#This Row],[Duration]]&lt;=30,"10 to 30 Mins",TABLE_PIVOT[[#This Row],[Duration]]&lt;=60,"30 to 60 Mins",TABLE_PIVOT[[#This Row],[Duration]]&lt;=120,"1 to 2 Hours",TRUE,"More Than 2 Hours")</f>
        <v>30 to 60 Mins</v>
      </c>
      <c r="K717" s="82">
        <f>ROUND(TABLE_PIVOT[[#This Row],[Satisfaction Rating]],0)</f>
        <v>4</v>
      </c>
    </row>
    <row r="718" spans="1:11" x14ac:dyDescent="0.3">
      <c r="A718" s="8" t="s">
        <v>2344</v>
      </c>
      <c r="B718" s="8" t="s">
        <v>1652</v>
      </c>
      <c r="C718" s="8">
        <v>97</v>
      </c>
      <c r="D718" s="120" t="s">
        <v>1616</v>
      </c>
      <c r="E718" s="121">
        <v>45177</v>
      </c>
      <c r="F718" s="8">
        <v>45</v>
      </c>
      <c r="G718" s="8">
        <v>4.5999999999999996</v>
      </c>
      <c r="H718" s="82">
        <f>IF(MONTH(TABLE_PIVOT[[#This Row],[Date of Call]])&lt;=6,YEAR(TABLE_PIVOT[[#This Row],[Date of Call]]),YEAR(TABLE_PIVOT[[#This Row],[Date of Call]])+1)</f>
        <v>2024</v>
      </c>
      <c r="I718" s="82" t="str">
        <f>TEXT(TABLE_PIVOT[[#This Row],[Date of Call]],"DDDD")</f>
        <v>Friday</v>
      </c>
      <c r="J718" s="82" t="str" cm="1">
        <f t="array" ref="J718">_xlfn.IFS(TABLE_PIVOT[[#This Row],[Duration]]&lt;=10,"Under 10 Mins",TABLE_PIVOT[[#This Row],[Duration]]&lt;=30,"10 to 30 Mins",TABLE_PIVOT[[#This Row],[Duration]]&lt;=60,"30 to 60 Mins",TABLE_PIVOT[[#This Row],[Duration]]&lt;=120,"1 to 2 Hours",TRUE,"More Than 2 Hours")</f>
        <v>1 to 2 Hours</v>
      </c>
      <c r="K718" s="82">
        <f>ROUND(TABLE_PIVOT[[#This Row],[Satisfaction Rating]],0)</f>
        <v>5</v>
      </c>
    </row>
    <row r="719" spans="1:11" x14ac:dyDescent="0.3">
      <c r="A719" s="8" t="s">
        <v>2345</v>
      </c>
      <c r="B719" s="8" t="s">
        <v>1615</v>
      </c>
      <c r="C719" s="8">
        <v>64</v>
      </c>
      <c r="D719" s="120" t="s">
        <v>1630</v>
      </c>
      <c r="E719" s="121">
        <v>45177</v>
      </c>
      <c r="F719" s="8">
        <v>66</v>
      </c>
      <c r="G719" s="8">
        <v>4</v>
      </c>
      <c r="H719" s="82">
        <f>IF(MONTH(TABLE_PIVOT[[#This Row],[Date of Call]])&lt;=6,YEAR(TABLE_PIVOT[[#This Row],[Date of Call]]),YEAR(TABLE_PIVOT[[#This Row],[Date of Call]])+1)</f>
        <v>2024</v>
      </c>
      <c r="I719" s="82" t="str">
        <f>TEXT(TABLE_PIVOT[[#This Row],[Date of Call]],"DDDD")</f>
        <v>Friday</v>
      </c>
      <c r="J719" s="82" t="str" cm="1">
        <f t="array" ref="J719">_xlfn.IFS(TABLE_PIVOT[[#This Row],[Duration]]&lt;=10,"Under 10 Mins",TABLE_PIVOT[[#This Row],[Duration]]&lt;=30,"10 to 30 Mins",TABLE_PIVOT[[#This Row],[Duration]]&lt;=60,"30 to 60 Mins",TABLE_PIVOT[[#This Row],[Duration]]&lt;=120,"1 to 2 Hours",TRUE,"More Than 2 Hours")</f>
        <v>1 to 2 Hours</v>
      </c>
      <c r="K719" s="82">
        <f>ROUND(TABLE_PIVOT[[#This Row],[Satisfaction Rating]],0)</f>
        <v>4</v>
      </c>
    </row>
    <row r="720" spans="1:11" x14ac:dyDescent="0.3">
      <c r="A720" s="8" t="s">
        <v>2346</v>
      </c>
      <c r="B720" s="8" t="s">
        <v>1610</v>
      </c>
      <c r="C720" s="8">
        <v>106</v>
      </c>
      <c r="D720" s="120" t="s">
        <v>1611</v>
      </c>
      <c r="E720" s="121">
        <v>45177</v>
      </c>
      <c r="F720" s="8">
        <v>58</v>
      </c>
      <c r="G720" s="8">
        <v>4.7</v>
      </c>
      <c r="H720" s="82">
        <f>IF(MONTH(TABLE_PIVOT[[#This Row],[Date of Call]])&lt;=6,YEAR(TABLE_PIVOT[[#This Row],[Date of Call]]),YEAR(TABLE_PIVOT[[#This Row],[Date of Call]])+1)</f>
        <v>2024</v>
      </c>
      <c r="I720" s="82" t="str">
        <f>TEXT(TABLE_PIVOT[[#This Row],[Date of Call]],"DDDD")</f>
        <v>Friday</v>
      </c>
      <c r="J720" s="82" t="str" cm="1">
        <f t="array" ref="J720">_xlfn.IFS(TABLE_PIVOT[[#This Row],[Duration]]&lt;=10,"Under 10 Mins",TABLE_PIVOT[[#This Row],[Duration]]&lt;=30,"10 to 30 Mins",TABLE_PIVOT[[#This Row],[Duration]]&lt;=60,"30 to 60 Mins",TABLE_PIVOT[[#This Row],[Duration]]&lt;=120,"1 to 2 Hours",TRUE,"More Than 2 Hours")</f>
        <v>1 to 2 Hours</v>
      </c>
      <c r="K720" s="82">
        <f>ROUND(TABLE_PIVOT[[#This Row],[Satisfaction Rating]],0)</f>
        <v>5</v>
      </c>
    </row>
    <row r="721" spans="1:11" x14ac:dyDescent="0.3">
      <c r="A721" s="8" t="s">
        <v>2347</v>
      </c>
      <c r="B721" s="8" t="s">
        <v>1662</v>
      </c>
      <c r="C721" s="8">
        <v>36</v>
      </c>
      <c r="D721" s="120" t="s">
        <v>1630</v>
      </c>
      <c r="E721" s="121">
        <v>45178</v>
      </c>
      <c r="F721" s="8">
        <v>152</v>
      </c>
      <c r="G721" s="8">
        <v>4.3</v>
      </c>
      <c r="H721" s="82">
        <f>IF(MONTH(TABLE_PIVOT[[#This Row],[Date of Call]])&lt;=6,YEAR(TABLE_PIVOT[[#This Row],[Date of Call]]),YEAR(TABLE_PIVOT[[#This Row],[Date of Call]])+1)</f>
        <v>2024</v>
      </c>
      <c r="I721" s="82" t="str">
        <f>TEXT(TABLE_PIVOT[[#This Row],[Date of Call]],"DDDD")</f>
        <v>Saturday</v>
      </c>
      <c r="J721" s="82" t="str" cm="1">
        <f t="array" ref="J721">_xlfn.IFS(TABLE_PIVOT[[#This Row],[Duration]]&lt;=10,"Under 10 Mins",TABLE_PIVOT[[#This Row],[Duration]]&lt;=30,"10 to 30 Mins",TABLE_PIVOT[[#This Row],[Duration]]&lt;=60,"30 to 60 Mins",TABLE_PIVOT[[#This Row],[Duration]]&lt;=120,"1 to 2 Hours",TRUE,"More Than 2 Hours")</f>
        <v>30 to 60 Mins</v>
      </c>
      <c r="K721" s="82">
        <f>ROUND(TABLE_PIVOT[[#This Row],[Satisfaction Rating]],0)</f>
        <v>4</v>
      </c>
    </row>
    <row r="722" spans="1:11" x14ac:dyDescent="0.3">
      <c r="A722" s="8" t="s">
        <v>2348</v>
      </c>
      <c r="B722" s="8" t="s">
        <v>1620</v>
      </c>
      <c r="C722" s="8">
        <v>74</v>
      </c>
      <c r="D722" s="120" t="s">
        <v>1626</v>
      </c>
      <c r="E722" s="121">
        <v>45178</v>
      </c>
      <c r="F722" s="8">
        <v>75</v>
      </c>
      <c r="G722" s="8">
        <v>2.8</v>
      </c>
      <c r="H722" s="82">
        <f>IF(MONTH(TABLE_PIVOT[[#This Row],[Date of Call]])&lt;=6,YEAR(TABLE_PIVOT[[#This Row],[Date of Call]]),YEAR(TABLE_PIVOT[[#This Row],[Date of Call]])+1)</f>
        <v>2024</v>
      </c>
      <c r="I722" s="82" t="str">
        <f>TEXT(TABLE_PIVOT[[#This Row],[Date of Call]],"DDDD")</f>
        <v>Saturday</v>
      </c>
      <c r="J722" s="82" t="str" cm="1">
        <f t="array" ref="J722">_xlfn.IFS(TABLE_PIVOT[[#This Row],[Duration]]&lt;=10,"Under 10 Mins",TABLE_PIVOT[[#This Row],[Duration]]&lt;=30,"10 to 30 Mins",TABLE_PIVOT[[#This Row],[Duration]]&lt;=60,"30 to 60 Mins",TABLE_PIVOT[[#This Row],[Duration]]&lt;=120,"1 to 2 Hours",TRUE,"More Than 2 Hours")</f>
        <v>1 to 2 Hours</v>
      </c>
      <c r="K722" s="82">
        <f>ROUND(TABLE_PIVOT[[#This Row],[Satisfaction Rating]],0)</f>
        <v>3</v>
      </c>
    </row>
    <row r="723" spans="1:11" x14ac:dyDescent="0.3">
      <c r="A723" s="8" t="s">
        <v>2349</v>
      </c>
      <c r="B723" s="8" t="s">
        <v>1644</v>
      </c>
      <c r="C723" s="8">
        <v>143</v>
      </c>
      <c r="D723" s="120" t="s">
        <v>1616</v>
      </c>
      <c r="E723" s="121">
        <v>45178</v>
      </c>
      <c r="F723" s="8">
        <v>78</v>
      </c>
      <c r="G723" s="8">
        <v>4</v>
      </c>
      <c r="H723" s="82">
        <f>IF(MONTH(TABLE_PIVOT[[#This Row],[Date of Call]])&lt;=6,YEAR(TABLE_PIVOT[[#This Row],[Date of Call]]),YEAR(TABLE_PIVOT[[#This Row],[Date of Call]])+1)</f>
        <v>2024</v>
      </c>
      <c r="I723" s="82" t="str">
        <f>TEXT(TABLE_PIVOT[[#This Row],[Date of Call]],"DDDD")</f>
        <v>Saturday</v>
      </c>
      <c r="J723" s="82" t="str" cm="1">
        <f t="array" ref="J723">_xlfn.IFS(TABLE_PIVOT[[#This Row],[Duration]]&lt;=10,"Under 10 Mins",TABLE_PIVOT[[#This Row],[Duration]]&lt;=30,"10 to 30 Mins",TABLE_PIVOT[[#This Row],[Duration]]&lt;=60,"30 to 60 Mins",TABLE_PIVOT[[#This Row],[Duration]]&lt;=120,"1 to 2 Hours",TRUE,"More Than 2 Hours")</f>
        <v>More Than 2 Hours</v>
      </c>
      <c r="K723" s="82">
        <f>ROUND(TABLE_PIVOT[[#This Row],[Satisfaction Rating]],0)</f>
        <v>4</v>
      </c>
    </row>
    <row r="724" spans="1:11" x14ac:dyDescent="0.3">
      <c r="A724" s="8" t="s">
        <v>2350</v>
      </c>
      <c r="B724" s="8" t="s">
        <v>1610</v>
      </c>
      <c r="C724" s="8">
        <v>94</v>
      </c>
      <c r="D724" s="120" t="s">
        <v>1621</v>
      </c>
      <c r="E724" s="121">
        <v>45178</v>
      </c>
      <c r="F724" s="8">
        <v>69</v>
      </c>
      <c r="G724" s="8">
        <v>3.9</v>
      </c>
      <c r="H724" s="82">
        <f>IF(MONTH(TABLE_PIVOT[[#This Row],[Date of Call]])&lt;=6,YEAR(TABLE_PIVOT[[#This Row],[Date of Call]]),YEAR(TABLE_PIVOT[[#This Row],[Date of Call]])+1)</f>
        <v>2024</v>
      </c>
      <c r="I724" s="82" t="str">
        <f>TEXT(TABLE_PIVOT[[#This Row],[Date of Call]],"DDDD")</f>
        <v>Saturday</v>
      </c>
      <c r="J724" s="82" t="str" cm="1">
        <f t="array" ref="J724">_xlfn.IFS(TABLE_PIVOT[[#This Row],[Duration]]&lt;=10,"Under 10 Mins",TABLE_PIVOT[[#This Row],[Duration]]&lt;=30,"10 to 30 Mins",TABLE_PIVOT[[#This Row],[Duration]]&lt;=60,"30 to 60 Mins",TABLE_PIVOT[[#This Row],[Duration]]&lt;=120,"1 to 2 Hours",TRUE,"More Than 2 Hours")</f>
        <v>1 to 2 Hours</v>
      </c>
      <c r="K724" s="82">
        <f>ROUND(TABLE_PIVOT[[#This Row],[Satisfaction Rating]],0)</f>
        <v>4</v>
      </c>
    </row>
    <row r="725" spans="1:11" x14ac:dyDescent="0.3">
      <c r="A725" s="8" t="s">
        <v>2351</v>
      </c>
      <c r="B725" s="8" t="s">
        <v>1649</v>
      </c>
      <c r="C725" s="8">
        <v>124</v>
      </c>
      <c r="D725" s="120" t="s">
        <v>1611</v>
      </c>
      <c r="E725" s="121">
        <v>45179</v>
      </c>
      <c r="F725" s="8">
        <v>46</v>
      </c>
      <c r="G725" s="8">
        <v>3.1</v>
      </c>
      <c r="H725" s="82">
        <f>IF(MONTH(TABLE_PIVOT[[#This Row],[Date of Call]])&lt;=6,YEAR(TABLE_PIVOT[[#This Row],[Date of Call]]),YEAR(TABLE_PIVOT[[#This Row],[Date of Call]])+1)</f>
        <v>2024</v>
      </c>
      <c r="I725" s="82" t="str">
        <f>TEXT(TABLE_PIVOT[[#This Row],[Date of Call]],"DDDD")</f>
        <v>Sunday</v>
      </c>
      <c r="J725" s="82" t="str" cm="1">
        <f t="array" ref="J725">_xlfn.IFS(TABLE_PIVOT[[#This Row],[Duration]]&lt;=10,"Under 10 Mins",TABLE_PIVOT[[#This Row],[Duration]]&lt;=30,"10 to 30 Mins",TABLE_PIVOT[[#This Row],[Duration]]&lt;=60,"30 to 60 Mins",TABLE_PIVOT[[#This Row],[Duration]]&lt;=120,"1 to 2 Hours",TRUE,"More Than 2 Hours")</f>
        <v>More Than 2 Hours</v>
      </c>
      <c r="K725" s="82">
        <f>ROUND(TABLE_PIVOT[[#This Row],[Satisfaction Rating]],0)</f>
        <v>3</v>
      </c>
    </row>
    <row r="726" spans="1:11" x14ac:dyDescent="0.3">
      <c r="A726" s="8" t="s">
        <v>2352</v>
      </c>
      <c r="B726" s="8" t="s">
        <v>1662</v>
      </c>
      <c r="C726" s="8">
        <v>156</v>
      </c>
      <c r="D726" s="120" t="s">
        <v>1630</v>
      </c>
      <c r="E726" s="121">
        <v>45179</v>
      </c>
      <c r="F726" s="8">
        <v>64</v>
      </c>
      <c r="G726" s="8">
        <v>2.7</v>
      </c>
      <c r="H726" s="82">
        <f>IF(MONTH(TABLE_PIVOT[[#This Row],[Date of Call]])&lt;=6,YEAR(TABLE_PIVOT[[#This Row],[Date of Call]]),YEAR(TABLE_PIVOT[[#This Row],[Date of Call]])+1)</f>
        <v>2024</v>
      </c>
      <c r="I726" s="82" t="str">
        <f>TEXT(TABLE_PIVOT[[#This Row],[Date of Call]],"DDDD")</f>
        <v>Sunday</v>
      </c>
      <c r="J726" s="82" t="str" cm="1">
        <f t="array" ref="J726">_xlfn.IFS(TABLE_PIVOT[[#This Row],[Duration]]&lt;=10,"Under 10 Mins",TABLE_PIVOT[[#This Row],[Duration]]&lt;=30,"10 to 30 Mins",TABLE_PIVOT[[#This Row],[Duration]]&lt;=60,"30 to 60 Mins",TABLE_PIVOT[[#This Row],[Duration]]&lt;=120,"1 to 2 Hours",TRUE,"More Than 2 Hours")</f>
        <v>More Than 2 Hours</v>
      </c>
      <c r="K726" s="82">
        <f>ROUND(TABLE_PIVOT[[#This Row],[Satisfaction Rating]],0)</f>
        <v>3</v>
      </c>
    </row>
    <row r="727" spans="1:11" x14ac:dyDescent="0.3">
      <c r="A727" s="8" t="s">
        <v>2353</v>
      </c>
      <c r="B727" s="8" t="s">
        <v>1629</v>
      </c>
      <c r="C727" s="8">
        <v>107</v>
      </c>
      <c r="D727" s="120" t="s">
        <v>1616</v>
      </c>
      <c r="E727" s="121">
        <v>45179</v>
      </c>
      <c r="F727" s="8">
        <v>38</v>
      </c>
      <c r="G727" s="8">
        <v>4.7</v>
      </c>
      <c r="H727" s="82">
        <f>IF(MONTH(TABLE_PIVOT[[#This Row],[Date of Call]])&lt;=6,YEAR(TABLE_PIVOT[[#This Row],[Date of Call]]),YEAR(TABLE_PIVOT[[#This Row],[Date of Call]])+1)</f>
        <v>2024</v>
      </c>
      <c r="I727" s="82" t="str">
        <f>TEXT(TABLE_PIVOT[[#This Row],[Date of Call]],"DDDD")</f>
        <v>Sunday</v>
      </c>
      <c r="J727" s="82" t="str" cm="1">
        <f t="array" ref="J727">_xlfn.IFS(TABLE_PIVOT[[#This Row],[Duration]]&lt;=10,"Under 10 Mins",TABLE_PIVOT[[#This Row],[Duration]]&lt;=30,"10 to 30 Mins",TABLE_PIVOT[[#This Row],[Duration]]&lt;=60,"30 to 60 Mins",TABLE_PIVOT[[#This Row],[Duration]]&lt;=120,"1 to 2 Hours",TRUE,"More Than 2 Hours")</f>
        <v>1 to 2 Hours</v>
      </c>
      <c r="K727" s="82">
        <f>ROUND(TABLE_PIVOT[[#This Row],[Satisfaction Rating]],0)</f>
        <v>5</v>
      </c>
    </row>
    <row r="728" spans="1:11" x14ac:dyDescent="0.3">
      <c r="A728" s="8" t="s">
        <v>2354</v>
      </c>
      <c r="B728" s="8" t="s">
        <v>1610</v>
      </c>
      <c r="C728" s="8">
        <v>58</v>
      </c>
      <c r="D728" s="120" t="s">
        <v>1616</v>
      </c>
      <c r="E728" s="121">
        <v>45181</v>
      </c>
      <c r="F728" s="8">
        <v>90</v>
      </c>
      <c r="G728" s="8">
        <v>4.3</v>
      </c>
      <c r="H728" s="82">
        <f>IF(MONTH(TABLE_PIVOT[[#This Row],[Date of Call]])&lt;=6,YEAR(TABLE_PIVOT[[#This Row],[Date of Call]]),YEAR(TABLE_PIVOT[[#This Row],[Date of Call]])+1)</f>
        <v>2024</v>
      </c>
      <c r="I728" s="82" t="str">
        <f>TEXT(TABLE_PIVOT[[#This Row],[Date of Call]],"DDDD")</f>
        <v>Tuesday</v>
      </c>
      <c r="J728" s="82" t="str" cm="1">
        <f t="array" ref="J728">_xlfn.IFS(TABLE_PIVOT[[#This Row],[Duration]]&lt;=10,"Under 10 Mins",TABLE_PIVOT[[#This Row],[Duration]]&lt;=30,"10 to 30 Mins",TABLE_PIVOT[[#This Row],[Duration]]&lt;=60,"30 to 60 Mins",TABLE_PIVOT[[#This Row],[Duration]]&lt;=120,"1 to 2 Hours",TRUE,"More Than 2 Hours")</f>
        <v>30 to 60 Mins</v>
      </c>
      <c r="K728" s="82">
        <f>ROUND(TABLE_PIVOT[[#This Row],[Satisfaction Rating]],0)</f>
        <v>4</v>
      </c>
    </row>
    <row r="729" spans="1:11" x14ac:dyDescent="0.3">
      <c r="A729" s="8" t="s">
        <v>2355</v>
      </c>
      <c r="B729" s="8" t="s">
        <v>1633</v>
      </c>
      <c r="C729" s="8">
        <v>66</v>
      </c>
      <c r="D729" s="120" t="s">
        <v>1616</v>
      </c>
      <c r="E729" s="121">
        <v>45181</v>
      </c>
      <c r="F729" s="8">
        <v>32</v>
      </c>
      <c r="G729" s="8">
        <v>3.8</v>
      </c>
      <c r="H729" s="82">
        <f>IF(MONTH(TABLE_PIVOT[[#This Row],[Date of Call]])&lt;=6,YEAR(TABLE_PIVOT[[#This Row],[Date of Call]]),YEAR(TABLE_PIVOT[[#This Row],[Date of Call]])+1)</f>
        <v>2024</v>
      </c>
      <c r="I729" s="82" t="str">
        <f>TEXT(TABLE_PIVOT[[#This Row],[Date of Call]],"DDDD")</f>
        <v>Tuesday</v>
      </c>
      <c r="J729" s="82" t="str" cm="1">
        <f t="array" ref="J729">_xlfn.IFS(TABLE_PIVOT[[#This Row],[Duration]]&lt;=10,"Under 10 Mins",TABLE_PIVOT[[#This Row],[Duration]]&lt;=30,"10 to 30 Mins",TABLE_PIVOT[[#This Row],[Duration]]&lt;=60,"30 to 60 Mins",TABLE_PIVOT[[#This Row],[Duration]]&lt;=120,"1 to 2 Hours",TRUE,"More Than 2 Hours")</f>
        <v>1 to 2 Hours</v>
      </c>
      <c r="K729" s="82">
        <f>ROUND(TABLE_PIVOT[[#This Row],[Satisfaction Rating]],0)</f>
        <v>4</v>
      </c>
    </row>
    <row r="730" spans="1:11" x14ac:dyDescent="0.3">
      <c r="A730" s="8" t="s">
        <v>2356</v>
      </c>
      <c r="B730" s="8" t="s">
        <v>1635</v>
      </c>
      <c r="C730" s="8">
        <v>75</v>
      </c>
      <c r="D730" s="120" t="s">
        <v>1630</v>
      </c>
      <c r="E730" s="121">
        <v>45181</v>
      </c>
      <c r="F730" s="8">
        <v>120</v>
      </c>
      <c r="G730" s="8">
        <v>4.4000000000000004</v>
      </c>
      <c r="H730" s="82">
        <f>IF(MONTH(TABLE_PIVOT[[#This Row],[Date of Call]])&lt;=6,YEAR(TABLE_PIVOT[[#This Row],[Date of Call]]),YEAR(TABLE_PIVOT[[#This Row],[Date of Call]])+1)</f>
        <v>2024</v>
      </c>
      <c r="I730" s="82" t="str">
        <f>TEXT(TABLE_PIVOT[[#This Row],[Date of Call]],"DDDD")</f>
        <v>Tuesday</v>
      </c>
      <c r="J730" s="82" t="str" cm="1">
        <f t="array" ref="J730">_xlfn.IFS(TABLE_PIVOT[[#This Row],[Duration]]&lt;=10,"Under 10 Mins",TABLE_PIVOT[[#This Row],[Duration]]&lt;=30,"10 to 30 Mins",TABLE_PIVOT[[#This Row],[Duration]]&lt;=60,"30 to 60 Mins",TABLE_PIVOT[[#This Row],[Duration]]&lt;=120,"1 to 2 Hours",TRUE,"More Than 2 Hours")</f>
        <v>1 to 2 Hours</v>
      </c>
      <c r="K730" s="82">
        <f>ROUND(TABLE_PIVOT[[#This Row],[Satisfaction Rating]],0)</f>
        <v>4</v>
      </c>
    </row>
    <row r="731" spans="1:11" x14ac:dyDescent="0.3">
      <c r="A731" s="8" t="s">
        <v>2357</v>
      </c>
      <c r="B731" s="8" t="s">
        <v>1629</v>
      </c>
      <c r="C731" s="8">
        <v>8</v>
      </c>
      <c r="D731" s="120" t="s">
        <v>1616</v>
      </c>
      <c r="E731" s="121">
        <v>45181</v>
      </c>
      <c r="F731" s="8">
        <v>31</v>
      </c>
      <c r="G731" s="8">
        <v>3.9</v>
      </c>
      <c r="H731" s="82">
        <f>IF(MONTH(TABLE_PIVOT[[#This Row],[Date of Call]])&lt;=6,YEAR(TABLE_PIVOT[[#This Row],[Date of Call]]),YEAR(TABLE_PIVOT[[#This Row],[Date of Call]])+1)</f>
        <v>2024</v>
      </c>
      <c r="I731" s="82" t="str">
        <f>TEXT(TABLE_PIVOT[[#This Row],[Date of Call]],"DDDD")</f>
        <v>Tuesday</v>
      </c>
      <c r="J731" s="82" t="str" cm="1">
        <f t="array" ref="J731">_xlfn.IFS(TABLE_PIVOT[[#This Row],[Duration]]&lt;=10,"Under 10 Mins",TABLE_PIVOT[[#This Row],[Duration]]&lt;=30,"10 to 30 Mins",TABLE_PIVOT[[#This Row],[Duration]]&lt;=60,"30 to 60 Mins",TABLE_PIVOT[[#This Row],[Duration]]&lt;=120,"1 to 2 Hours",TRUE,"More Than 2 Hours")</f>
        <v>Under 10 Mins</v>
      </c>
      <c r="K731" s="82">
        <f>ROUND(TABLE_PIVOT[[#This Row],[Satisfaction Rating]],0)</f>
        <v>4</v>
      </c>
    </row>
    <row r="732" spans="1:11" x14ac:dyDescent="0.3">
      <c r="A732" s="8" t="s">
        <v>2358</v>
      </c>
      <c r="B732" s="8" t="s">
        <v>1615</v>
      </c>
      <c r="C732" s="8">
        <v>76</v>
      </c>
      <c r="D732" s="120" t="s">
        <v>1630</v>
      </c>
      <c r="E732" s="121">
        <v>45182</v>
      </c>
      <c r="F732" s="8">
        <v>108</v>
      </c>
      <c r="G732" s="8">
        <v>4.9000000000000004</v>
      </c>
      <c r="H732" s="82">
        <f>IF(MONTH(TABLE_PIVOT[[#This Row],[Date of Call]])&lt;=6,YEAR(TABLE_PIVOT[[#This Row],[Date of Call]]),YEAR(TABLE_PIVOT[[#This Row],[Date of Call]])+1)</f>
        <v>2024</v>
      </c>
      <c r="I732" s="82" t="str">
        <f>TEXT(TABLE_PIVOT[[#This Row],[Date of Call]],"DDDD")</f>
        <v>Wednesday</v>
      </c>
      <c r="J732" s="82" t="str" cm="1">
        <f t="array" ref="J732">_xlfn.IFS(TABLE_PIVOT[[#This Row],[Duration]]&lt;=10,"Under 10 Mins",TABLE_PIVOT[[#This Row],[Duration]]&lt;=30,"10 to 30 Mins",TABLE_PIVOT[[#This Row],[Duration]]&lt;=60,"30 to 60 Mins",TABLE_PIVOT[[#This Row],[Duration]]&lt;=120,"1 to 2 Hours",TRUE,"More Than 2 Hours")</f>
        <v>1 to 2 Hours</v>
      </c>
      <c r="K732" s="82">
        <f>ROUND(TABLE_PIVOT[[#This Row],[Satisfaction Rating]],0)</f>
        <v>5</v>
      </c>
    </row>
    <row r="733" spans="1:11" x14ac:dyDescent="0.3">
      <c r="A733" s="8" t="s">
        <v>2359</v>
      </c>
      <c r="B733" s="8" t="s">
        <v>1610</v>
      </c>
      <c r="C733" s="8">
        <v>110</v>
      </c>
      <c r="D733" s="120" t="s">
        <v>1630</v>
      </c>
      <c r="E733" s="121">
        <v>45182</v>
      </c>
      <c r="F733" s="8">
        <v>180</v>
      </c>
      <c r="G733" s="8">
        <v>4.2</v>
      </c>
      <c r="H733" s="82">
        <f>IF(MONTH(TABLE_PIVOT[[#This Row],[Date of Call]])&lt;=6,YEAR(TABLE_PIVOT[[#This Row],[Date of Call]]),YEAR(TABLE_PIVOT[[#This Row],[Date of Call]])+1)</f>
        <v>2024</v>
      </c>
      <c r="I733" s="82" t="str">
        <f>TEXT(TABLE_PIVOT[[#This Row],[Date of Call]],"DDDD")</f>
        <v>Wednesday</v>
      </c>
      <c r="J733" s="82" t="str" cm="1">
        <f t="array" ref="J733">_xlfn.IFS(TABLE_PIVOT[[#This Row],[Duration]]&lt;=10,"Under 10 Mins",TABLE_PIVOT[[#This Row],[Duration]]&lt;=30,"10 to 30 Mins",TABLE_PIVOT[[#This Row],[Duration]]&lt;=60,"30 to 60 Mins",TABLE_PIVOT[[#This Row],[Duration]]&lt;=120,"1 to 2 Hours",TRUE,"More Than 2 Hours")</f>
        <v>1 to 2 Hours</v>
      </c>
      <c r="K733" s="82">
        <f>ROUND(TABLE_PIVOT[[#This Row],[Satisfaction Rating]],0)</f>
        <v>4</v>
      </c>
    </row>
    <row r="734" spans="1:11" x14ac:dyDescent="0.3">
      <c r="A734" s="8" t="s">
        <v>2360</v>
      </c>
      <c r="B734" s="8" t="s">
        <v>1633</v>
      </c>
      <c r="C734" s="8">
        <v>50</v>
      </c>
      <c r="D734" s="120" t="s">
        <v>1621</v>
      </c>
      <c r="E734" s="121">
        <v>45183</v>
      </c>
      <c r="F734" s="8">
        <v>124</v>
      </c>
      <c r="G734" s="8">
        <v>4</v>
      </c>
      <c r="H734" s="82">
        <f>IF(MONTH(TABLE_PIVOT[[#This Row],[Date of Call]])&lt;=6,YEAR(TABLE_PIVOT[[#This Row],[Date of Call]]),YEAR(TABLE_PIVOT[[#This Row],[Date of Call]])+1)</f>
        <v>2024</v>
      </c>
      <c r="I734" s="82" t="str">
        <f>TEXT(TABLE_PIVOT[[#This Row],[Date of Call]],"DDDD")</f>
        <v>Thursday</v>
      </c>
      <c r="J734" s="82" t="str" cm="1">
        <f t="array" ref="J734">_xlfn.IFS(TABLE_PIVOT[[#This Row],[Duration]]&lt;=10,"Under 10 Mins",TABLE_PIVOT[[#This Row],[Duration]]&lt;=30,"10 to 30 Mins",TABLE_PIVOT[[#This Row],[Duration]]&lt;=60,"30 to 60 Mins",TABLE_PIVOT[[#This Row],[Duration]]&lt;=120,"1 to 2 Hours",TRUE,"More Than 2 Hours")</f>
        <v>30 to 60 Mins</v>
      </c>
      <c r="K734" s="82">
        <f>ROUND(TABLE_PIVOT[[#This Row],[Satisfaction Rating]],0)</f>
        <v>4</v>
      </c>
    </row>
    <row r="735" spans="1:11" x14ac:dyDescent="0.3">
      <c r="A735" s="8" t="s">
        <v>2361</v>
      </c>
      <c r="B735" s="8" t="s">
        <v>1624</v>
      </c>
      <c r="C735" s="8">
        <v>78</v>
      </c>
      <c r="D735" s="120" t="s">
        <v>1621</v>
      </c>
      <c r="E735" s="121">
        <v>45183</v>
      </c>
      <c r="F735" s="8">
        <v>23</v>
      </c>
      <c r="G735" s="8">
        <v>4.2</v>
      </c>
      <c r="H735" s="82">
        <f>IF(MONTH(TABLE_PIVOT[[#This Row],[Date of Call]])&lt;=6,YEAR(TABLE_PIVOT[[#This Row],[Date of Call]]),YEAR(TABLE_PIVOT[[#This Row],[Date of Call]])+1)</f>
        <v>2024</v>
      </c>
      <c r="I735" s="82" t="str">
        <f>TEXT(TABLE_PIVOT[[#This Row],[Date of Call]],"DDDD")</f>
        <v>Thursday</v>
      </c>
      <c r="J735" s="82" t="str" cm="1">
        <f t="array" ref="J735">_xlfn.IFS(TABLE_PIVOT[[#This Row],[Duration]]&lt;=10,"Under 10 Mins",TABLE_PIVOT[[#This Row],[Duration]]&lt;=30,"10 to 30 Mins",TABLE_PIVOT[[#This Row],[Duration]]&lt;=60,"30 to 60 Mins",TABLE_PIVOT[[#This Row],[Duration]]&lt;=120,"1 to 2 Hours",TRUE,"More Than 2 Hours")</f>
        <v>1 to 2 Hours</v>
      </c>
      <c r="K735" s="82">
        <f>ROUND(TABLE_PIVOT[[#This Row],[Satisfaction Rating]],0)</f>
        <v>4</v>
      </c>
    </row>
    <row r="736" spans="1:11" x14ac:dyDescent="0.3">
      <c r="A736" s="8" t="s">
        <v>2362</v>
      </c>
      <c r="B736" s="8" t="s">
        <v>1652</v>
      </c>
      <c r="C736" s="8">
        <v>59</v>
      </c>
      <c r="D736" s="120" t="s">
        <v>1611</v>
      </c>
      <c r="E736" s="121">
        <v>45184</v>
      </c>
      <c r="F736" s="8">
        <v>24</v>
      </c>
      <c r="G736" s="8">
        <v>4.8</v>
      </c>
      <c r="H736" s="82">
        <f>IF(MONTH(TABLE_PIVOT[[#This Row],[Date of Call]])&lt;=6,YEAR(TABLE_PIVOT[[#This Row],[Date of Call]]),YEAR(TABLE_PIVOT[[#This Row],[Date of Call]])+1)</f>
        <v>2024</v>
      </c>
      <c r="I736" s="82" t="str">
        <f>TEXT(TABLE_PIVOT[[#This Row],[Date of Call]],"DDDD")</f>
        <v>Friday</v>
      </c>
      <c r="J736" s="82" t="str" cm="1">
        <f t="array" ref="J736">_xlfn.IFS(TABLE_PIVOT[[#This Row],[Duration]]&lt;=10,"Under 10 Mins",TABLE_PIVOT[[#This Row],[Duration]]&lt;=30,"10 to 30 Mins",TABLE_PIVOT[[#This Row],[Duration]]&lt;=60,"30 to 60 Mins",TABLE_PIVOT[[#This Row],[Duration]]&lt;=120,"1 to 2 Hours",TRUE,"More Than 2 Hours")</f>
        <v>30 to 60 Mins</v>
      </c>
      <c r="K736" s="82">
        <f>ROUND(TABLE_PIVOT[[#This Row],[Satisfaction Rating]],0)</f>
        <v>5</v>
      </c>
    </row>
    <row r="737" spans="1:11" x14ac:dyDescent="0.3">
      <c r="A737" s="8" t="s">
        <v>2363</v>
      </c>
      <c r="B737" s="8" t="s">
        <v>1624</v>
      </c>
      <c r="C737" s="8">
        <v>126</v>
      </c>
      <c r="D737" s="120" t="s">
        <v>1616</v>
      </c>
      <c r="E737" s="121">
        <v>45185</v>
      </c>
      <c r="F737" s="8">
        <v>52</v>
      </c>
      <c r="G737" s="8">
        <v>1.1000000000000001</v>
      </c>
      <c r="H737" s="82">
        <f>IF(MONTH(TABLE_PIVOT[[#This Row],[Date of Call]])&lt;=6,YEAR(TABLE_PIVOT[[#This Row],[Date of Call]]),YEAR(TABLE_PIVOT[[#This Row],[Date of Call]])+1)</f>
        <v>2024</v>
      </c>
      <c r="I737" s="82" t="str">
        <f>TEXT(TABLE_PIVOT[[#This Row],[Date of Call]],"DDDD")</f>
        <v>Saturday</v>
      </c>
      <c r="J737" s="82" t="str" cm="1">
        <f t="array" ref="J737">_xlfn.IFS(TABLE_PIVOT[[#This Row],[Duration]]&lt;=10,"Under 10 Mins",TABLE_PIVOT[[#This Row],[Duration]]&lt;=30,"10 to 30 Mins",TABLE_PIVOT[[#This Row],[Duration]]&lt;=60,"30 to 60 Mins",TABLE_PIVOT[[#This Row],[Duration]]&lt;=120,"1 to 2 Hours",TRUE,"More Than 2 Hours")</f>
        <v>More Than 2 Hours</v>
      </c>
      <c r="K737" s="82">
        <f>ROUND(TABLE_PIVOT[[#This Row],[Satisfaction Rating]],0)</f>
        <v>1</v>
      </c>
    </row>
    <row r="738" spans="1:11" x14ac:dyDescent="0.3">
      <c r="A738" s="8" t="s">
        <v>2364</v>
      </c>
      <c r="B738" s="8" t="s">
        <v>1615</v>
      </c>
      <c r="C738" s="8">
        <v>43</v>
      </c>
      <c r="D738" s="120" t="s">
        <v>1611</v>
      </c>
      <c r="E738" s="121">
        <v>45186</v>
      </c>
      <c r="F738" s="8">
        <v>168</v>
      </c>
      <c r="G738" s="8">
        <v>4</v>
      </c>
      <c r="H738" s="82">
        <f>IF(MONTH(TABLE_PIVOT[[#This Row],[Date of Call]])&lt;=6,YEAR(TABLE_PIVOT[[#This Row],[Date of Call]]),YEAR(TABLE_PIVOT[[#This Row],[Date of Call]])+1)</f>
        <v>2024</v>
      </c>
      <c r="I738" s="82" t="str">
        <f>TEXT(TABLE_PIVOT[[#This Row],[Date of Call]],"DDDD")</f>
        <v>Sunday</v>
      </c>
      <c r="J738" s="82" t="str" cm="1">
        <f t="array" ref="J738">_xlfn.IFS(TABLE_PIVOT[[#This Row],[Duration]]&lt;=10,"Under 10 Mins",TABLE_PIVOT[[#This Row],[Duration]]&lt;=30,"10 to 30 Mins",TABLE_PIVOT[[#This Row],[Duration]]&lt;=60,"30 to 60 Mins",TABLE_PIVOT[[#This Row],[Duration]]&lt;=120,"1 to 2 Hours",TRUE,"More Than 2 Hours")</f>
        <v>30 to 60 Mins</v>
      </c>
      <c r="K738" s="82">
        <f>ROUND(TABLE_PIVOT[[#This Row],[Satisfaction Rating]],0)</f>
        <v>4</v>
      </c>
    </row>
    <row r="739" spans="1:11" x14ac:dyDescent="0.3">
      <c r="A739" s="8" t="s">
        <v>2365</v>
      </c>
      <c r="B739" s="8" t="s">
        <v>1662</v>
      </c>
      <c r="C739" s="8">
        <v>79</v>
      </c>
      <c r="D739" s="120" t="s">
        <v>1630</v>
      </c>
      <c r="E739" s="121">
        <v>45188</v>
      </c>
      <c r="F739" s="8">
        <v>125</v>
      </c>
      <c r="G739" s="8">
        <v>4.8</v>
      </c>
      <c r="H739" s="82">
        <f>IF(MONTH(TABLE_PIVOT[[#This Row],[Date of Call]])&lt;=6,YEAR(TABLE_PIVOT[[#This Row],[Date of Call]]),YEAR(TABLE_PIVOT[[#This Row],[Date of Call]])+1)</f>
        <v>2024</v>
      </c>
      <c r="I739" s="82" t="str">
        <f>TEXT(TABLE_PIVOT[[#This Row],[Date of Call]],"DDDD")</f>
        <v>Tuesday</v>
      </c>
      <c r="J739" s="82" t="str" cm="1">
        <f t="array" ref="J739">_xlfn.IFS(TABLE_PIVOT[[#This Row],[Duration]]&lt;=10,"Under 10 Mins",TABLE_PIVOT[[#This Row],[Duration]]&lt;=30,"10 to 30 Mins",TABLE_PIVOT[[#This Row],[Duration]]&lt;=60,"30 to 60 Mins",TABLE_PIVOT[[#This Row],[Duration]]&lt;=120,"1 to 2 Hours",TRUE,"More Than 2 Hours")</f>
        <v>1 to 2 Hours</v>
      </c>
      <c r="K739" s="82">
        <f>ROUND(TABLE_PIVOT[[#This Row],[Satisfaction Rating]],0)</f>
        <v>5</v>
      </c>
    </row>
    <row r="740" spans="1:11" x14ac:dyDescent="0.3">
      <c r="A740" s="8" t="s">
        <v>2366</v>
      </c>
      <c r="B740" s="8" t="s">
        <v>1610</v>
      </c>
      <c r="C740" s="8">
        <v>71</v>
      </c>
      <c r="D740" s="120" t="s">
        <v>1611</v>
      </c>
      <c r="E740" s="121">
        <v>45189</v>
      </c>
      <c r="F740" s="8">
        <v>50</v>
      </c>
      <c r="G740" s="8">
        <v>4.2</v>
      </c>
      <c r="H740" s="82">
        <f>IF(MONTH(TABLE_PIVOT[[#This Row],[Date of Call]])&lt;=6,YEAR(TABLE_PIVOT[[#This Row],[Date of Call]]),YEAR(TABLE_PIVOT[[#This Row],[Date of Call]])+1)</f>
        <v>2024</v>
      </c>
      <c r="I740" s="82" t="str">
        <f>TEXT(TABLE_PIVOT[[#This Row],[Date of Call]],"DDDD")</f>
        <v>Wednesday</v>
      </c>
      <c r="J740" s="82" t="str" cm="1">
        <f t="array" ref="J740">_xlfn.IFS(TABLE_PIVOT[[#This Row],[Duration]]&lt;=10,"Under 10 Mins",TABLE_PIVOT[[#This Row],[Duration]]&lt;=30,"10 to 30 Mins",TABLE_PIVOT[[#This Row],[Duration]]&lt;=60,"30 to 60 Mins",TABLE_PIVOT[[#This Row],[Duration]]&lt;=120,"1 to 2 Hours",TRUE,"More Than 2 Hours")</f>
        <v>1 to 2 Hours</v>
      </c>
      <c r="K740" s="82">
        <f>ROUND(TABLE_PIVOT[[#This Row],[Satisfaction Rating]],0)</f>
        <v>4</v>
      </c>
    </row>
    <row r="741" spans="1:11" x14ac:dyDescent="0.3">
      <c r="A741" s="8" t="s">
        <v>2367</v>
      </c>
      <c r="B741" s="8" t="s">
        <v>1641</v>
      </c>
      <c r="C741" s="8">
        <v>94</v>
      </c>
      <c r="D741" s="120" t="s">
        <v>1616</v>
      </c>
      <c r="E741" s="121">
        <v>45190</v>
      </c>
      <c r="F741" s="8">
        <v>220</v>
      </c>
      <c r="G741" s="8">
        <v>4.5999999999999996</v>
      </c>
      <c r="H741" s="82">
        <f>IF(MONTH(TABLE_PIVOT[[#This Row],[Date of Call]])&lt;=6,YEAR(TABLE_PIVOT[[#This Row],[Date of Call]]),YEAR(TABLE_PIVOT[[#This Row],[Date of Call]])+1)</f>
        <v>2024</v>
      </c>
      <c r="I741" s="82" t="str">
        <f>TEXT(TABLE_PIVOT[[#This Row],[Date of Call]],"DDDD")</f>
        <v>Thursday</v>
      </c>
      <c r="J741" s="82" t="str" cm="1">
        <f t="array" ref="J741">_xlfn.IFS(TABLE_PIVOT[[#This Row],[Duration]]&lt;=10,"Under 10 Mins",TABLE_PIVOT[[#This Row],[Duration]]&lt;=30,"10 to 30 Mins",TABLE_PIVOT[[#This Row],[Duration]]&lt;=60,"30 to 60 Mins",TABLE_PIVOT[[#This Row],[Duration]]&lt;=120,"1 to 2 Hours",TRUE,"More Than 2 Hours")</f>
        <v>1 to 2 Hours</v>
      </c>
      <c r="K741" s="82">
        <f>ROUND(TABLE_PIVOT[[#This Row],[Satisfaction Rating]],0)</f>
        <v>5</v>
      </c>
    </row>
    <row r="742" spans="1:11" x14ac:dyDescent="0.3">
      <c r="A742" s="8" t="s">
        <v>2368</v>
      </c>
      <c r="B742" s="8" t="s">
        <v>1629</v>
      </c>
      <c r="C742" s="8">
        <v>108</v>
      </c>
      <c r="D742" s="120" t="s">
        <v>1611</v>
      </c>
      <c r="E742" s="121">
        <v>45190</v>
      </c>
      <c r="F742" s="8">
        <v>180</v>
      </c>
      <c r="G742" s="8">
        <v>4</v>
      </c>
      <c r="H742" s="82">
        <f>IF(MONTH(TABLE_PIVOT[[#This Row],[Date of Call]])&lt;=6,YEAR(TABLE_PIVOT[[#This Row],[Date of Call]]),YEAR(TABLE_PIVOT[[#This Row],[Date of Call]])+1)</f>
        <v>2024</v>
      </c>
      <c r="I742" s="82" t="str">
        <f>TEXT(TABLE_PIVOT[[#This Row],[Date of Call]],"DDDD")</f>
        <v>Thursday</v>
      </c>
      <c r="J742" s="82" t="str" cm="1">
        <f t="array" ref="J742">_xlfn.IFS(TABLE_PIVOT[[#This Row],[Duration]]&lt;=10,"Under 10 Mins",TABLE_PIVOT[[#This Row],[Duration]]&lt;=30,"10 to 30 Mins",TABLE_PIVOT[[#This Row],[Duration]]&lt;=60,"30 to 60 Mins",TABLE_PIVOT[[#This Row],[Duration]]&lt;=120,"1 to 2 Hours",TRUE,"More Than 2 Hours")</f>
        <v>1 to 2 Hours</v>
      </c>
      <c r="K742" s="82">
        <f>ROUND(TABLE_PIVOT[[#This Row],[Satisfaction Rating]],0)</f>
        <v>4</v>
      </c>
    </row>
    <row r="743" spans="1:11" x14ac:dyDescent="0.3">
      <c r="A743" s="8" t="s">
        <v>2369</v>
      </c>
      <c r="B743" s="8" t="s">
        <v>1615</v>
      </c>
      <c r="C743" s="8">
        <v>76</v>
      </c>
      <c r="D743" s="120" t="s">
        <v>1616</v>
      </c>
      <c r="E743" s="121">
        <v>45190</v>
      </c>
      <c r="F743" s="8">
        <v>110</v>
      </c>
      <c r="G743" s="8">
        <v>3.9</v>
      </c>
      <c r="H743" s="82">
        <f>IF(MONTH(TABLE_PIVOT[[#This Row],[Date of Call]])&lt;=6,YEAR(TABLE_PIVOT[[#This Row],[Date of Call]]),YEAR(TABLE_PIVOT[[#This Row],[Date of Call]])+1)</f>
        <v>2024</v>
      </c>
      <c r="I743" s="82" t="str">
        <f>TEXT(TABLE_PIVOT[[#This Row],[Date of Call]],"DDDD")</f>
        <v>Thursday</v>
      </c>
      <c r="J743" s="82" t="str" cm="1">
        <f t="array" ref="J743">_xlfn.IFS(TABLE_PIVOT[[#This Row],[Duration]]&lt;=10,"Under 10 Mins",TABLE_PIVOT[[#This Row],[Duration]]&lt;=30,"10 to 30 Mins",TABLE_PIVOT[[#This Row],[Duration]]&lt;=60,"30 to 60 Mins",TABLE_PIVOT[[#This Row],[Duration]]&lt;=120,"1 to 2 Hours",TRUE,"More Than 2 Hours")</f>
        <v>1 to 2 Hours</v>
      </c>
      <c r="K743" s="82">
        <f>ROUND(TABLE_PIVOT[[#This Row],[Satisfaction Rating]],0)</f>
        <v>4</v>
      </c>
    </row>
    <row r="744" spans="1:11" x14ac:dyDescent="0.3">
      <c r="A744" s="8" t="s">
        <v>2370</v>
      </c>
      <c r="B744" s="8" t="s">
        <v>1652</v>
      </c>
      <c r="C744" s="8">
        <v>136</v>
      </c>
      <c r="D744" s="120" t="s">
        <v>1611</v>
      </c>
      <c r="E744" s="121">
        <v>45190</v>
      </c>
      <c r="F744" s="8">
        <v>36</v>
      </c>
      <c r="G744" s="8">
        <v>2.8</v>
      </c>
      <c r="H744" s="82">
        <f>IF(MONTH(TABLE_PIVOT[[#This Row],[Date of Call]])&lt;=6,YEAR(TABLE_PIVOT[[#This Row],[Date of Call]]),YEAR(TABLE_PIVOT[[#This Row],[Date of Call]])+1)</f>
        <v>2024</v>
      </c>
      <c r="I744" s="82" t="str">
        <f>TEXT(TABLE_PIVOT[[#This Row],[Date of Call]],"DDDD")</f>
        <v>Thursday</v>
      </c>
      <c r="J744" s="82" t="str" cm="1">
        <f t="array" ref="J744">_xlfn.IFS(TABLE_PIVOT[[#This Row],[Duration]]&lt;=10,"Under 10 Mins",TABLE_PIVOT[[#This Row],[Duration]]&lt;=30,"10 to 30 Mins",TABLE_PIVOT[[#This Row],[Duration]]&lt;=60,"30 to 60 Mins",TABLE_PIVOT[[#This Row],[Duration]]&lt;=120,"1 to 2 Hours",TRUE,"More Than 2 Hours")</f>
        <v>More Than 2 Hours</v>
      </c>
      <c r="K744" s="82">
        <f>ROUND(TABLE_PIVOT[[#This Row],[Satisfaction Rating]],0)</f>
        <v>3</v>
      </c>
    </row>
    <row r="745" spans="1:11" x14ac:dyDescent="0.3">
      <c r="A745" s="8" t="s">
        <v>2371</v>
      </c>
      <c r="B745" s="8" t="s">
        <v>1613</v>
      </c>
      <c r="C745" s="8">
        <v>129</v>
      </c>
      <c r="D745" s="120" t="s">
        <v>1621</v>
      </c>
      <c r="E745" s="121">
        <v>45191</v>
      </c>
      <c r="F745" s="8">
        <v>93</v>
      </c>
      <c r="G745" s="8">
        <v>4.7</v>
      </c>
      <c r="H745" s="82">
        <f>IF(MONTH(TABLE_PIVOT[[#This Row],[Date of Call]])&lt;=6,YEAR(TABLE_PIVOT[[#This Row],[Date of Call]]),YEAR(TABLE_PIVOT[[#This Row],[Date of Call]])+1)</f>
        <v>2024</v>
      </c>
      <c r="I745" s="82" t="str">
        <f>TEXT(TABLE_PIVOT[[#This Row],[Date of Call]],"DDDD")</f>
        <v>Friday</v>
      </c>
      <c r="J745" s="82" t="str" cm="1">
        <f t="array" ref="J745">_xlfn.IFS(TABLE_PIVOT[[#This Row],[Duration]]&lt;=10,"Under 10 Mins",TABLE_PIVOT[[#This Row],[Duration]]&lt;=30,"10 to 30 Mins",TABLE_PIVOT[[#This Row],[Duration]]&lt;=60,"30 to 60 Mins",TABLE_PIVOT[[#This Row],[Duration]]&lt;=120,"1 to 2 Hours",TRUE,"More Than 2 Hours")</f>
        <v>More Than 2 Hours</v>
      </c>
      <c r="K745" s="82">
        <f>ROUND(TABLE_PIVOT[[#This Row],[Satisfaction Rating]],0)</f>
        <v>5</v>
      </c>
    </row>
    <row r="746" spans="1:11" x14ac:dyDescent="0.3">
      <c r="A746" s="8" t="s">
        <v>2372</v>
      </c>
      <c r="B746" s="8" t="s">
        <v>1629</v>
      </c>
      <c r="C746" s="8">
        <v>120</v>
      </c>
      <c r="D746" s="120" t="s">
        <v>1611</v>
      </c>
      <c r="E746" s="121">
        <v>45191</v>
      </c>
      <c r="F746" s="8">
        <v>38</v>
      </c>
      <c r="G746" s="8">
        <v>4.2</v>
      </c>
      <c r="H746" s="82">
        <f>IF(MONTH(TABLE_PIVOT[[#This Row],[Date of Call]])&lt;=6,YEAR(TABLE_PIVOT[[#This Row],[Date of Call]]),YEAR(TABLE_PIVOT[[#This Row],[Date of Call]])+1)</f>
        <v>2024</v>
      </c>
      <c r="I746" s="82" t="str">
        <f>TEXT(TABLE_PIVOT[[#This Row],[Date of Call]],"DDDD")</f>
        <v>Friday</v>
      </c>
      <c r="J746" s="82" t="str" cm="1">
        <f t="array" ref="J746">_xlfn.IFS(TABLE_PIVOT[[#This Row],[Duration]]&lt;=10,"Under 10 Mins",TABLE_PIVOT[[#This Row],[Duration]]&lt;=30,"10 to 30 Mins",TABLE_PIVOT[[#This Row],[Duration]]&lt;=60,"30 to 60 Mins",TABLE_PIVOT[[#This Row],[Duration]]&lt;=120,"1 to 2 Hours",TRUE,"More Than 2 Hours")</f>
        <v>1 to 2 Hours</v>
      </c>
      <c r="K746" s="82">
        <f>ROUND(TABLE_PIVOT[[#This Row],[Satisfaction Rating]],0)</f>
        <v>4</v>
      </c>
    </row>
    <row r="747" spans="1:11" x14ac:dyDescent="0.3">
      <c r="A747" s="8" t="s">
        <v>2373</v>
      </c>
      <c r="B747" s="8" t="s">
        <v>1615</v>
      </c>
      <c r="C747" s="8">
        <v>108</v>
      </c>
      <c r="D747" s="120" t="s">
        <v>1621</v>
      </c>
      <c r="E747" s="121">
        <v>45192</v>
      </c>
      <c r="F747" s="8">
        <v>66</v>
      </c>
      <c r="G747" s="8">
        <v>3.9</v>
      </c>
      <c r="H747" s="82">
        <f>IF(MONTH(TABLE_PIVOT[[#This Row],[Date of Call]])&lt;=6,YEAR(TABLE_PIVOT[[#This Row],[Date of Call]]),YEAR(TABLE_PIVOT[[#This Row],[Date of Call]])+1)</f>
        <v>2024</v>
      </c>
      <c r="I747" s="82" t="str">
        <f>TEXT(TABLE_PIVOT[[#This Row],[Date of Call]],"DDDD")</f>
        <v>Saturday</v>
      </c>
      <c r="J747" s="82" t="str" cm="1">
        <f t="array" ref="J747">_xlfn.IFS(TABLE_PIVOT[[#This Row],[Duration]]&lt;=10,"Under 10 Mins",TABLE_PIVOT[[#This Row],[Duration]]&lt;=30,"10 to 30 Mins",TABLE_PIVOT[[#This Row],[Duration]]&lt;=60,"30 to 60 Mins",TABLE_PIVOT[[#This Row],[Duration]]&lt;=120,"1 to 2 Hours",TRUE,"More Than 2 Hours")</f>
        <v>1 to 2 Hours</v>
      </c>
      <c r="K747" s="82">
        <f>ROUND(TABLE_PIVOT[[#This Row],[Satisfaction Rating]],0)</f>
        <v>4</v>
      </c>
    </row>
    <row r="748" spans="1:11" x14ac:dyDescent="0.3">
      <c r="A748" s="8" t="s">
        <v>2374</v>
      </c>
      <c r="B748" s="8" t="s">
        <v>1624</v>
      </c>
      <c r="C748" s="8">
        <v>79</v>
      </c>
      <c r="D748" s="120" t="s">
        <v>1611</v>
      </c>
      <c r="E748" s="121">
        <v>45192</v>
      </c>
      <c r="F748" s="8">
        <v>215</v>
      </c>
      <c r="G748" s="8">
        <v>4.5999999999999996</v>
      </c>
      <c r="H748" s="82">
        <f>IF(MONTH(TABLE_PIVOT[[#This Row],[Date of Call]])&lt;=6,YEAR(TABLE_PIVOT[[#This Row],[Date of Call]]),YEAR(TABLE_PIVOT[[#This Row],[Date of Call]])+1)</f>
        <v>2024</v>
      </c>
      <c r="I748" s="82" t="str">
        <f>TEXT(TABLE_PIVOT[[#This Row],[Date of Call]],"DDDD")</f>
        <v>Saturday</v>
      </c>
      <c r="J748" s="82" t="str" cm="1">
        <f t="array" ref="J748">_xlfn.IFS(TABLE_PIVOT[[#This Row],[Duration]]&lt;=10,"Under 10 Mins",TABLE_PIVOT[[#This Row],[Duration]]&lt;=30,"10 to 30 Mins",TABLE_PIVOT[[#This Row],[Duration]]&lt;=60,"30 to 60 Mins",TABLE_PIVOT[[#This Row],[Duration]]&lt;=120,"1 to 2 Hours",TRUE,"More Than 2 Hours")</f>
        <v>1 to 2 Hours</v>
      </c>
      <c r="K748" s="82">
        <f>ROUND(TABLE_PIVOT[[#This Row],[Satisfaction Rating]],0)</f>
        <v>5</v>
      </c>
    </row>
    <row r="749" spans="1:11" x14ac:dyDescent="0.3">
      <c r="A749" s="8" t="s">
        <v>2375</v>
      </c>
      <c r="B749" s="8" t="s">
        <v>1624</v>
      </c>
      <c r="C749" s="8">
        <v>45</v>
      </c>
      <c r="D749" s="120" t="s">
        <v>1621</v>
      </c>
      <c r="E749" s="121">
        <v>45192</v>
      </c>
      <c r="F749" s="8">
        <v>92</v>
      </c>
      <c r="G749" s="8">
        <v>4.3</v>
      </c>
      <c r="H749" s="82">
        <f>IF(MONTH(TABLE_PIVOT[[#This Row],[Date of Call]])&lt;=6,YEAR(TABLE_PIVOT[[#This Row],[Date of Call]]),YEAR(TABLE_PIVOT[[#This Row],[Date of Call]])+1)</f>
        <v>2024</v>
      </c>
      <c r="I749" s="82" t="str">
        <f>TEXT(TABLE_PIVOT[[#This Row],[Date of Call]],"DDDD")</f>
        <v>Saturday</v>
      </c>
      <c r="J749" s="82" t="str" cm="1">
        <f t="array" ref="J749">_xlfn.IFS(TABLE_PIVOT[[#This Row],[Duration]]&lt;=10,"Under 10 Mins",TABLE_PIVOT[[#This Row],[Duration]]&lt;=30,"10 to 30 Mins",TABLE_PIVOT[[#This Row],[Duration]]&lt;=60,"30 to 60 Mins",TABLE_PIVOT[[#This Row],[Duration]]&lt;=120,"1 to 2 Hours",TRUE,"More Than 2 Hours")</f>
        <v>30 to 60 Mins</v>
      </c>
      <c r="K749" s="82">
        <f>ROUND(TABLE_PIVOT[[#This Row],[Satisfaction Rating]],0)</f>
        <v>4</v>
      </c>
    </row>
    <row r="750" spans="1:11" x14ac:dyDescent="0.3">
      <c r="A750" s="8" t="s">
        <v>2376</v>
      </c>
      <c r="B750" s="8" t="s">
        <v>1620</v>
      </c>
      <c r="C750" s="8">
        <v>96</v>
      </c>
      <c r="D750" s="120" t="s">
        <v>1611</v>
      </c>
      <c r="E750" s="121">
        <v>45192</v>
      </c>
      <c r="F750" s="8">
        <v>80</v>
      </c>
      <c r="G750" s="8">
        <v>3.6</v>
      </c>
      <c r="H750" s="82">
        <f>IF(MONTH(TABLE_PIVOT[[#This Row],[Date of Call]])&lt;=6,YEAR(TABLE_PIVOT[[#This Row],[Date of Call]]),YEAR(TABLE_PIVOT[[#This Row],[Date of Call]])+1)</f>
        <v>2024</v>
      </c>
      <c r="I750" s="82" t="str">
        <f>TEXT(TABLE_PIVOT[[#This Row],[Date of Call]],"DDDD")</f>
        <v>Saturday</v>
      </c>
      <c r="J750" s="82" t="str" cm="1">
        <f t="array" ref="J750">_xlfn.IFS(TABLE_PIVOT[[#This Row],[Duration]]&lt;=10,"Under 10 Mins",TABLE_PIVOT[[#This Row],[Duration]]&lt;=30,"10 to 30 Mins",TABLE_PIVOT[[#This Row],[Duration]]&lt;=60,"30 to 60 Mins",TABLE_PIVOT[[#This Row],[Duration]]&lt;=120,"1 to 2 Hours",TRUE,"More Than 2 Hours")</f>
        <v>1 to 2 Hours</v>
      </c>
      <c r="K750" s="82">
        <f>ROUND(TABLE_PIVOT[[#This Row],[Satisfaction Rating]],0)</f>
        <v>4</v>
      </c>
    </row>
    <row r="751" spans="1:11" x14ac:dyDescent="0.3">
      <c r="A751" s="8" t="s">
        <v>2377</v>
      </c>
      <c r="B751" s="8" t="s">
        <v>1620</v>
      </c>
      <c r="C751" s="8">
        <v>81</v>
      </c>
      <c r="D751" s="120" t="s">
        <v>1611</v>
      </c>
      <c r="E751" s="121">
        <v>45193</v>
      </c>
      <c r="F751" s="8">
        <v>123</v>
      </c>
      <c r="G751" s="8">
        <v>4.9000000000000004</v>
      </c>
      <c r="H751" s="82">
        <f>IF(MONTH(TABLE_PIVOT[[#This Row],[Date of Call]])&lt;=6,YEAR(TABLE_PIVOT[[#This Row],[Date of Call]]),YEAR(TABLE_PIVOT[[#This Row],[Date of Call]])+1)</f>
        <v>2024</v>
      </c>
      <c r="I751" s="82" t="str">
        <f>TEXT(TABLE_PIVOT[[#This Row],[Date of Call]],"DDDD")</f>
        <v>Sunday</v>
      </c>
      <c r="J751" s="82" t="str" cm="1">
        <f t="array" ref="J751">_xlfn.IFS(TABLE_PIVOT[[#This Row],[Duration]]&lt;=10,"Under 10 Mins",TABLE_PIVOT[[#This Row],[Duration]]&lt;=30,"10 to 30 Mins",TABLE_PIVOT[[#This Row],[Duration]]&lt;=60,"30 to 60 Mins",TABLE_PIVOT[[#This Row],[Duration]]&lt;=120,"1 to 2 Hours",TRUE,"More Than 2 Hours")</f>
        <v>1 to 2 Hours</v>
      </c>
      <c r="K751" s="82">
        <f>ROUND(TABLE_PIVOT[[#This Row],[Satisfaction Rating]],0)</f>
        <v>5</v>
      </c>
    </row>
    <row r="752" spans="1:11" x14ac:dyDescent="0.3">
      <c r="A752" s="8" t="s">
        <v>2378</v>
      </c>
      <c r="B752" s="8" t="s">
        <v>1652</v>
      </c>
      <c r="C752" s="8">
        <v>95</v>
      </c>
      <c r="D752" s="120" t="s">
        <v>1626</v>
      </c>
      <c r="E752" s="121">
        <v>45193</v>
      </c>
      <c r="F752" s="8">
        <v>23</v>
      </c>
      <c r="G752" s="8">
        <v>2.4</v>
      </c>
      <c r="H752" s="82">
        <f>IF(MONTH(TABLE_PIVOT[[#This Row],[Date of Call]])&lt;=6,YEAR(TABLE_PIVOT[[#This Row],[Date of Call]]),YEAR(TABLE_PIVOT[[#This Row],[Date of Call]])+1)</f>
        <v>2024</v>
      </c>
      <c r="I752" s="82" t="str">
        <f>TEXT(TABLE_PIVOT[[#This Row],[Date of Call]],"DDDD")</f>
        <v>Sunday</v>
      </c>
      <c r="J752" s="82" t="str" cm="1">
        <f t="array" ref="J752">_xlfn.IFS(TABLE_PIVOT[[#This Row],[Duration]]&lt;=10,"Under 10 Mins",TABLE_PIVOT[[#This Row],[Duration]]&lt;=30,"10 to 30 Mins",TABLE_PIVOT[[#This Row],[Duration]]&lt;=60,"30 to 60 Mins",TABLE_PIVOT[[#This Row],[Duration]]&lt;=120,"1 to 2 Hours",TRUE,"More Than 2 Hours")</f>
        <v>1 to 2 Hours</v>
      </c>
      <c r="K752" s="82">
        <f>ROUND(TABLE_PIVOT[[#This Row],[Satisfaction Rating]],0)</f>
        <v>2</v>
      </c>
    </row>
    <row r="753" spans="1:11" x14ac:dyDescent="0.3">
      <c r="A753" s="8" t="s">
        <v>2379</v>
      </c>
      <c r="B753" s="8" t="s">
        <v>1649</v>
      </c>
      <c r="C753" s="8">
        <v>159</v>
      </c>
      <c r="D753" s="120" t="s">
        <v>1616</v>
      </c>
      <c r="E753" s="121">
        <v>45193</v>
      </c>
      <c r="F753" s="8">
        <v>63</v>
      </c>
      <c r="G753" s="8">
        <v>4.2</v>
      </c>
      <c r="H753" s="82">
        <f>IF(MONTH(TABLE_PIVOT[[#This Row],[Date of Call]])&lt;=6,YEAR(TABLE_PIVOT[[#This Row],[Date of Call]]),YEAR(TABLE_PIVOT[[#This Row],[Date of Call]])+1)</f>
        <v>2024</v>
      </c>
      <c r="I753" s="82" t="str">
        <f>TEXT(TABLE_PIVOT[[#This Row],[Date of Call]],"DDDD")</f>
        <v>Sunday</v>
      </c>
      <c r="J753" s="82" t="str" cm="1">
        <f t="array" ref="J753">_xlfn.IFS(TABLE_PIVOT[[#This Row],[Duration]]&lt;=10,"Under 10 Mins",TABLE_PIVOT[[#This Row],[Duration]]&lt;=30,"10 to 30 Mins",TABLE_PIVOT[[#This Row],[Duration]]&lt;=60,"30 to 60 Mins",TABLE_PIVOT[[#This Row],[Duration]]&lt;=120,"1 to 2 Hours",TRUE,"More Than 2 Hours")</f>
        <v>More Than 2 Hours</v>
      </c>
      <c r="K753" s="82">
        <f>ROUND(TABLE_PIVOT[[#This Row],[Satisfaction Rating]],0)</f>
        <v>4</v>
      </c>
    </row>
    <row r="754" spans="1:11" x14ac:dyDescent="0.3">
      <c r="A754" s="8" t="s">
        <v>2380</v>
      </c>
      <c r="B754" s="8" t="s">
        <v>1682</v>
      </c>
      <c r="C754" s="8">
        <v>109</v>
      </c>
      <c r="D754" s="120" t="s">
        <v>1630</v>
      </c>
      <c r="E754" s="121">
        <v>45193</v>
      </c>
      <c r="F754" s="8">
        <v>52</v>
      </c>
      <c r="G754" s="8">
        <v>3.9</v>
      </c>
      <c r="H754" s="82">
        <f>IF(MONTH(TABLE_PIVOT[[#This Row],[Date of Call]])&lt;=6,YEAR(TABLE_PIVOT[[#This Row],[Date of Call]]),YEAR(TABLE_PIVOT[[#This Row],[Date of Call]])+1)</f>
        <v>2024</v>
      </c>
      <c r="I754" s="82" t="str">
        <f>TEXT(TABLE_PIVOT[[#This Row],[Date of Call]],"DDDD")</f>
        <v>Sunday</v>
      </c>
      <c r="J754" s="82" t="str" cm="1">
        <f t="array" ref="J754">_xlfn.IFS(TABLE_PIVOT[[#This Row],[Duration]]&lt;=10,"Under 10 Mins",TABLE_PIVOT[[#This Row],[Duration]]&lt;=30,"10 to 30 Mins",TABLE_PIVOT[[#This Row],[Duration]]&lt;=60,"30 to 60 Mins",TABLE_PIVOT[[#This Row],[Duration]]&lt;=120,"1 to 2 Hours",TRUE,"More Than 2 Hours")</f>
        <v>1 to 2 Hours</v>
      </c>
      <c r="K754" s="82">
        <f>ROUND(TABLE_PIVOT[[#This Row],[Satisfaction Rating]],0)</f>
        <v>4</v>
      </c>
    </row>
    <row r="755" spans="1:11" x14ac:dyDescent="0.3">
      <c r="A755" s="8" t="s">
        <v>2381</v>
      </c>
      <c r="B755" s="8" t="s">
        <v>1624</v>
      </c>
      <c r="C755" s="8">
        <v>107</v>
      </c>
      <c r="D755" s="120" t="s">
        <v>1630</v>
      </c>
      <c r="E755" s="121">
        <v>45193</v>
      </c>
      <c r="F755" s="8">
        <v>60</v>
      </c>
      <c r="G755" s="8">
        <v>4.2</v>
      </c>
      <c r="H755" s="82">
        <f>IF(MONTH(TABLE_PIVOT[[#This Row],[Date of Call]])&lt;=6,YEAR(TABLE_PIVOT[[#This Row],[Date of Call]]),YEAR(TABLE_PIVOT[[#This Row],[Date of Call]])+1)</f>
        <v>2024</v>
      </c>
      <c r="I755" s="82" t="str">
        <f>TEXT(TABLE_PIVOT[[#This Row],[Date of Call]],"DDDD")</f>
        <v>Sunday</v>
      </c>
      <c r="J755" s="82" t="str" cm="1">
        <f t="array" ref="J755">_xlfn.IFS(TABLE_PIVOT[[#This Row],[Duration]]&lt;=10,"Under 10 Mins",TABLE_PIVOT[[#This Row],[Duration]]&lt;=30,"10 to 30 Mins",TABLE_PIVOT[[#This Row],[Duration]]&lt;=60,"30 to 60 Mins",TABLE_PIVOT[[#This Row],[Duration]]&lt;=120,"1 to 2 Hours",TRUE,"More Than 2 Hours")</f>
        <v>1 to 2 Hours</v>
      </c>
      <c r="K755" s="82">
        <f>ROUND(TABLE_PIVOT[[#This Row],[Satisfaction Rating]],0)</f>
        <v>4</v>
      </c>
    </row>
    <row r="756" spans="1:11" x14ac:dyDescent="0.3">
      <c r="A756" s="8" t="s">
        <v>2382</v>
      </c>
      <c r="B756" s="8" t="s">
        <v>1620</v>
      </c>
      <c r="C756" s="8">
        <v>67</v>
      </c>
      <c r="D756" s="120" t="s">
        <v>1621</v>
      </c>
      <c r="E756" s="121">
        <v>45194</v>
      </c>
      <c r="F756" s="8">
        <v>87</v>
      </c>
      <c r="G756" s="8">
        <v>3.9</v>
      </c>
      <c r="H756" s="82">
        <f>IF(MONTH(TABLE_PIVOT[[#This Row],[Date of Call]])&lt;=6,YEAR(TABLE_PIVOT[[#This Row],[Date of Call]]),YEAR(TABLE_PIVOT[[#This Row],[Date of Call]])+1)</f>
        <v>2024</v>
      </c>
      <c r="I756" s="82" t="str">
        <f>TEXT(TABLE_PIVOT[[#This Row],[Date of Call]],"DDDD")</f>
        <v>Monday</v>
      </c>
      <c r="J756" s="82" t="str" cm="1">
        <f t="array" ref="J756">_xlfn.IFS(TABLE_PIVOT[[#This Row],[Duration]]&lt;=10,"Under 10 Mins",TABLE_PIVOT[[#This Row],[Duration]]&lt;=30,"10 to 30 Mins",TABLE_PIVOT[[#This Row],[Duration]]&lt;=60,"30 to 60 Mins",TABLE_PIVOT[[#This Row],[Duration]]&lt;=120,"1 to 2 Hours",TRUE,"More Than 2 Hours")</f>
        <v>1 to 2 Hours</v>
      </c>
      <c r="K756" s="82">
        <f>ROUND(TABLE_PIVOT[[#This Row],[Satisfaction Rating]],0)</f>
        <v>4</v>
      </c>
    </row>
    <row r="757" spans="1:11" x14ac:dyDescent="0.3">
      <c r="A757" s="8" t="s">
        <v>2383</v>
      </c>
      <c r="B757" s="8" t="s">
        <v>1635</v>
      </c>
      <c r="C757" s="8">
        <v>96</v>
      </c>
      <c r="D757" s="120" t="s">
        <v>1611</v>
      </c>
      <c r="E757" s="121">
        <v>45195</v>
      </c>
      <c r="F757" s="8">
        <v>42</v>
      </c>
      <c r="G757" s="8">
        <v>4.5</v>
      </c>
      <c r="H757" s="82">
        <f>IF(MONTH(TABLE_PIVOT[[#This Row],[Date of Call]])&lt;=6,YEAR(TABLE_PIVOT[[#This Row],[Date of Call]]),YEAR(TABLE_PIVOT[[#This Row],[Date of Call]])+1)</f>
        <v>2024</v>
      </c>
      <c r="I757" s="82" t="str">
        <f>TEXT(TABLE_PIVOT[[#This Row],[Date of Call]],"DDDD")</f>
        <v>Tuesday</v>
      </c>
      <c r="J757" s="82" t="str" cm="1">
        <f t="array" ref="J757">_xlfn.IFS(TABLE_PIVOT[[#This Row],[Duration]]&lt;=10,"Under 10 Mins",TABLE_PIVOT[[#This Row],[Duration]]&lt;=30,"10 to 30 Mins",TABLE_PIVOT[[#This Row],[Duration]]&lt;=60,"30 to 60 Mins",TABLE_PIVOT[[#This Row],[Duration]]&lt;=120,"1 to 2 Hours",TRUE,"More Than 2 Hours")</f>
        <v>1 to 2 Hours</v>
      </c>
      <c r="K757" s="82">
        <f>ROUND(TABLE_PIVOT[[#This Row],[Satisfaction Rating]],0)</f>
        <v>5</v>
      </c>
    </row>
    <row r="758" spans="1:11" x14ac:dyDescent="0.3">
      <c r="A758" s="8" t="s">
        <v>2384</v>
      </c>
      <c r="B758" s="8" t="s">
        <v>1644</v>
      </c>
      <c r="C758" s="8">
        <v>142</v>
      </c>
      <c r="D758" s="120" t="s">
        <v>1616</v>
      </c>
      <c r="E758" s="121">
        <v>45196</v>
      </c>
      <c r="F758" s="8">
        <v>37</v>
      </c>
      <c r="G758" s="8">
        <v>3.8</v>
      </c>
      <c r="H758" s="82">
        <f>IF(MONTH(TABLE_PIVOT[[#This Row],[Date of Call]])&lt;=6,YEAR(TABLE_PIVOT[[#This Row],[Date of Call]]),YEAR(TABLE_PIVOT[[#This Row],[Date of Call]])+1)</f>
        <v>2024</v>
      </c>
      <c r="I758" s="82" t="str">
        <f>TEXT(TABLE_PIVOT[[#This Row],[Date of Call]],"DDDD")</f>
        <v>Wednesday</v>
      </c>
      <c r="J758" s="82" t="str" cm="1">
        <f t="array" ref="J758">_xlfn.IFS(TABLE_PIVOT[[#This Row],[Duration]]&lt;=10,"Under 10 Mins",TABLE_PIVOT[[#This Row],[Duration]]&lt;=30,"10 to 30 Mins",TABLE_PIVOT[[#This Row],[Duration]]&lt;=60,"30 to 60 Mins",TABLE_PIVOT[[#This Row],[Duration]]&lt;=120,"1 to 2 Hours",TRUE,"More Than 2 Hours")</f>
        <v>More Than 2 Hours</v>
      </c>
      <c r="K758" s="82">
        <f>ROUND(TABLE_PIVOT[[#This Row],[Satisfaction Rating]],0)</f>
        <v>4</v>
      </c>
    </row>
    <row r="759" spans="1:11" x14ac:dyDescent="0.3">
      <c r="A759" s="8" t="s">
        <v>2385</v>
      </c>
      <c r="B759" s="8" t="s">
        <v>1644</v>
      </c>
      <c r="C759" s="8">
        <v>71</v>
      </c>
      <c r="D759" s="120" t="s">
        <v>1626</v>
      </c>
      <c r="E759" s="121">
        <v>45196</v>
      </c>
      <c r="F759" s="8">
        <v>135</v>
      </c>
      <c r="G759" s="8">
        <v>3.9</v>
      </c>
      <c r="H759" s="82">
        <f>IF(MONTH(TABLE_PIVOT[[#This Row],[Date of Call]])&lt;=6,YEAR(TABLE_PIVOT[[#This Row],[Date of Call]]),YEAR(TABLE_PIVOT[[#This Row],[Date of Call]])+1)</f>
        <v>2024</v>
      </c>
      <c r="I759" s="82" t="str">
        <f>TEXT(TABLE_PIVOT[[#This Row],[Date of Call]],"DDDD")</f>
        <v>Wednesday</v>
      </c>
      <c r="J759" s="82" t="str" cm="1">
        <f t="array" ref="J759">_xlfn.IFS(TABLE_PIVOT[[#This Row],[Duration]]&lt;=10,"Under 10 Mins",TABLE_PIVOT[[#This Row],[Duration]]&lt;=30,"10 to 30 Mins",TABLE_PIVOT[[#This Row],[Duration]]&lt;=60,"30 to 60 Mins",TABLE_PIVOT[[#This Row],[Duration]]&lt;=120,"1 to 2 Hours",TRUE,"More Than 2 Hours")</f>
        <v>1 to 2 Hours</v>
      </c>
      <c r="K759" s="82">
        <f>ROUND(TABLE_PIVOT[[#This Row],[Satisfaction Rating]],0)</f>
        <v>4</v>
      </c>
    </row>
    <row r="760" spans="1:11" x14ac:dyDescent="0.3">
      <c r="A760" s="8" t="s">
        <v>2386</v>
      </c>
      <c r="B760" s="8" t="s">
        <v>1635</v>
      </c>
      <c r="C760" s="8">
        <v>152</v>
      </c>
      <c r="D760" s="120" t="s">
        <v>1626</v>
      </c>
      <c r="E760" s="121">
        <v>45196</v>
      </c>
      <c r="F760" s="8">
        <v>88</v>
      </c>
      <c r="G760" s="8">
        <v>4.7</v>
      </c>
      <c r="H760" s="82">
        <f>IF(MONTH(TABLE_PIVOT[[#This Row],[Date of Call]])&lt;=6,YEAR(TABLE_PIVOT[[#This Row],[Date of Call]]),YEAR(TABLE_PIVOT[[#This Row],[Date of Call]])+1)</f>
        <v>2024</v>
      </c>
      <c r="I760" s="82" t="str">
        <f>TEXT(TABLE_PIVOT[[#This Row],[Date of Call]],"DDDD")</f>
        <v>Wednesday</v>
      </c>
      <c r="J760" s="82" t="str" cm="1">
        <f t="array" ref="J760">_xlfn.IFS(TABLE_PIVOT[[#This Row],[Duration]]&lt;=10,"Under 10 Mins",TABLE_PIVOT[[#This Row],[Duration]]&lt;=30,"10 to 30 Mins",TABLE_PIVOT[[#This Row],[Duration]]&lt;=60,"30 to 60 Mins",TABLE_PIVOT[[#This Row],[Duration]]&lt;=120,"1 to 2 Hours",TRUE,"More Than 2 Hours")</f>
        <v>More Than 2 Hours</v>
      </c>
      <c r="K760" s="82">
        <f>ROUND(TABLE_PIVOT[[#This Row],[Satisfaction Rating]],0)</f>
        <v>5</v>
      </c>
    </row>
    <row r="761" spans="1:11" x14ac:dyDescent="0.3">
      <c r="A761" s="8" t="s">
        <v>2387</v>
      </c>
      <c r="B761" s="8" t="s">
        <v>1662</v>
      </c>
      <c r="C761" s="8">
        <v>108</v>
      </c>
      <c r="D761" s="120" t="s">
        <v>1616</v>
      </c>
      <c r="E761" s="121">
        <v>45196</v>
      </c>
      <c r="F761" s="8">
        <v>190</v>
      </c>
      <c r="G761" s="8">
        <v>3.2</v>
      </c>
      <c r="H761" s="82">
        <f>IF(MONTH(TABLE_PIVOT[[#This Row],[Date of Call]])&lt;=6,YEAR(TABLE_PIVOT[[#This Row],[Date of Call]]),YEAR(TABLE_PIVOT[[#This Row],[Date of Call]])+1)</f>
        <v>2024</v>
      </c>
      <c r="I761" s="82" t="str">
        <f>TEXT(TABLE_PIVOT[[#This Row],[Date of Call]],"DDDD")</f>
        <v>Wednesday</v>
      </c>
      <c r="J761" s="82" t="str" cm="1">
        <f t="array" ref="J761">_xlfn.IFS(TABLE_PIVOT[[#This Row],[Duration]]&lt;=10,"Under 10 Mins",TABLE_PIVOT[[#This Row],[Duration]]&lt;=30,"10 to 30 Mins",TABLE_PIVOT[[#This Row],[Duration]]&lt;=60,"30 to 60 Mins",TABLE_PIVOT[[#This Row],[Duration]]&lt;=120,"1 to 2 Hours",TRUE,"More Than 2 Hours")</f>
        <v>1 to 2 Hours</v>
      </c>
      <c r="K761" s="82">
        <f>ROUND(TABLE_PIVOT[[#This Row],[Satisfaction Rating]],0)</f>
        <v>3</v>
      </c>
    </row>
    <row r="762" spans="1:11" x14ac:dyDescent="0.3">
      <c r="A762" s="8" t="s">
        <v>2388</v>
      </c>
      <c r="B762" s="8" t="s">
        <v>1662</v>
      </c>
      <c r="C762" s="8">
        <v>156</v>
      </c>
      <c r="D762" s="120" t="s">
        <v>1626</v>
      </c>
      <c r="E762" s="121">
        <v>45196</v>
      </c>
      <c r="F762" s="8">
        <v>81</v>
      </c>
      <c r="G762" s="8">
        <v>5</v>
      </c>
      <c r="H762" s="82">
        <f>IF(MONTH(TABLE_PIVOT[[#This Row],[Date of Call]])&lt;=6,YEAR(TABLE_PIVOT[[#This Row],[Date of Call]]),YEAR(TABLE_PIVOT[[#This Row],[Date of Call]])+1)</f>
        <v>2024</v>
      </c>
      <c r="I762" s="82" t="str">
        <f>TEXT(TABLE_PIVOT[[#This Row],[Date of Call]],"DDDD")</f>
        <v>Wednesday</v>
      </c>
      <c r="J762" s="82" t="str" cm="1">
        <f t="array" ref="J762">_xlfn.IFS(TABLE_PIVOT[[#This Row],[Duration]]&lt;=10,"Under 10 Mins",TABLE_PIVOT[[#This Row],[Duration]]&lt;=30,"10 to 30 Mins",TABLE_PIVOT[[#This Row],[Duration]]&lt;=60,"30 to 60 Mins",TABLE_PIVOT[[#This Row],[Duration]]&lt;=120,"1 to 2 Hours",TRUE,"More Than 2 Hours")</f>
        <v>More Than 2 Hours</v>
      </c>
      <c r="K762" s="82">
        <f>ROUND(TABLE_PIVOT[[#This Row],[Satisfaction Rating]],0)</f>
        <v>5</v>
      </c>
    </row>
    <row r="763" spans="1:11" x14ac:dyDescent="0.3">
      <c r="A763" s="8" t="s">
        <v>2389</v>
      </c>
      <c r="B763" s="8" t="s">
        <v>1644</v>
      </c>
      <c r="C763" s="8">
        <v>126</v>
      </c>
      <c r="D763" s="120" t="s">
        <v>1616</v>
      </c>
      <c r="E763" s="121">
        <v>45196</v>
      </c>
      <c r="F763" s="8">
        <v>44</v>
      </c>
      <c r="G763" s="8">
        <v>3.7</v>
      </c>
      <c r="H763" s="82">
        <f>IF(MONTH(TABLE_PIVOT[[#This Row],[Date of Call]])&lt;=6,YEAR(TABLE_PIVOT[[#This Row],[Date of Call]]),YEAR(TABLE_PIVOT[[#This Row],[Date of Call]])+1)</f>
        <v>2024</v>
      </c>
      <c r="I763" s="82" t="str">
        <f>TEXT(TABLE_PIVOT[[#This Row],[Date of Call]],"DDDD")</f>
        <v>Wednesday</v>
      </c>
      <c r="J763" s="82" t="str" cm="1">
        <f t="array" ref="J763">_xlfn.IFS(TABLE_PIVOT[[#This Row],[Duration]]&lt;=10,"Under 10 Mins",TABLE_PIVOT[[#This Row],[Duration]]&lt;=30,"10 to 30 Mins",TABLE_PIVOT[[#This Row],[Duration]]&lt;=60,"30 to 60 Mins",TABLE_PIVOT[[#This Row],[Duration]]&lt;=120,"1 to 2 Hours",TRUE,"More Than 2 Hours")</f>
        <v>More Than 2 Hours</v>
      </c>
      <c r="K763" s="82">
        <f>ROUND(TABLE_PIVOT[[#This Row],[Satisfaction Rating]],0)</f>
        <v>4</v>
      </c>
    </row>
    <row r="764" spans="1:11" x14ac:dyDescent="0.3">
      <c r="A764" s="8" t="s">
        <v>2390</v>
      </c>
      <c r="B764" s="8" t="s">
        <v>1615</v>
      </c>
      <c r="C764" s="8">
        <v>135</v>
      </c>
      <c r="D764" s="120" t="s">
        <v>1626</v>
      </c>
      <c r="E764" s="121">
        <v>45197</v>
      </c>
      <c r="F764" s="8">
        <v>92</v>
      </c>
      <c r="G764" s="8">
        <v>3.9</v>
      </c>
      <c r="H764" s="82">
        <f>IF(MONTH(TABLE_PIVOT[[#This Row],[Date of Call]])&lt;=6,YEAR(TABLE_PIVOT[[#This Row],[Date of Call]]),YEAR(TABLE_PIVOT[[#This Row],[Date of Call]])+1)</f>
        <v>2024</v>
      </c>
      <c r="I764" s="82" t="str">
        <f>TEXT(TABLE_PIVOT[[#This Row],[Date of Call]],"DDDD")</f>
        <v>Thursday</v>
      </c>
      <c r="J764" s="82" t="str" cm="1">
        <f t="array" ref="J764">_xlfn.IFS(TABLE_PIVOT[[#This Row],[Duration]]&lt;=10,"Under 10 Mins",TABLE_PIVOT[[#This Row],[Duration]]&lt;=30,"10 to 30 Mins",TABLE_PIVOT[[#This Row],[Duration]]&lt;=60,"30 to 60 Mins",TABLE_PIVOT[[#This Row],[Duration]]&lt;=120,"1 to 2 Hours",TRUE,"More Than 2 Hours")</f>
        <v>More Than 2 Hours</v>
      </c>
      <c r="K764" s="82">
        <f>ROUND(TABLE_PIVOT[[#This Row],[Satisfaction Rating]],0)</f>
        <v>4</v>
      </c>
    </row>
    <row r="765" spans="1:11" x14ac:dyDescent="0.3">
      <c r="A765" s="8" t="s">
        <v>2391</v>
      </c>
      <c r="B765" s="8" t="s">
        <v>1644</v>
      </c>
      <c r="C765" s="8">
        <v>110</v>
      </c>
      <c r="D765" s="120" t="s">
        <v>1611</v>
      </c>
      <c r="E765" s="121">
        <v>45198</v>
      </c>
      <c r="F765" s="8">
        <v>90</v>
      </c>
      <c r="G765" s="8">
        <v>3.1</v>
      </c>
      <c r="H765" s="82">
        <f>IF(MONTH(TABLE_PIVOT[[#This Row],[Date of Call]])&lt;=6,YEAR(TABLE_PIVOT[[#This Row],[Date of Call]]),YEAR(TABLE_PIVOT[[#This Row],[Date of Call]])+1)</f>
        <v>2024</v>
      </c>
      <c r="I765" s="82" t="str">
        <f>TEXT(TABLE_PIVOT[[#This Row],[Date of Call]],"DDDD")</f>
        <v>Friday</v>
      </c>
      <c r="J765" s="82" t="str" cm="1">
        <f t="array" ref="J765">_xlfn.IFS(TABLE_PIVOT[[#This Row],[Duration]]&lt;=10,"Under 10 Mins",TABLE_PIVOT[[#This Row],[Duration]]&lt;=30,"10 to 30 Mins",TABLE_PIVOT[[#This Row],[Duration]]&lt;=60,"30 to 60 Mins",TABLE_PIVOT[[#This Row],[Duration]]&lt;=120,"1 to 2 Hours",TRUE,"More Than 2 Hours")</f>
        <v>1 to 2 Hours</v>
      </c>
      <c r="K765" s="82">
        <f>ROUND(TABLE_PIVOT[[#This Row],[Satisfaction Rating]],0)</f>
        <v>3</v>
      </c>
    </row>
    <row r="766" spans="1:11" x14ac:dyDescent="0.3">
      <c r="A766" s="8" t="s">
        <v>2392</v>
      </c>
      <c r="B766" s="8" t="s">
        <v>1649</v>
      </c>
      <c r="C766" s="8">
        <v>64</v>
      </c>
      <c r="D766" s="120" t="s">
        <v>1626</v>
      </c>
      <c r="E766" s="121">
        <v>45198</v>
      </c>
      <c r="F766" s="8">
        <v>112</v>
      </c>
      <c r="G766" s="8">
        <v>2</v>
      </c>
      <c r="H766" s="82">
        <f>IF(MONTH(TABLE_PIVOT[[#This Row],[Date of Call]])&lt;=6,YEAR(TABLE_PIVOT[[#This Row],[Date of Call]]),YEAR(TABLE_PIVOT[[#This Row],[Date of Call]])+1)</f>
        <v>2024</v>
      </c>
      <c r="I766" s="82" t="str">
        <f>TEXT(TABLE_PIVOT[[#This Row],[Date of Call]],"DDDD")</f>
        <v>Friday</v>
      </c>
      <c r="J766" s="82" t="str" cm="1">
        <f t="array" ref="J766">_xlfn.IFS(TABLE_PIVOT[[#This Row],[Duration]]&lt;=10,"Under 10 Mins",TABLE_PIVOT[[#This Row],[Duration]]&lt;=30,"10 to 30 Mins",TABLE_PIVOT[[#This Row],[Duration]]&lt;=60,"30 to 60 Mins",TABLE_PIVOT[[#This Row],[Duration]]&lt;=120,"1 to 2 Hours",TRUE,"More Than 2 Hours")</f>
        <v>1 to 2 Hours</v>
      </c>
      <c r="K766" s="82">
        <f>ROUND(TABLE_PIVOT[[#This Row],[Satisfaction Rating]],0)</f>
        <v>2</v>
      </c>
    </row>
    <row r="767" spans="1:11" x14ac:dyDescent="0.3">
      <c r="A767" s="8" t="s">
        <v>2393</v>
      </c>
      <c r="B767" s="8" t="s">
        <v>1641</v>
      </c>
      <c r="C767" s="8">
        <v>127</v>
      </c>
      <c r="D767" s="120" t="s">
        <v>1616</v>
      </c>
      <c r="E767" s="121">
        <v>45198</v>
      </c>
      <c r="F767" s="8">
        <v>112</v>
      </c>
      <c r="G767" s="8">
        <v>4.5999999999999996</v>
      </c>
      <c r="H767" s="82">
        <f>IF(MONTH(TABLE_PIVOT[[#This Row],[Date of Call]])&lt;=6,YEAR(TABLE_PIVOT[[#This Row],[Date of Call]]),YEAR(TABLE_PIVOT[[#This Row],[Date of Call]])+1)</f>
        <v>2024</v>
      </c>
      <c r="I767" s="82" t="str">
        <f>TEXT(TABLE_PIVOT[[#This Row],[Date of Call]],"DDDD")</f>
        <v>Friday</v>
      </c>
      <c r="J767" s="82" t="str" cm="1">
        <f t="array" ref="J767">_xlfn.IFS(TABLE_PIVOT[[#This Row],[Duration]]&lt;=10,"Under 10 Mins",TABLE_PIVOT[[#This Row],[Duration]]&lt;=30,"10 to 30 Mins",TABLE_PIVOT[[#This Row],[Duration]]&lt;=60,"30 to 60 Mins",TABLE_PIVOT[[#This Row],[Duration]]&lt;=120,"1 to 2 Hours",TRUE,"More Than 2 Hours")</f>
        <v>More Than 2 Hours</v>
      </c>
      <c r="K767" s="82">
        <f>ROUND(TABLE_PIVOT[[#This Row],[Satisfaction Rating]],0)</f>
        <v>5</v>
      </c>
    </row>
    <row r="768" spans="1:11" x14ac:dyDescent="0.3">
      <c r="A768" s="8" t="s">
        <v>2394</v>
      </c>
      <c r="B768" s="8" t="s">
        <v>1682</v>
      </c>
      <c r="C768" s="8">
        <v>124</v>
      </c>
      <c r="D768" s="120" t="s">
        <v>1621</v>
      </c>
      <c r="E768" s="121">
        <v>45198</v>
      </c>
      <c r="F768" s="8">
        <v>48</v>
      </c>
      <c r="G768" s="8">
        <v>3.7</v>
      </c>
      <c r="H768" s="82">
        <f>IF(MONTH(TABLE_PIVOT[[#This Row],[Date of Call]])&lt;=6,YEAR(TABLE_PIVOT[[#This Row],[Date of Call]]),YEAR(TABLE_PIVOT[[#This Row],[Date of Call]])+1)</f>
        <v>2024</v>
      </c>
      <c r="I768" s="82" t="str">
        <f>TEXT(TABLE_PIVOT[[#This Row],[Date of Call]],"DDDD")</f>
        <v>Friday</v>
      </c>
      <c r="J768" s="82" t="str" cm="1">
        <f t="array" ref="J768">_xlfn.IFS(TABLE_PIVOT[[#This Row],[Duration]]&lt;=10,"Under 10 Mins",TABLE_PIVOT[[#This Row],[Duration]]&lt;=30,"10 to 30 Mins",TABLE_PIVOT[[#This Row],[Duration]]&lt;=60,"30 to 60 Mins",TABLE_PIVOT[[#This Row],[Duration]]&lt;=120,"1 to 2 Hours",TRUE,"More Than 2 Hours")</f>
        <v>More Than 2 Hours</v>
      </c>
      <c r="K768" s="82">
        <f>ROUND(TABLE_PIVOT[[#This Row],[Satisfaction Rating]],0)</f>
        <v>4</v>
      </c>
    </row>
    <row r="769" spans="1:11" x14ac:dyDescent="0.3">
      <c r="A769" s="8" t="s">
        <v>2395</v>
      </c>
      <c r="B769" s="8" t="s">
        <v>1649</v>
      </c>
      <c r="C769" s="8">
        <v>125</v>
      </c>
      <c r="D769" s="120" t="s">
        <v>1616</v>
      </c>
      <c r="E769" s="121">
        <v>45198</v>
      </c>
      <c r="F769" s="8">
        <v>116</v>
      </c>
      <c r="G769" s="8">
        <v>4.4000000000000004</v>
      </c>
      <c r="H769" s="82">
        <f>IF(MONTH(TABLE_PIVOT[[#This Row],[Date of Call]])&lt;=6,YEAR(TABLE_PIVOT[[#This Row],[Date of Call]]),YEAR(TABLE_PIVOT[[#This Row],[Date of Call]])+1)</f>
        <v>2024</v>
      </c>
      <c r="I769" s="82" t="str">
        <f>TEXT(TABLE_PIVOT[[#This Row],[Date of Call]],"DDDD")</f>
        <v>Friday</v>
      </c>
      <c r="J769" s="82" t="str" cm="1">
        <f t="array" ref="J769">_xlfn.IFS(TABLE_PIVOT[[#This Row],[Duration]]&lt;=10,"Under 10 Mins",TABLE_PIVOT[[#This Row],[Duration]]&lt;=30,"10 to 30 Mins",TABLE_PIVOT[[#This Row],[Duration]]&lt;=60,"30 to 60 Mins",TABLE_PIVOT[[#This Row],[Duration]]&lt;=120,"1 to 2 Hours",TRUE,"More Than 2 Hours")</f>
        <v>More Than 2 Hours</v>
      </c>
      <c r="K769" s="82">
        <f>ROUND(TABLE_PIVOT[[#This Row],[Satisfaction Rating]],0)</f>
        <v>4</v>
      </c>
    </row>
    <row r="770" spans="1:11" x14ac:dyDescent="0.3">
      <c r="A770" s="8" t="s">
        <v>2396</v>
      </c>
      <c r="B770" s="8" t="s">
        <v>1613</v>
      </c>
      <c r="C770" s="8">
        <v>70</v>
      </c>
      <c r="D770" s="120" t="s">
        <v>1616</v>
      </c>
      <c r="E770" s="121">
        <v>45198</v>
      </c>
      <c r="F770" s="8">
        <v>29</v>
      </c>
      <c r="G770" s="8">
        <v>2.1</v>
      </c>
      <c r="H770" s="82">
        <f>IF(MONTH(TABLE_PIVOT[[#This Row],[Date of Call]])&lt;=6,YEAR(TABLE_PIVOT[[#This Row],[Date of Call]]),YEAR(TABLE_PIVOT[[#This Row],[Date of Call]])+1)</f>
        <v>2024</v>
      </c>
      <c r="I770" s="82" t="str">
        <f>TEXT(TABLE_PIVOT[[#This Row],[Date of Call]],"DDDD")</f>
        <v>Friday</v>
      </c>
      <c r="J770" s="82" t="str" cm="1">
        <f t="array" ref="J770">_xlfn.IFS(TABLE_PIVOT[[#This Row],[Duration]]&lt;=10,"Under 10 Mins",TABLE_PIVOT[[#This Row],[Duration]]&lt;=30,"10 to 30 Mins",TABLE_PIVOT[[#This Row],[Duration]]&lt;=60,"30 to 60 Mins",TABLE_PIVOT[[#This Row],[Duration]]&lt;=120,"1 to 2 Hours",TRUE,"More Than 2 Hours")</f>
        <v>1 to 2 Hours</v>
      </c>
      <c r="K770" s="82">
        <f>ROUND(TABLE_PIVOT[[#This Row],[Satisfaction Rating]],0)</f>
        <v>2</v>
      </c>
    </row>
    <row r="771" spans="1:11" x14ac:dyDescent="0.3">
      <c r="A771" s="8" t="s">
        <v>2397</v>
      </c>
      <c r="B771" s="8" t="s">
        <v>1641</v>
      </c>
      <c r="C771" s="8">
        <v>93</v>
      </c>
      <c r="D771" s="120" t="s">
        <v>1626</v>
      </c>
      <c r="E771" s="121">
        <v>45199</v>
      </c>
      <c r="F771" s="8">
        <v>170</v>
      </c>
      <c r="G771" s="8">
        <v>2.2000000000000002</v>
      </c>
      <c r="H771" s="82">
        <f>IF(MONTH(TABLE_PIVOT[[#This Row],[Date of Call]])&lt;=6,YEAR(TABLE_PIVOT[[#This Row],[Date of Call]]),YEAR(TABLE_PIVOT[[#This Row],[Date of Call]])+1)</f>
        <v>2024</v>
      </c>
      <c r="I771" s="82" t="str">
        <f>TEXT(TABLE_PIVOT[[#This Row],[Date of Call]],"DDDD")</f>
        <v>Saturday</v>
      </c>
      <c r="J771" s="82" t="str" cm="1">
        <f t="array" ref="J771">_xlfn.IFS(TABLE_PIVOT[[#This Row],[Duration]]&lt;=10,"Under 10 Mins",TABLE_PIVOT[[#This Row],[Duration]]&lt;=30,"10 to 30 Mins",TABLE_PIVOT[[#This Row],[Duration]]&lt;=60,"30 to 60 Mins",TABLE_PIVOT[[#This Row],[Duration]]&lt;=120,"1 to 2 Hours",TRUE,"More Than 2 Hours")</f>
        <v>1 to 2 Hours</v>
      </c>
      <c r="K771" s="82">
        <f>ROUND(TABLE_PIVOT[[#This Row],[Satisfaction Rating]],0)</f>
        <v>2</v>
      </c>
    </row>
    <row r="772" spans="1:11" x14ac:dyDescent="0.3">
      <c r="A772" s="8" t="s">
        <v>2398</v>
      </c>
      <c r="B772" s="8" t="s">
        <v>1613</v>
      </c>
      <c r="C772" s="8">
        <v>120</v>
      </c>
      <c r="D772" s="120" t="s">
        <v>1630</v>
      </c>
      <c r="E772" s="121">
        <v>45199</v>
      </c>
      <c r="F772" s="8">
        <v>68</v>
      </c>
      <c r="G772" s="8">
        <v>3.4</v>
      </c>
      <c r="H772" s="82">
        <f>IF(MONTH(TABLE_PIVOT[[#This Row],[Date of Call]])&lt;=6,YEAR(TABLE_PIVOT[[#This Row],[Date of Call]]),YEAR(TABLE_PIVOT[[#This Row],[Date of Call]])+1)</f>
        <v>2024</v>
      </c>
      <c r="I772" s="82" t="str">
        <f>TEXT(TABLE_PIVOT[[#This Row],[Date of Call]],"DDDD")</f>
        <v>Saturday</v>
      </c>
      <c r="J772" s="82" t="str" cm="1">
        <f t="array" ref="J772">_xlfn.IFS(TABLE_PIVOT[[#This Row],[Duration]]&lt;=10,"Under 10 Mins",TABLE_PIVOT[[#This Row],[Duration]]&lt;=30,"10 to 30 Mins",TABLE_PIVOT[[#This Row],[Duration]]&lt;=60,"30 to 60 Mins",TABLE_PIVOT[[#This Row],[Duration]]&lt;=120,"1 to 2 Hours",TRUE,"More Than 2 Hours")</f>
        <v>1 to 2 Hours</v>
      </c>
      <c r="K772" s="82">
        <f>ROUND(TABLE_PIVOT[[#This Row],[Satisfaction Rating]],0)</f>
        <v>3</v>
      </c>
    </row>
    <row r="773" spans="1:11" x14ac:dyDescent="0.3">
      <c r="A773" s="8" t="s">
        <v>2399</v>
      </c>
      <c r="B773" s="8" t="s">
        <v>1620</v>
      </c>
      <c r="C773" s="8">
        <v>96</v>
      </c>
      <c r="D773" s="120" t="s">
        <v>1611</v>
      </c>
      <c r="E773" s="121">
        <v>45199</v>
      </c>
      <c r="F773" s="8">
        <v>195</v>
      </c>
      <c r="G773" s="8">
        <v>2.7</v>
      </c>
      <c r="H773" s="82">
        <f>IF(MONTH(TABLE_PIVOT[[#This Row],[Date of Call]])&lt;=6,YEAR(TABLE_PIVOT[[#This Row],[Date of Call]]),YEAR(TABLE_PIVOT[[#This Row],[Date of Call]])+1)</f>
        <v>2024</v>
      </c>
      <c r="I773" s="82" t="str">
        <f>TEXT(TABLE_PIVOT[[#This Row],[Date of Call]],"DDDD")</f>
        <v>Saturday</v>
      </c>
      <c r="J773" s="82" t="str" cm="1">
        <f t="array" ref="J773">_xlfn.IFS(TABLE_PIVOT[[#This Row],[Duration]]&lt;=10,"Under 10 Mins",TABLE_PIVOT[[#This Row],[Duration]]&lt;=30,"10 to 30 Mins",TABLE_PIVOT[[#This Row],[Duration]]&lt;=60,"30 to 60 Mins",TABLE_PIVOT[[#This Row],[Duration]]&lt;=120,"1 to 2 Hours",TRUE,"More Than 2 Hours")</f>
        <v>1 to 2 Hours</v>
      </c>
      <c r="K773" s="82">
        <f>ROUND(TABLE_PIVOT[[#This Row],[Satisfaction Rating]],0)</f>
        <v>3</v>
      </c>
    </row>
    <row r="774" spans="1:11" x14ac:dyDescent="0.3">
      <c r="A774" s="8" t="s">
        <v>2400</v>
      </c>
      <c r="B774" s="8" t="s">
        <v>1618</v>
      </c>
      <c r="C774" s="8">
        <v>67</v>
      </c>
      <c r="D774" s="120" t="s">
        <v>1611</v>
      </c>
      <c r="E774" s="121">
        <v>45199</v>
      </c>
      <c r="F774" s="8">
        <v>96</v>
      </c>
      <c r="G774" s="8">
        <v>3.7</v>
      </c>
      <c r="H774" s="82">
        <f>IF(MONTH(TABLE_PIVOT[[#This Row],[Date of Call]])&lt;=6,YEAR(TABLE_PIVOT[[#This Row],[Date of Call]]),YEAR(TABLE_PIVOT[[#This Row],[Date of Call]])+1)</f>
        <v>2024</v>
      </c>
      <c r="I774" s="82" t="str">
        <f>TEXT(TABLE_PIVOT[[#This Row],[Date of Call]],"DDDD")</f>
        <v>Saturday</v>
      </c>
      <c r="J774" s="82" t="str" cm="1">
        <f t="array" ref="J774">_xlfn.IFS(TABLE_PIVOT[[#This Row],[Duration]]&lt;=10,"Under 10 Mins",TABLE_PIVOT[[#This Row],[Duration]]&lt;=30,"10 to 30 Mins",TABLE_PIVOT[[#This Row],[Duration]]&lt;=60,"30 to 60 Mins",TABLE_PIVOT[[#This Row],[Duration]]&lt;=120,"1 to 2 Hours",TRUE,"More Than 2 Hours")</f>
        <v>1 to 2 Hours</v>
      </c>
      <c r="K774" s="82">
        <f>ROUND(TABLE_PIVOT[[#This Row],[Satisfaction Rating]],0)</f>
        <v>4</v>
      </c>
    </row>
    <row r="775" spans="1:11" x14ac:dyDescent="0.3">
      <c r="A775" s="8" t="s">
        <v>2401</v>
      </c>
      <c r="B775" s="8" t="s">
        <v>1649</v>
      </c>
      <c r="C775" s="8">
        <v>119</v>
      </c>
      <c r="D775" s="120" t="s">
        <v>1611</v>
      </c>
      <c r="E775" s="121">
        <v>45199</v>
      </c>
      <c r="F775" s="8">
        <v>96</v>
      </c>
      <c r="G775" s="8">
        <v>3.1</v>
      </c>
      <c r="H775" s="82">
        <f>IF(MONTH(TABLE_PIVOT[[#This Row],[Date of Call]])&lt;=6,YEAR(TABLE_PIVOT[[#This Row],[Date of Call]]),YEAR(TABLE_PIVOT[[#This Row],[Date of Call]])+1)</f>
        <v>2024</v>
      </c>
      <c r="I775" s="82" t="str">
        <f>TEXT(TABLE_PIVOT[[#This Row],[Date of Call]],"DDDD")</f>
        <v>Saturday</v>
      </c>
      <c r="J775" s="82" t="str" cm="1">
        <f t="array" ref="J775">_xlfn.IFS(TABLE_PIVOT[[#This Row],[Duration]]&lt;=10,"Under 10 Mins",TABLE_PIVOT[[#This Row],[Duration]]&lt;=30,"10 to 30 Mins",TABLE_PIVOT[[#This Row],[Duration]]&lt;=60,"30 to 60 Mins",TABLE_PIVOT[[#This Row],[Duration]]&lt;=120,"1 to 2 Hours",TRUE,"More Than 2 Hours")</f>
        <v>1 to 2 Hours</v>
      </c>
      <c r="K775" s="82">
        <f>ROUND(TABLE_PIVOT[[#This Row],[Satisfaction Rating]],0)</f>
        <v>3</v>
      </c>
    </row>
    <row r="776" spans="1:11" x14ac:dyDescent="0.3">
      <c r="A776" s="8" t="s">
        <v>2402</v>
      </c>
      <c r="B776" s="8" t="s">
        <v>1682</v>
      </c>
      <c r="C776" s="8">
        <v>61</v>
      </c>
      <c r="D776" s="120" t="s">
        <v>1621</v>
      </c>
      <c r="E776" s="121">
        <v>45199</v>
      </c>
      <c r="F776" s="8">
        <v>117</v>
      </c>
      <c r="G776" s="8">
        <v>4.0999999999999996</v>
      </c>
      <c r="H776" s="82">
        <f>IF(MONTH(TABLE_PIVOT[[#This Row],[Date of Call]])&lt;=6,YEAR(TABLE_PIVOT[[#This Row],[Date of Call]]),YEAR(TABLE_PIVOT[[#This Row],[Date of Call]])+1)</f>
        <v>2024</v>
      </c>
      <c r="I776" s="82" t="str">
        <f>TEXT(TABLE_PIVOT[[#This Row],[Date of Call]],"DDDD")</f>
        <v>Saturday</v>
      </c>
      <c r="J776" s="82" t="str" cm="1">
        <f t="array" ref="J776">_xlfn.IFS(TABLE_PIVOT[[#This Row],[Duration]]&lt;=10,"Under 10 Mins",TABLE_PIVOT[[#This Row],[Duration]]&lt;=30,"10 to 30 Mins",TABLE_PIVOT[[#This Row],[Duration]]&lt;=60,"30 to 60 Mins",TABLE_PIVOT[[#This Row],[Duration]]&lt;=120,"1 to 2 Hours",TRUE,"More Than 2 Hours")</f>
        <v>1 to 2 Hours</v>
      </c>
      <c r="K776" s="82">
        <f>ROUND(TABLE_PIVOT[[#This Row],[Satisfaction Rating]],0)</f>
        <v>4</v>
      </c>
    </row>
    <row r="777" spans="1:11" x14ac:dyDescent="0.3">
      <c r="A777" s="8" t="s">
        <v>2403</v>
      </c>
      <c r="B777" s="8" t="s">
        <v>1620</v>
      </c>
      <c r="C777" s="8">
        <v>29</v>
      </c>
      <c r="D777" s="120" t="s">
        <v>1626</v>
      </c>
      <c r="E777" s="121">
        <v>45199</v>
      </c>
      <c r="F777" s="8">
        <v>80</v>
      </c>
      <c r="G777" s="8">
        <v>4.8</v>
      </c>
      <c r="H777" s="82">
        <f>IF(MONTH(TABLE_PIVOT[[#This Row],[Date of Call]])&lt;=6,YEAR(TABLE_PIVOT[[#This Row],[Date of Call]]),YEAR(TABLE_PIVOT[[#This Row],[Date of Call]])+1)</f>
        <v>2024</v>
      </c>
      <c r="I777" s="82" t="str">
        <f>TEXT(TABLE_PIVOT[[#This Row],[Date of Call]],"DDDD")</f>
        <v>Saturday</v>
      </c>
      <c r="J777" s="82" t="str" cm="1">
        <f t="array" ref="J777">_xlfn.IFS(TABLE_PIVOT[[#This Row],[Duration]]&lt;=10,"Under 10 Mins",TABLE_PIVOT[[#This Row],[Duration]]&lt;=30,"10 to 30 Mins",TABLE_PIVOT[[#This Row],[Duration]]&lt;=60,"30 to 60 Mins",TABLE_PIVOT[[#This Row],[Duration]]&lt;=120,"1 to 2 Hours",TRUE,"More Than 2 Hours")</f>
        <v>10 to 30 Mins</v>
      </c>
      <c r="K777" s="82">
        <f>ROUND(TABLE_PIVOT[[#This Row],[Satisfaction Rating]],0)</f>
        <v>5</v>
      </c>
    </row>
    <row r="778" spans="1:11" x14ac:dyDescent="0.3">
      <c r="A778" s="8" t="s">
        <v>2404</v>
      </c>
      <c r="B778" s="8" t="s">
        <v>1635</v>
      </c>
      <c r="C778" s="8">
        <v>134</v>
      </c>
      <c r="D778" s="120" t="s">
        <v>1630</v>
      </c>
      <c r="E778" s="121">
        <v>45199</v>
      </c>
      <c r="F778" s="8">
        <v>117</v>
      </c>
      <c r="G778" s="8">
        <v>4</v>
      </c>
      <c r="H778" s="82">
        <f>IF(MONTH(TABLE_PIVOT[[#This Row],[Date of Call]])&lt;=6,YEAR(TABLE_PIVOT[[#This Row],[Date of Call]]),YEAR(TABLE_PIVOT[[#This Row],[Date of Call]])+1)</f>
        <v>2024</v>
      </c>
      <c r="I778" s="82" t="str">
        <f>TEXT(TABLE_PIVOT[[#This Row],[Date of Call]],"DDDD")</f>
        <v>Saturday</v>
      </c>
      <c r="J778" s="82" t="str" cm="1">
        <f t="array" ref="J778">_xlfn.IFS(TABLE_PIVOT[[#This Row],[Duration]]&lt;=10,"Under 10 Mins",TABLE_PIVOT[[#This Row],[Duration]]&lt;=30,"10 to 30 Mins",TABLE_PIVOT[[#This Row],[Duration]]&lt;=60,"30 to 60 Mins",TABLE_PIVOT[[#This Row],[Duration]]&lt;=120,"1 to 2 Hours",TRUE,"More Than 2 Hours")</f>
        <v>More Than 2 Hours</v>
      </c>
      <c r="K778" s="82">
        <f>ROUND(TABLE_PIVOT[[#This Row],[Satisfaction Rating]],0)</f>
        <v>4</v>
      </c>
    </row>
    <row r="779" spans="1:11" x14ac:dyDescent="0.3">
      <c r="A779" s="8" t="s">
        <v>2405</v>
      </c>
      <c r="B779" s="8" t="s">
        <v>1644</v>
      </c>
      <c r="C779" s="8">
        <v>113</v>
      </c>
      <c r="D779" s="120" t="s">
        <v>1611</v>
      </c>
      <c r="E779" s="121">
        <v>45200</v>
      </c>
      <c r="F779" s="8">
        <v>40</v>
      </c>
      <c r="G779" s="8">
        <v>3</v>
      </c>
      <c r="H779" s="82">
        <f>IF(MONTH(TABLE_PIVOT[[#This Row],[Date of Call]])&lt;=6,YEAR(TABLE_PIVOT[[#This Row],[Date of Call]]),YEAR(TABLE_PIVOT[[#This Row],[Date of Call]])+1)</f>
        <v>2024</v>
      </c>
      <c r="I779" s="82" t="str">
        <f>TEXT(TABLE_PIVOT[[#This Row],[Date of Call]],"DDDD")</f>
        <v>Sunday</v>
      </c>
      <c r="J779" s="82" t="str" cm="1">
        <f t="array" ref="J779">_xlfn.IFS(TABLE_PIVOT[[#This Row],[Duration]]&lt;=10,"Under 10 Mins",TABLE_PIVOT[[#This Row],[Duration]]&lt;=30,"10 to 30 Mins",TABLE_PIVOT[[#This Row],[Duration]]&lt;=60,"30 to 60 Mins",TABLE_PIVOT[[#This Row],[Duration]]&lt;=120,"1 to 2 Hours",TRUE,"More Than 2 Hours")</f>
        <v>1 to 2 Hours</v>
      </c>
      <c r="K779" s="82">
        <f>ROUND(TABLE_PIVOT[[#This Row],[Satisfaction Rating]],0)</f>
        <v>3</v>
      </c>
    </row>
    <row r="780" spans="1:11" x14ac:dyDescent="0.3">
      <c r="A780" s="8" t="s">
        <v>2406</v>
      </c>
      <c r="B780" s="8" t="s">
        <v>1662</v>
      </c>
      <c r="C780" s="8">
        <v>12</v>
      </c>
      <c r="D780" s="120" t="s">
        <v>1630</v>
      </c>
      <c r="E780" s="121">
        <v>45200</v>
      </c>
      <c r="F780" s="8">
        <v>117</v>
      </c>
      <c r="G780" s="8">
        <v>4.8</v>
      </c>
      <c r="H780" s="82">
        <f>IF(MONTH(TABLE_PIVOT[[#This Row],[Date of Call]])&lt;=6,YEAR(TABLE_PIVOT[[#This Row],[Date of Call]]),YEAR(TABLE_PIVOT[[#This Row],[Date of Call]])+1)</f>
        <v>2024</v>
      </c>
      <c r="I780" s="82" t="str">
        <f>TEXT(TABLE_PIVOT[[#This Row],[Date of Call]],"DDDD")</f>
        <v>Sunday</v>
      </c>
      <c r="J780" s="82" t="str" cm="1">
        <f t="array" ref="J780">_xlfn.IFS(TABLE_PIVOT[[#This Row],[Duration]]&lt;=10,"Under 10 Mins",TABLE_PIVOT[[#This Row],[Duration]]&lt;=30,"10 to 30 Mins",TABLE_PIVOT[[#This Row],[Duration]]&lt;=60,"30 to 60 Mins",TABLE_PIVOT[[#This Row],[Duration]]&lt;=120,"1 to 2 Hours",TRUE,"More Than 2 Hours")</f>
        <v>10 to 30 Mins</v>
      </c>
      <c r="K780" s="82">
        <f>ROUND(TABLE_PIVOT[[#This Row],[Satisfaction Rating]],0)</f>
        <v>5</v>
      </c>
    </row>
    <row r="781" spans="1:11" x14ac:dyDescent="0.3">
      <c r="A781" s="8" t="s">
        <v>2407</v>
      </c>
      <c r="B781" s="8" t="s">
        <v>1633</v>
      </c>
      <c r="C781" s="8">
        <v>78</v>
      </c>
      <c r="D781" s="120" t="s">
        <v>1626</v>
      </c>
      <c r="E781" s="121">
        <v>45200</v>
      </c>
      <c r="F781" s="8">
        <v>135</v>
      </c>
      <c r="G781" s="8">
        <v>4.0999999999999996</v>
      </c>
      <c r="H781" s="82">
        <f>IF(MONTH(TABLE_PIVOT[[#This Row],[Date of Call]])&lt;=6,YEAR(TABLE_PIVOT[[#This Row],[Date of Call]]),YEAR(TABLE_PIVOT[[#This Row],[Date of Call]])+1)</f>
        <v>2024</v>
      </c>
      <c r="I781" s="82" t="str">
        <f>TEXT(TABLE_PIVOT[[#This Row],[Date of Call]],"DDDD")</f>
        <v>Sunday</v>
      </c>
      <c r="J781" s="82" t="str" cm="1">
        <f t="array" ref="J781">_xlfn.IFS(TABLE_PIVOT[[#This Row],[Duration]]&lt;=10,"Under 10 Mins",TABLE_PIVOT[[#This Row],[Duration]]&lt;=30,"10 to 30 Mins",TABLE_PIVOT[[#This Row],[Duration]]&lt;=60,"30 to 60 Mins",TABLE_PIVOT[[#This Row],[Duration]]&lt;=120,"1 to 2 Hours",TRUE,"More Than 2 Hours")</f>
        <v>1 to 2 Hours</v>
      </c>
      <c r="K781" s="82">
        <f>ROUND(TABLE_PIVOT[[#This Row],[Satisfaction Rating]],0)</f>
        <v>4</v>
      </c>
    </row>
    <row r="782" spans="1:11" x14ac:dyDescent="0.3">
      <c r="A782" s="8" t="s">
        <v>2408</v>
      </c>
      <c r="B782" s="8" t="s">
        <v>1649</v>
      </c>
      <c r="C782" s="8">
        <v>82</v>
      </c>
      <c r="D782" s="120" t="s">
        <v>1616</v>
      </c>
      <c r="E782" s="121">
        <v>45200</v>
      </c>
      <c r="F782" s="8">
        <v>99</v>
      </c>
      <c r="G782" s="8">
        <v>4.2</v>
      </c>
      <c r="H782" s="82">
        <f>IF(MONTH(TABLE_PIVOT[[#This Row],[Date of Call]])&lt;=6,YEAR(TABLE_PIVOT[[#This Row],[Date of Call]]),YEAR(TABLE_PIVOT[[#This Row],[Date of Call]])+1)</f>
        <v>2024</v>
      </c>
      <c r="I782" s="82" t="str">
        <f>TEXT(TABLE_PIVOT[[#This Row],[Date of Call]],"DDDD")</f>
        <v>Sunday</v>
      </c>
      <c r="J782" s="82" t="str" cm="1">
        <f t="array" ref="J782">_xlfn.IFS(TABLE_PIVOT[[#This Row],[Duration]]&lt;=10,"Under 10 Mins",TABLE_PIVOT[[#This Row],[Duration]]&lt;=30,"10 to 30 Mins",TABLE_PIVOT[[#This Row],[Duration]]&lt;=60,"30 to 60 Mins",TABLE_PIVOT[[#This Row],[Duration]]&lt;=120,"1 to 2 Hours",TRUE,"More Than 2 Hours")</f>
        <v>1 to 2 Hours</v>
      </c>
      <c r="K782" s="82">
        <f>ROUND(TABLE_PIVOT[[#This Row],[Satisfaction Rating]],0)</f>
        <v>4</v>
      </c>
    </row>
    <row r="783" spans="1:11" x14ac:dyDescent="0.3">
      <c r="A783" s="8" t="s">
        <v>2409</v>
      </c>
      <c r="B783" s="8" t="s">
        <v>1629</v>
      </c>
      <c r="C783" s="8">
        <v>149</v>
      </c>
      <c r="D783" s="120" t="s">
        <v>1621</v>
      </c>
      <c r="E783" s="121">
        <v>45200</v>
      </c>
      <c r="F783" s="8">
        <v>130</v>
      </c>
      <c r="G783" s="8">
        <v>3.3</v>
      </c>
      <c r="H783" s="82">
        <f>IF(MONTH(TABLE_PIVOT[[#This Row],[Date of Call]])&lt;=6,YEAR(TABLE_PIVOT[[#This Row],[Date of Call]]),YEAR(TABLE_PIVOT[[#This Row],[Date of Call]])+1)</f>
        <v>2024</v>
      </c>
      <c r="I783" s="82" t="str">
        <f>TEXT(TABLE_PIVOT[[#This Row],[Date of Call]],"DDDD")</f>
        <v>Sunday</v>
      </c>
      <c r="J783" s="82" t="str" cm="1">
        <f t="array" ref="J783">_xlfn.IFS(TABLE_PIVOT[[#This Row],[Duration]]&lt;=10,"Under 10 Mins",TABLE_PIVOT[[#This Row],[Duration]]&lt;=30,"10 to 30 Mins",TABLE_PIVOT[[#This Row],[Duration]]&lt;=60,"30 to 60 Mins",TABLE_PIVOT[[#This Row],[Duration]]&lt;=120,"1 to 2 Hours",TRUE,"More Than 2 Hours")</f>
        <v>More Than 2 Hours</v>
      </c>
      <c r="K783" s="82">
        <f>ROUND(TABLE_PIVOT[[#This Row],[Satisfaction Rating]],0)</f>
        <v>3</v>
      </c>
    </row>
    <row r="784" spans="1:11" x14ac:dyDescent="0.3">
      <c r="A784" s="8" t="s">
        <v>2410</v>
      </c>
      <c r="B784" s="8" t="s">
        <v>1624</v>
      </c>
      <c r="C784" s="8">
        <v>56</v>
      </c>
      <c r="D784" s="120" t="s">
        <v>1630</v>
      </c>
      <c r="E784" s="121">
        <v>45200</v>
      </c>
      <c r="F784" s="8">
        <v>96</v>
      </c>
      <c r="G784" s="8">
        <v>4.7</v>
      </c>
      <c r="H784" s="82">
        <f>IF(MONTH(TABLE_PIVOT[[#This Row],[Date of Call]])&lt;=6,YEAR(TABLE_PIVOT[[#This Row],[Date of Call]]),YEAR(TABLE_PIVOT[[#This Row],[Date of Call]])+1)</f>
        <v>2024</v>
      </c>
      <c r="I784" s="82" t="str">
        <f>TEXT(TABLE_PIVOT[[#This Row],[Date of Call]],"DDDD")</f>
        <v>Sunday</v>
      </c>
      <c r="J784" s="82" t="str" cm="1">
        <f t="array" ref="J784">_xlfn.IFS(TABLE_PIVOT[[#This Row],[Duration]]&lt;=10,"Under 10 Mins",TABLE_PIVOT[[#This Row],[Duration]]&lt;=30,"10 to 30 Mins",TABLE_PIVOT[[#This Row],[Duration]]&lt;=60,"30 to 60 Mins",TABLE_PIVOT[[#This Row],[Duration]]&lt;=120,"1 to 2 Hours",TRUE,"More Than 2 Hours")</f>
        <v>30 to 60 Mins</v>
      </c>
      <c r="K784" s="82">
        <f>ROUND(TABLE_PIVOT[[#This Row],[Satisfaction Rating]],0)</f>
        <v>5</v>
      </c>
    </row>
    <row r="785" spans="1:11" x14ac:dyDescent="0.3">
      <c r="A785" s="8" t="s">
        <v>2411</v>
      </c>
      <c r="B785" s="8" t="s">
        <v>1620</v>
      </c>
      <c r="C785" s="8">
        <v>80</v>
      </c>
      <c r="D785" s="120" t="s">
        <v>1621</v>
      </c>
      <c r="E785" s="121">
        <v>45200</v>
      </c>
      <c r="F785" s="8">
        <v>128</v>
      </c>
      <c r="G785" s="8">
        <v>3.7</v>
      </c>
      <c r="H785" s="82">
        <f>IF(MONTH(TABLE_PIVOT[[#This Row],[Date of Call]])&lt;=6,YEAR(TABLE_PIVOT[[#This Row],[Date of Call]]),YEAR(TABLE_PIVOT[[#This Row],[Date of Call]])+1)</f>
        <v>2024</v>
      </c>
      <c r="I785" s="82" t="str">
        <f>TEXT(TABLE_PIVOT[[#This Row],[Date of Call]],"DDDD")</f>
        <v>Sunday</v>
      </c>
      <c r="J785" s="82" t="str" cm="1">
        <f t="array" ref="J785">_xlfn.IFS(TABLE_PIVOT[[#This Row],[Duration]]&lt;=10,"Under 10 Mins",TABLE_PIVOT[[#This Row],[Duration]]&lt;=30,"10 to 30 Mins",TABLE_PIVOT[[#This Row],[Duration]]&lt;=60,"30 to 60 Mins",TABLE_PIVOT[[#This Row],[Duration]]&lt;=120,"1 to 2 Hours",TRUE,"More Than 2 Hours")</f>
        <v>1 to 2 Hours</v>
      </c>
      <c r="K785" s="82">
        <f>ROUND(TABLE_PIVOT[[#This Row],[Satisfaction Rating]],0)</f>
        <v>4</v>
      </c>
    </row>
    <row r="786" spans="1:11" x14ac:dyDescent="0.3">
      <c r="A786" s="8" t="s">
        <v>2412</v>
      </c>
      <c r="B786" s="8" t="s">
        <v>1682</v>
      </c>
      <c r="C786" s="8">
        <v>131</v>
      </c>
      <c r="D786" s="120" t="s">
        <v>1611</v>
      </c>
      <c r="E786" s="121">
        <v>45200</v>
      </c>
      <c r="F786" s="8">
        <v>69</v>
      </c>
      <c r="G786" s="8">
        <v>4.7</v>
      </c>
      <c r="H786" s="82">
        <f>IF(MONTH(TABLE_PIVOT[[#This Row],[Date of Call]])&lt;=6,YEAR(TABLE_PIVOT[[#This Row],[Date of Call]]),YEAR(TABLE_PIVOT[[#This Row],[Date of Call]])+1)</f>
        <v>2024</v>
      </c>
      <c r="I786" s="82" t="str">
        <f>TEXT(TABLE_PIVOT[[#This Row],[Date of Call]],"DDDD")</f>
        <v>Sunday</v>
      </c>
      <c r="J786" s="82" t="str" cm="1">
        <f t="array" ref="J786">_xlfn.IFS(TABLE_PIVOT[[#This Row],[Duration]]&lt;=10,"Under 10 Mins",TABLE_PIVOT[[#This Row],[Duration]]&lt;=30,"10 to 30 Mins",TABLE_PIVOT[[#This Row],[Duration]]&lt;=60,"30 to 60 Mins",TABLE_PIVOT[[#This Row],[Duration]]&lt;=120,"1 to 2 Hours",TRUE,"More Than 2 Hours")</f>
        <v>More Than 2 Hours</v>
      </c>
      <c r="K786" s="82">
        <f>ROUND(TABLE_PIVOT[[#This Row],[Satisfaction Rating]],0)</f>
        <v>5</v>
      </c>
    </row>
    <row r="787" spans="1:11" x14ac:dyDescent="0.3">
      <c r="A787" s="8" t="s">
        <v>2413</v>
      </c>
      <c r="B787" s="8" t="s">
        <v>1682</v>
      </c>
      <c r="C787" s="8">
        <v>109</v>
      </c>
      <c r="D787" s="120" t="s">
        <v>1611</v>
      </c>
      <c r="E787" s="121">
        <v>45200</v>
      </c>
      <c r="F787" s="8">
        <v>44</v>
      </c>
      <c r="G787" s="8">
        <v>4.5999999999999996</v>
      </c>
      <c r="H787" s="82">
        <f>IF(MONTH(TABLE_PIVOT[[#This Row],[Date of Call]])&lt;=6,YEAR(TABLE_PIVOT[[#This Row],[Date of Call]]),YEAR(TABLE_PIVOT[[#This Row],[Date of Call]])+1)</f>
        <v>2024</v>
      </c>
      <c r="I787" s="82" t="str">
        <f>TEXT(TABLE_PIVOT[[#This Row],[Date of Call]],"DDDD")</f>
        <v>Sunday</v>
      </c>
      <c r="J787" s="82" t="str" cm="1">
        <f t="array" ref="J787">_xlfn.IFS(TABLE_PIVOT[[#This Row],[Duration]]&lt;=10,"Under 10 Mins",TABLE_PIVOT[[#This Row],[Duration]]&lt;=30,"10 to 30 Mins",TABLE_PIVOT[[#This Row],[Duration]]&lt;=60,"30 to 60 Mins",TABLE_PIVOT[[#This Row],[Duration]]&lt;=120,"1 to 2 Hours",TRUE,"More Than 2 Hours")</f>
        <v>1 to 2 Hours</v>
      </c>
      <c r="K787" s="82">
        <f>ROUND(TABLE_PIVOT[[#This Row],[Satisfaction Rating]],0)</f>
        <v>5</v>
      </c>
    </row>
    <row r="788" spans="1:11" x14ac:dyDescent="0.3">
      <c r="A788" s="8" t="s">
        <v>2414</v>
      </c>
      <c r="B788" s="8" t="s">
        <v>1624</v>
      </c>
      <c r="C788" s="8">
        <v>142</v>
      </c>
      <c r="D788" s="120" t="s">
        <v>1611</v>
      </c>
      <c r="E788" s="121">
        <v>45200</v>
      </c>
      <c r="F788" s="8">
        <v>44</v>
      </c>
      <c r="G788" s="8">
        <v>4.8</v>
      </c>
      <c r="H788" s="82">
        <f>IF(MONTH(TABLE_PIVOT[[#This Row],[Date of Call]])&lt;=6,YEAR(TABLE_PIVOT[[#This Row],[Date of Call]]),YEAR(TABLE_PIVOT[[#This Row],[Date of Call]])+1)</f>
        <v>2024</v>
      </c>
      <c r="I788" s="82" t="str">
        <f>TEXT(TABLE_PIVOT[[#This Row],[Date of Call]],"DDDD")</f>
        <v>Sunday</v>
      </c>
      <c r="J788" s="82" t="str" cm="1">
        <f t="array" ref="J788">_xlfn.IFS(TABLE_PIVOT[[#This Row],[Duration]]&lt;=10,"Under 10 Mins",TABLE_PIVOT[[#This Row],[Duration]]&lt;=30,"10 to 30 Mins",TABLE_PIVOT[[#This Row],[Duration]]&lt;=60,"30 to 60 Mins",TABLE_PIVOT[[#This Row],[Duration]]&lt;=120,"1 to 2 Hours",TRUE,"More Than 2 Hours")</f>
        <v>More Than 2 Hours</v>
      </c>
      <c r="K788" s="82">
        <f>ROUND(TABLE_PIVOT[[#This Row],[Satisfaction Rating]],0)</f>
        <v>5</v>
      </c>
    </row>
    <row r="789" spans="1:11" x14ac:dyDescent="0.3">
      <c r="A789" s="8" t="s">
        <v>2415</v>
      </c>
      <c r="B789" s="8" t="s">
        <v>1641</v>
      </c>
      <c r="C789" s="8">
        <v>114</v>
      </c>
      <c r="D789" s="120" t="s">
        <v>1630</v>
      </c>
      <c r="E789" s="121">
        <v>45201</v>
      </c>
      <c r="F789" s="8">
        <v>135</v>
      </c>
      <c r="G789" s="8">
        <v>2</v>
      </c>
      <c r="H789" s="82">
        <f>IF(MONTH(TABLE_PIVOT[[#This Row],[Date of Call]])&lt;=6,YEAR(TABLE_PIVOT[[#This Row],[Date of Call]]),YEAR(TABLE_PIVOT[[#This Row],[Date of Call]])+1)</f>
        <v>2024</v>
      </c>
      <c r="I789" s="82" t="str">
        <f>TEXT(TABLE_PIVOT[[#This Row],[Date of Call]],"DDDD")</f>
        <v>Monday</v>
      </c>
      <c r="J789" s="82" t="str" cm="1">
        <f t="array" ref="J789">_xlfn.IFS(TABLE_PIVOT[[#This Row],[Duration]]&lt;=10,"Under 10 Mins",TABLE_PIVOT[[#This Row],[Duration]]&lt;=30,"10 to 30 Mins",TABLE_PIVOT[[#This Row],[Duration]]&lt;=60,"30 to 60 Mins",TABLE_PIVOT[[#This Row],[Duration]]&lt;=120,"1 to 2 Hours",TRUE,"More Than 2 Hours")</f>
        <v>1 to 2 Hours</v>
      </c>
      <c r="K789" s="82">
        <f>ROUND(TABLE_PIVOT[[#This Row],[Satisfaction Rating]],0)</f>
        <v>2</v>
      </c>
    </row>
    <row r="790" spans="1:11" x14ac:dyDescent="0.3">
      <c r="A790" s="8" t="s">
        <v>2416</v>
      </c>
      <c r="B790" s="8" t="s">
        <v>1618</v>
      </c>
      <c r="C790" s="8">
        <v>93</v>
      </c>
      <c r="D790" s="120" t="s">
        <v>1621</v>
      </c>
      <c r="E790" s="121">
        <v>45201</v>
      </c>
      <c r="F790" s="8">
        <v>45</v>
      </c>
      <c r="G790" s="8">
        <v>3.9</v>
      </c>
      <c r="H790" s="82">
        <f>IF(MONTH(TABLE_PIVOT[[#This Row],[Date of Call]])&lt;=6,YEAR(TABLE_PIVOT[[#This Row],[Date of Call]]),YEAR(TABLE_PIVOT[[#This Row],[Date of Call]])+1)</f>
        <v>2024</v>
      </c>
      <c r="I790" s="82" t="str">
        <f>TEXT(TABLE_PIVOT[[#This Row],[Date of Call]],"DDDD")</f>
        <v>Monday</v>
      </c>
      <c r="J790" s="82" t="str" cm="1">
        <f t="array" ref="J790">_xlfn.IFS(TABLE_PIVOT[[#This Row],[Duration]]&lt;=10,"Under 10 Mins",TABLE_PIVOT[[#This Row],[Duration]]&lt;=30,"10 to 30 Mins",TABLE_PIVOT[[#This Row],[Duration]]&lt;=60,"30 to 60 Mins",TABLE_PIVOT[[#This Row],[Duration]]&lt;=120,"1 to 2 Hours",TRUE,"More Than 2 Hours")</f>
        <v>1 to 2 Hours</v>
      </c>
      <c r="K790" s="82">
        <f>ROUND(TABLE_PIVOT[[#This Row],[Satisfaction Rating]],0)</f>
        <v>4</v>
      </c>
    </row>
    <row r="791" spans="1:11" x14ac:dyDescent="0.3">
      <c r="A791" s="8" t="s">
        <v>2417</v>
      </c>
      <c r="B791" s="8" t="s">
        <v>1662</v>
      </c>
      <c r="C791" s="8">
        <v>43</v>
      </c>
      <c r="D791" s="120" t="s">
        <v>1621</v>
      </c>
      <c r="E791" s="121">
        <v>45201</v>
      </c>
      <c r="F791" s="8">
        <v>87</v>
      </c>
      <c r="G791" s="8">
        <v>3</v>
      </c>
      <c r="H791" s="82">
        <f>IF(MONTH(TABLE_PIVOT[[#This Row],[Date of Call]])&lt;=6,YEAR(TABLE_PIVOT[[#This Row],[Date of Call]]),YEAR(TABLE_PIVOT[[#This Row],[Date of Call]])+1)</f>
        <v>2024</v>
      </c>
      <c r="I791" s="82" t="str">
        <f>TEXT(TABLE_PIVOT[[#This Row],[Date of Call]],"DDDD")</f>
        <v>Monday</v>
      </c>
      <c r="J791" s="82" t="str" cm="1">
        <f t="array" ref="J791">_xlfn.IFS(TABLE_PIVOT[[#This Row],[Duration]]&lt;=10,"Under 10 Mins",TABLE_PIVOT[[#This Row],[Duration]]&lt;=30,"10 to 30 Mins",TABLE_PIVOT[[#This Row],[Duration]]&lt;=60,"30 to 60 Mins",TABLE_PIVOT[[#This Row],[Duration]]&lt;=120,"1 to 2 Hours",TRUE,"More Than 2 Hours")</f>
        <v>30 to 60 Mins</v>
      </c>
      <c r="K791" s="82">
        <f>ROUND(TABLE_PIVOT[[#This Row],[Satisfaction Rating]],0)</f>
        <v>3</v>
      </c>
    </row>
    <row r="792" spans="1:11" x14ac:dyDescent="0.3">
      <c r="A792" s="8" t="s">
        <v>2418</v>
      </c>
      <c r="B792" s="8" t="s">
        <v>1635</v>
      </c>
      <c r="C792" s="8">
        <v>78</v>
      </c>
      <c r="D792" s="120" t="s">
        <v>1626</v>
      </c>
      <c r="E792" s="121">
        <v>45202</v>
      </c>
      <c r="F792" s="8">
        <v>84</v>
      </c>
      <c r="G792" s="8">
        <v>4.5999999999999996</v>
      </c>
      <c r="H792" s="82">
        <f>IF(MONTH(TABLE_PIVOT[[#This Row],[Date of Call]])&lt;=6,YEAR(TABLE_PIVOT[[#This Row],[Date of Call]]),YEAR(TABLE_PIVOT[[#This Row],[Date of Call]])+1)</f>
        <v>2024</v>
      </c>
      <c r="I792" s="82" t="str">
        <f>TEXT(TABLE_PIVOT[[#This Row],[Date of Call]],"DDDD")</f>
        <v>Tuesday</v>
      </c>
      <c r="J792" s="82" t="str" cm="1">
        <f t="array" ref="J792">_xlfn.IFS(TABLE_PIVOT[[#This Row],[Duration]]&lt;=10,"Under 10 Mins",TABLE_PIVOT[[#This Row],[Duration]]&lt;=30,"10 to 30 Mins",TABLE_PIVOT[[#This Row],[Duration]]&lt;=60,"30 to 60 Mins",TABLE_PIVOT[[#This Row],[Duration]]&lt;=120,"1 to 2 Hours",TRUE,"More Than 2 Hours")</f>
        <v>1 to 2 Hours</v>
      </c>
      <c r="K792" s="82">
        <f>ROUND(TABLE_PIVOT[[#This Row],[Satisfaction Rating]],0)</f>
        <v>5</v>
      </c>
    </row>
    <row r="793" spans="1:11" x14ac:dyDescent="0.3">
      <c r="A793" s="8" t="s">
        <v>2419</v>
      </c>
      <c r="B793" s="8" t="s">
        <v>1641</v>
      </c>
      <c r="C793" s="8">
        <v>89</v>
      </c>
      <c r="D793" s="120" t="s">
        <v>1611</v>
      </c>
      <c r="E793" s="121">
        <v>45202</v>
      </c>
      <c r="F793" s="8">
        <v>81</v>
      </c>
      <c r="G793" s="8">
        <v>3.8</v>
      </c>
      <c r="H793" s="82">
        <f>IF(MONTH(TABLE_PIVOT[[#This Row],[Date of Call]])&lt;=6,YEAR(TABLE_PIVOT[[#This Row],[Date of Call]]),YEAR(TABLE_PIVOT[[#This Row],[Date of Call]])+1)</f>
        <v>2024</v>
      </c>
      <c r="I793" s="82" t="str">
        <f>TEXT(TABLE_PIVOT[[#This Row],[Date of Call]],"DDDD")</f>
        <v>Tuesday</v>
      </c>
      <c r="J793" s="82" t="str" cm="1">
        <f t="array" ref="J793">_xlfn.IFS(TABLE_PIVOT[[#This Row],[Duration]]&lt;=10,"Under 10 Mins",TABLE_PIVOT[[#This Row],[Duration]]&lt;=30,"10 to 30 Mins",TABLE_PIVOT[[#This Row],[Duration]]&lt;=60,"30 to 60 Mins",TABLE_PIVOT[[#This Row],[Duration]]&lt;=120,"1 to 2 Hours",TRUE,"More Than 2 Hours")</f>
        <v>1 to 2 Hours</v>
      </c>
      <c r="K793" s="82">
        <f>ROUND(TABLE_PIVOT[[#This Row],[Satisfaction Rating]],0)</f>
        <v>4</v>
      </c>
    </row>
    <row r="794" spans="1:11" x14ac:dyDescent="0.3">
      <c r="A794" s="8" t="s">
        <v>2420</v>
      </c>
      <c r="B794" s="8" t="s">
        <v>1624</v>
      </c>
      <c r="C794" s="8">
        <v>82</v>
      </c>
      <c r="D794" s="120" t="s">
        <v>1616</v>
      </c>
      <c r="E794" s="121">
        <v>45202</v>
      </c>
      <c r="F794" s="8">
        <v>130</v>
      </c>
      <c r="G794" s="8">
        <v>4.4000000000000004</v>
      </c>
      <c r="H794" s="82">
        <f>IF(MONTH(TABLE_PIVOT[[#This Row],[Date of Call]])&lt;=6,YEAR(TABLE_PIVOT[[#This Row],[Date of Call]]),YEAR(TABLE_PIVOT[[#This Row],[Date of Call]])+1)</f>
        <v>2024</v>
      </c>
      <c r="I794" s="82" t="str">
        <f>TEXT(TABLE_PIVOT[[#This Row],[Date of Call]],"DDDD")</f>
        <v>Tuesday</v>
      </c>
      <c r="J794" s="82" t="str" cm="1">
        <f t="array" ref="J794">_xlfn.IFS(TABLE_PIVOT[[#This Row],[Duration]]&lt;=10,"Under 10 Mins",TABLE_PIVOT[[#This Row],[Duration]]&lt;=30,"10 to 30 Mins",TABLE_PIVOT[[#This Row],[Duration]]&lt;=60,"30 to 60 Mins",TABLE_PIVOT[[#This Row],[Duration]]&lt;=120,"1 to 2 Hours",TRUE,"More Than 2 Hours")</f>
        <v>1 to 2 Hours</v>
      </c>
      <c r="K794" s="82">
        <f>ROUND(TABLE_PIVOT[[#This Row],[Satisfaction Rating]],0)</f>
        <v>4</v>
      </c>
    </row>
    <row r="795" spans="1:11" x14ac:dyDescent="0.3">
      <c r="A795" s="8" t="s">
        <v>2421</v>
      </c>
      <c r="B795" s="8" t="s">
        <v>1620</v>
      </c>
      <c r="C795" s="8">
        <v>86</v>
      </c>
      <c r="D795" s="120" t="s">
        <v>1611</v>
      </c>
      <c r="E795" s="121">
        <v>45203</v>
      </c>
      <c r="F795" s="8">
        <v>92</v>
      </c>
      <c r="G795" s="8">
        <v>2.4</v>
      </c>
      <c r="H795" s="82">
        <f>IF(MONTH(TABLE_PIVOT[[#This Row],[Date of Call]])&lt;=6,YEAR(TABLE_PIVOT[[#This Row],[Date of Call]]),YEAR(TABLE_PIVOT[[#This Row],[Date of Call]])+1)</f>
        <v>2024</v>
      </c>
      <c r="I795" s="82" t="str">
        <f>TEXT(TABLE_PIVOT[[#This Row],[Date of Call]],"DDDD")</f>
        <v>Wednesday</v>
      </c>
      <c r="J795" s="82" t="str" cm="1">
        <f t="array" ref="J795">_xlfn.IFS(TABLE_PIVOT[[#This Row],[Duration]]&lt;=10,"Under 10 Mins",TABLE_PIVOT[[#This Row],[Duration]]&lt;=30,"10 to 30 Mins",TABLE_PIVOT[[#This Row],[Duration]]&lt;=60,"30 to 60 Mins",TABLE_PIVOT[[#This Row],[Duration]]&lt;=120,"1 to 2 Hours",TRUE,"More Than 2 Hours")</f>
        <v>1 to 2 Hours</v>
      </c>
      <c r="K795" s="82">
        <f>ROUND(TABLE_PIVOT[[#This Row],[Satisfaction Rating]],0)</f>
        <v>2</v>
      </c>
    </row>
    <row r="796" spans="1:11" x14ac:dyDescent="0.3">
      <c r="A796" s="8" t="s">
        <v>2422</v>
      </c>
      <c r="B796" s="8" t="s">
        <v>1652</v>
      </c>
      <c r="C796" s="8">
        <v>57</v>
      </c>
      <c r="D796" s="120" t="s">
        <v>1626</v>
      </c>
      <c r="E796" s="121">
        <v>45203</v>
      </c>
      <c r="F796" s="8">
        <v>48</v>
      </c>
      <c r="G796" s="8">
        <v>4.5</v>
      </c>
      <c r="H796" s="82">
        <f>IF(MONTH(TABLE_PIVOT[[#This Row],[Date of Call]])&lt;=6,YEAR(TABLE_PIVOT[[#This Row],[Date of Call]]),YEAR(TABLE_PIVOT[[#This Row],[Date of Call]])+1)</f>
        <v>2024</v>
      </c>
      <c r="I796" s="82" t="str">
        <f>TEXT(TABLE_PIVOT[[#This Row],[Date of Call]],"DDDD")</f>
        <v>Wednesday</v>
      </c>
      <c r="J796" s="82" t="str" cm="1">
        <f t="array" ref="J796">_xlfn.IFS(TABLE_PIVOT[[#This Row],[Duration]]&lt;=10,"Under 10 Mins",TABLE_PIVOT[[#This Row],[Duration]]&lt;=30,"10 to 30 Mins",TABLE_PIVOT[[#This Row],[Duration]]&lt;=60,"30 to 60 Mins",TABLE_PIVOT[[#This Row],[Duration]]&lt;=120,"1 to 2 Hours",TRUE,"More Than 2 Hours")</f>
        <v>30 to 60 Mins</v>
      </c>
      <c r="K796" s="82">
        <f>ROUND(TABLE_PIVOT[[#This Row],[Satisfaction Rating]],0)</f>
        <v>5</v>
      </c>
    </row>
    <row r="797" spans="1:11" x14ac:dyDescent="0.3">
      <c r="A797" s="8" t="s">
        <v>2423</v>
      </c>
      <c r="B797" s="8" t="s">
        <v>1618</v>
      </c>
      <c r="C797" s="8">
        <v>103</v>
      </c>
      <c r="D797" s="120" t="s">
        <v>1630</v>
      </c>
      <c r="E797" s="121">
        <v>45203</v>
      </c>
      <c r="F797" s="8">
        <v>160</v>
      </c>
      <c r="G797" s="8">
        <v>4.5</v>
      </c>
      <c r="H797" s="82">
        <f>IF(MONTH(TABLE_PIVOT[[#This Row],[Date of Call]])&lt;=6,YEAR(TABLE_PIVOT[[#This Row],[Date of Call]]),YEAR(TABLE_PIVOT[[#This Row],[Date of Call]])+1)</f>
        <v>2024</v>
      </c>
      <c r="I797" s="82" t="str">
        <f>TEXT(TABLE_PIVOT[[#This Row],[Date of Call]],"DDDD")</f>
        <v>Wednesday</v>
      </c>
      <c r="J797" s="82" t="str" cm="1">
        <f t="array" ref="J797">_xlfn.IFS(TABLE_PIVOT[[#This Row],[Duration]]&lt;=10,"Under 10 Mins",TABLE_PIVOT[[#This Row],[Duration]]&lt;=30,"10 to 30 Mins",TABLE_PIVOT[[#This Row],[Duration]]&lt;=60,"30 to 60 Mins",TABLE_PIVOT[[#This Row],[Duration]]&lt;=120,"1 to 2 Hours",TRUE,"More Than 2 Hours")</f>
        <v>1 to 2 Hours</v>
      </c>
      <c r="K797" s="82">
        <f>ROUND(TABLE_PIVOT[[#This Row],[Satisfaction Rating]],0)</f>
        <v>5</v>
      </c>
    </row>
    <row r="798" spans="1:11" x14ac:dyDescent="0.3">
      <c r="A798" s="8" t="s">
        <v>2424</v>
      </c>
      <c r="B798" s="8" t="s">
        <v>1633</v>
      </c>
      <c r="C798" s="8">
        <v>138</v>
      </c>
      <c r="D798" s="120" t="s">
        <v>1626</v>
      </c>
      <c r="E798" s="121">
        <v>45204</v>
      </c>
      <c r="F798" s="8">
        <v>155</v>
      </c>
      <c r="G798" s="8">
        <v>2.7</v>
      </c>
      <c r="H798" s="82">
        <f>IF(MONTH(TABLE_PIVOT[[#This Row],[Date of Call]])&lt;=6,YEAR(TABLE_PIVOT[[#This Row],[Date of Call]]),YEAR(TABLE_PIVOT[[#This Row],[Date of Call]])+1)</f>
        <v>2024</v>
      </c>
      <c r="I798" s="82" t="str">
        <f>TEXT(TABLE_PIVOT[[#This Row],[Date of Call]],"DDDD")</f>
        <v>Thursday</v>
      </c>
      <c r="J798" s="82" t="str" cm="1">
        <f t="array" ref="J798">_xlfn.IFS(TABLE_PIVOT[[#This Row],[Duration]]&lt;=10,"Under 10 Mins",TABLE_PIVOT[[#This Row],[Duration]]&lt;=30,"10 to 30 Mins",TABLE_PIVOT[[#This Row],[Duration]]&lt;=60,"30 to 60 Mins",TABLE_PIVOT[[#This Row],[Duration]]&lt;=120,"1 to 2 Hours",TRUE,"More Than 2 Hours")</f>
        <v>More Than 2 Hours</v>
      </c>
      <c r="K798" s="82">
        <f>ROUND(TABLE_PIVOT[[#This Row],[Satisfaction Rating]],0)</f>
        <v>3</v>
      </c>
    </row>
    <row r="799" spans="1:11" x14ac:dyDescent="0.3">
      <c r="A799" s="8" t="s">
        <v>2425</v>
      </c>
      <c r="B799" s="8" t="s">
        <v>1629</v>
      </c>
      <c r="C799" s="8">
        <v>88</v>
      </c>
      <c r="D799" s="120" t="s">
        <v>1616</v>
      </c>
      <c r="E799" s="121">
        <v>45204</v>
      </c>
      <c r="F799" s="8">
        <v>100</v>
      </c>
      <c r="G799" s="8">
        <v>4.9000000000000004</v>
      </c>
      <c r="H799" s="82">
        <f>IF(MONTH(TABLE_PIVOT[[#This Row],[Date of Call]])&lt;=6,YEAR(TABLE_PIVOT[[#This Row],[Date of Call]]),YEAR(TABLE_PIVOT[[#This Row],[Date of Call]])+1)</f>
        <v>2024</v>
      </c>
      <c r="I799" s="82" t="str">
        <f>TEXT(TABLE_PIVOT[[#This Row],[Date of Call]],"DDDD")</f>
        <v>Thursday</v>
      </c>
      <c r="J799" s="82" t="str" cm="1">
        <f t="array" ref="J799">_xlfn.IFS(TABLE_PIVOT[[#This Row],[Duration]]&lt;=10,"Under 10 Mins",TABLE_PIVOT[[#This Row],[Duration]]&lt;=30,"10 to 30 Mins",TABLE_PIVOT[[#This Row],[Duration]]&lt;=60,"30 to 60 Mins",TABLE_PIVOT[[#This Row],[Duration]]&lt;=120,"1 to 2 Hours",TRUE,"More Than 2 Hours")</f>
        <v>1 to 2 Hours</v>
      </c>
      <c r="K799" s="82">
        <f>ROUND(TABLE_PIVOT[[#This Row],[Satisfaction Rating]],0)</f>
        <v>5</v>
      </c>
    </row>
    <row r="800" spans="1:11" x14ac:dyDescent="0.3">
      <c r="A800" s="8" t="s">
        <v>2426</v>
      </c>
      <c r="B800" s="8" t="s">
        <v>1641</v>
      </c>
      <c r="C800" s="8">
        <v>118</v>
      </c>
      <c r="D800" s="120" t="s">
        <v>1621</v>
      </c>
      <c r="E800" s="121">
        <v>45204</v>
      </c>
      <c r="F800" s="8">
        <v>56</v>
      </c>
      <c r="G800" s="8">
        <v>3.7</v>
      </c>
      <c r="H800" s="82">
        <f>IF(MONTH(TABLE_PIVOT[[#This Row],[Date of Call]])&lt;=6,YEAR(TABLE_PIVOT[[#This Row],[Date of Call]]),YEAR(TABLE_PIVOT[[#This Row],[Date of Call]])+1)</f>
        <v>2024</v>
      </c>
      <c r="I800" s="82" t="str">
        <f>TEXT(TABLE_PIVOT[[#This Row],[Date of Call]],"DDDD")</f>
        <v>Thursday</v>
      </c>
      <c r="J800" s="82" t="str" cm="1">
        <f t="array" ref="J800">_xlfn.IFS(TABLE_PIVOT[[#This Row],[Duration]]&lt;=10,"Under 10 Mins",TABLE_PIVOT[[#This Row],[Duration]]&lt;=30,"10 to 30 Mins",TABLE_PIVOT[[#This Row],[Duration]]&lt;=60,"30 to 60 Mins",TABLE_PIVOT[[#This Row],[Duration]]&lt;=120,"1 to 2 Hours",TRUE,"More Than 2 Hours")</f>
        <v>1 to 2 Hours</v>
      </c>
      <c r="K800" s="82">
        <f>ROUND(TABLE_PIVOT[[#This Row],[Satisfaction Rating]],0)</f>
        <v>4</v>
      </c>
    </row>
    <row r="801" spans="1:11" x14ac:dyDescent="0.3">
      <c r="A801" s="8" t="s">
        <v>2427</v>
      </c>
      <c r="B801" s="8" t="s">
        <v>1620</v>
      </c>
      <c r="C801" s="8">
        <v>4</v>
      </c>
      <c r="D801" s="120" t="s">
        <v>1611</v>
      </c>
      <c r="E801" s="121">
        <v>45204</v>
      </c>
      <c r="F801" s="8">
        <v>170</v>
      </c>
      <c r="G801" s="8">
        <v>3.9</v>
      </c>
      <c r="H801" s="82">
        <f>IF(MONTH(TABLE_PIVOT[[#This Row],[Date of Call]])&lt;=6,YEAR(TABLE_PIVOT[[#This Row],[Date of Call]]),YEAR(TABLE_PIVOT[[#This Row],[Date of Call]])+1)</f>
        <v>2024</v>
      </c>
      <c r="I801" s="82" t="str">
        <f>TEXT(TABLE_PIVOT[[#This Row],[Date of Call]],"DDDD")</f>
        <v>Thursday</v>
      </c>
      <c r="J801" s="82" t="str" cm="1">
        <f t="array" ref="J801">_xlfn.IFS(TABLE_PIVOT[[#This Row],[Duration]]&lt;=10,"Under 10 Mins",TABLE_PIVOT[[#This Row],[Duration]]&lt;=30,"10 to 30 Mins",TABLE_PIVOT[[#This Row],[Duration]]&lt;=60,"30 to 60 Mins",TABLE_PIVOT[[#This Row],[Duration]]&lt;=120,"1 to 2 Hours",TRUE,"More Than 2 Hours")</f>
        <v>Under 10 Mins</v>
      </c>
      <c r="K801" s="82">
        <f>ROUND(TABLE_PIVOT[[#This Row],[Satisfaction Rating]],0)</f>
        <v>4</v>
      </c>
    </row>
    <row r="802" spans="1:11" x14ac:dyDescent="0.3">
      <c r="A802" s="8" t="s">
        <v>2428</v>
      </c>
      <c r="B802" s="8" t="s">
        <v>1662</v>
      </c>
      <c r="C802" s="8">
        <v>78</v>
      </c>
      <c r="D802" s="120" t="s">
        <v>1630</v>
      </c>
      <c r="E802" s="121">
        <v>45205</v>
      </c>
      <c r="F802" s="8">
        <v>74</v>
      </c>
      <c r="G802" s="8">
        <v>3.5</v>
      </c>
      <c r="H802" s="82">
        <f>IF(MONTH(TABLE_PIVOT[[#This Row],[Date of Call]])&lt;=6,YEAR(TABLE_PIVOT[[#This Row],[Date of Call]]),YEAR(TABLE_PIVOT[[#This Row],[Date of Call]])+1)</f>
        <v>2024</v>
      </c>
      <c r="I802" s="82" t="str">
        <f>TEXT(TABLE_PIVOT[[#This Row],[Date of Call]],"DDDD")</f>
        <v>Friday</v>
      </c>
      <c r="J802" s="82" t="str" cm="1">
        <f t="array" ref="J802">_xlfn.IFS(TABLE_PIVOT[[#This Row],[Duration]]&lt;=10,"Under 10 Mins",TABLE_PIVOT[[#This Row],[Duration]]&lt;=30,"10 to 30 Mins",TABLE_PIVOT[[#This Row],[Duration]]&lt;=60,"30 to 60 Mins",TABLE_PIVOT[[#This Row],[Duration]]&lt;=120,"1 to 2 Hours",TRUE,"More Than 2 Hours")</f>
        <v>1 to 2 Hours</v>
      </c>
      <c r="K802" s="82">
        <f>ROUND(TABLE_PIVOT[[#This Row],[Satisfaction Rating]],0)</f>
        <v>4</v>
      </c>
    </row>
    <row r="803" spans="1:11" x14ac:dyDescent="0.3">
      <c r="A803" s="8" t="s">
        <v>2429</v>
      </c>
      <c r="B803" s="8" t="s">
        <v>1644</v>
      </c>
      <c r="C803" s="8">
        <v>69</v>
      </c>
      <c r="D803" s="120" t="s">
        <v>1611</v>
      </c>
      <c r="E803" s="121">
        <v>45205</v>
      </c>
      <c r="F803" s="8">
        <v>99</v>
      </c>
      <c r="G803" s="8">
        <v>2.7</v>
      </c>
      <c r="H803" s="82">
        <f>IF(MONTH(TABLE_PIVOT[[#This Row],[Date of Call]])&lt;=6,YEAR(TABLE_PIVOT[[#This Row],[Date of Call]]),YEAR(TABLE_PIVOT[[#This Row],[Date of Call]])+1)</f>
        <v>2024</v>
      </c>
      <c r="I803" s="82" t="str">
        <f>TEXT(TABLE_PIVOT[[#This Row],[Date of Call]],"DDDD")</f>
        <v>Friday</v>
      </c>
      <c r="J803" s="82" t="str" cm="1">
        <f t="array" ref="J803">_xlfn.IFS(TABLE_PIVOT[[#This Row],[Duration]]&lt;=10,"Under 10 Mins",TABLE_PIVOT[[#This Row],[Duration]]&lt;=30,"10 to 30 Mins",TABLE_PIVOT[[#This Row],[Duration]]&lt;=60,"30 to 60 Mins",TABLE_PIVOT[[#This Row],[Duration]]&lt;=120,"1 to 2 Hours",TRUE,"More Than 2 Hours")</f>
        <v>1 to 2 Hours</v>
      </c>
      <c r="K803" s="82">
        <f>ROUND(TABLE_PIVOT[[#This Row],[Satisfaction Rating]],0)</f>
        <v>3</v>
      </c>
    </row>
    <row r="804" spans="1:11" x14ac:dyDescent="0.3">
      <c r="A804" s="8" t="s">
        <v>2430</v>
      </c>
      <c r="B804" s="8" t="s">
        <v>1624</v>
      </c>
      <c r="C804" s="8">
        <v>90</v>
      </c>
      <c r="D804" s="120" t="s">
        <v>1626</v>
      </c>
      <c r="E804" s="121">
        <v>45205</v>
      </c>
      <c r="F804" s="8">
        <v>84</v>
      </c>
      <c r="G804" s="8">
        <v>3.9</v>
      </c>
      <c r="H804" s="82">
        <f>IF(MONTH(TABLE_PIVOT[[#This Row],[Date of Call]])&lt;=6,YEAR(TABLE_PIVOT[[#This Row],[Date of Call]]),YEAR(TABLE_PIVOT[[#This Row],[Date of Call]])+1)</f>
        <v>2024</v>
      </c>
      <c r="I804" s="82" t="str">
        <f>TEXT(TABLE_PIVOT[[#This Row],[Date of Call]],"DDDD")</f>
        <v>Friday</v>
      </c>
      <c r="J804" s="82" t="str" cm="1">
        <f t="array" ref="J804">_xlfn.IFS(TABLE_PIVOT[[#This Row],[Duration]]&lt;=10,"Under 10 Mins",TABLE_PIVOT[[#This Row],[Duration]]&lt;=30,"10 to 30 Mins",TABLE_PIVOT[[#This Row],[Duration]]&lt;=60,"30 to 60 Mins",TABLE_PIVOT[[#This Row],[Duration]]&lt;=120,"1 to 2 Hours",TRUE,"More Than 2 Hours")</f>
        <v>1 to 2 Hours</v>
      </c>
      <c r="K804" s="82">
        <f>ROUND(TABLE_PIVOT[[#This Row],[Satisfaction Rating]],0)</f>
        <v>4</v>
      </c>
    </row>
    <row r="805" spans="1:11" x14ac:dyDescent="0.3">
      <c r="A805" s="8" t="s">
        <v>2431</v>
      </c>
      <c r="B805" s="8" t="s">
        <v>1644</v>
      </c>
      <c r="C805" s="8">
        <v>134</v>
      </c>
      <c r="D805" s="120" t="s">
        <v>1611</v>
      </c>
      <c r="E805" s="121">
        <v>45205</v>
      </c>
      <c r="F805" s="8">
        <v>35</v>
      </c>
      <c r="G805" s="8">
        <v>3.4</v>
      </c>
      <c r="H805" s="82">
        <f>IF(MONTH(TABLE_PIVOT[[#This Row],[Date of Call]])&lt;=6,YEAR(TABLE_PIVOT[[#This Row],[Date of Call]]),YEAR(TABLE_PIVOT[[#This Row],[Date of Call]])+1)</f>
        <v>2024</v>
      </c>
      <c r="I805" s="82" t="str">
        <f>TEXT(TABLE_PIVOT[[#This Row],[Date of Call]],"DDDD")</f>
        <v>Friday</v>
      </c>
      <c r="J805" s="82" t="str" cm="1">
        <f t="array" ref="J805">_xlfn.IFS(TABLE_PIVOT[[#This Row],[Duration]]&lt;=10,"Under 10 Mins",TABLE_PIVOT[[#This Row],[Duration]]&lt;=30,"10 to 30 Mins",TABLE_PIVOT[[#This Row],[Duration]]&lt;=60,"30 to 60 Mins",TABLE_PIVOT[[#This Row],[Duration]]&lt;=120,"1 to 2 Hours",TRUE,"More Than 2 Hours")</f>
        <v>More Than 2 Hours</v>
      </c>
      <c r="K805" s="82">
        <f>ROUND(TABLE_PIVOT[[#This Row],[Satisfaction Rating]],0)</f>
        <v>3</v>
      </c>
    </row>
    <row r="806" spans="1:11" x14ac:dyDescent="0.3">
      <c r="A806" s="8" t="s">
        <v>2432</v>
      </c>
      <c r="B806" s="8" t="s">
        <v>1613</v>
      </c>
      <c r="C806" s="8">
        <v>65</v>
      </c>
      <c r="D806" s="120" t="s">
        <v>1621</v>
      </c>
      <c r="E806" s="121">
        <v>45205</v>
      </c>
      <c r="F806" s="8">
        <v>150</v>
      </c>
      <c r="G806" s="8">
        <v>5</v>
      </c>
      <c r="H806" s="82">
        <f>IF(MONTH(TABLE_PIVOT[[#This Row],[Date of Call]])&lt;=6,YEAR(TABLE_PIVOT[[#This Row],[Date of Call]]),YEAR(TABLE_PIVOT[[#This Row],[Date of Call]])+1)</f>
        <v>2024</v>
      </c>
      <c r="I806" s="82" t="str">
        <f>TEXT(TABLE_PIVOT[[#This Row],[Date of Call]],"DDDD")</f>
        <v>Friday</v>
      </c>
      <c r="J806" s="82" t="str" cm="1">
        <f t="array" ref="J806">_xlfn.IFS(TABLE_PIVOT[[#This Row],[Duration]]&lt;=10,"Under 10 Mins",TABLE_PIVOT[[#This Row],[Duration]]&lt;=30,"10 to 30 Mins",TABLE_PIVOT[[#This Row],[Duration]]&lt;=60,"30 to 60 Mins",TABLE_PIVOT[[#This Row],[Duration]]&lt;=120,"1 to 2 Hours",TRUE,"More Than 2 Hours")</f>
        <v>1 to 2 Hours</v>
      </c>
      <c r="K806" s="82">
        <f>ROUND(TABLE_PIVOT[[#This Row],[Satisfaction Rating]],0)</f>
        <v>5</v>
      </c>
    </row>
    <row r="807" spans="1:11" x14ac:dyDescent="0.3">
      <c r="A807" s="8" t="s">
        <v>2433</v>
      </c>
      <c r="B807" s="8" t="s">
        <v>1615</v>
      </c>
      <c r="C807" s="8">
        <v>54</v>
      </c>
      <c r="D807" s="120" t="s">
        <v>1630</v>
      </c>
      <c r="E807" s="121">
        <v>45206</v>
      </c>
      <c r="F807" s="8">
        <v>176</v>
      </c>
      <c r="G807" s="8">
        <v>4.4000000000000004</v>
      </c>
      <c r="H807" s="82">
        <f>IF(MONTH(TABLE_PIVOT[[#This Row],[Date of Call]])&lt;=6,YEAR(TABLE_PIVOT[[#This Row],[Date of Call]]),YEAR(TABLE_PIVOT[[#This Row],[Date of Call]])+1)</f>
        <v>2024</v>
      </c>
      <c r="I807" s="82" t="str">
        <f>TEXT(TABLE_PIVOT[[#This Row],[Date of Call]],"DDDD")</f>
        <v>Saturday</v>
      </c>
      <c r="J807" s="82" t="str" cm="1">
        <f t="array" ref="J807">_xlfn.IFS(TABLE_PIVOT[[#This Row],[Duration]]&lt;=10,"Under 10 Mins",TABLE_PIVOT[[#This Row],[Duration]]&lt;=30,"10 to 30 Mins",TABLE_PIVOT[[#This Row],[Duration]]&lt;=60,"30 to 60 Mins",TABLE_PIVOT[[#This Row],[Duration]]&lt;=120,"1 to 2 Hours",TRUE,"More Than 2 Hours")</f>
        <v>30 to 60 Mins</v>
      </c>
      <c r="K807" s="82">
        <f>ROUND(TABLE_PIVOT[[#This Row],[Satisfaction Rating]],0)</f>
        <v>4</v>
      </c>
    </row>
    <row r="808" spans="1:11" x14ac:dyDescent="0.3">
      <c r="A808" s="8" t="s">
        <v>2434</v>
      </c>
      <c r="B808" s="8" t="s">
        <v>1615</v>
      </c>
      <c r="C808" s="8">
        <v>90</v>
      </c>
      <c r="D808" s="120" t="s">
        <v>1630</v>
      </c>
      <c r="E808" s="121">
        <v>45206</v>
      </c>
      <c r="F808" s="8">
        <v>84</v>
      </c>
      <c r="G808" s="8">
        <v>4.3</v>
      </c>
      <c r="H808" s="82">
        <f>IF(MONTH(TABLE_PIVOT[[#This Row],[Date of Call]])&lt;=6,YEAR(TABLE_PIVOT[[#This Row],[Date of Call]]),YEAR(TABLE_PIVOT[[#This Row],[Date of Call]])+1)</f>
        <v>2024</v>
      </c>
      <c r="I808" s="82" t="str">
        <f>TEXT(TABLE_PIVOT[[#This Row],[Date of Call]],"DDDD")</f>
        <v>Saturday</v>
      </c>
      <c r="J808" s="82" t="str" cm="1">
        <f t="array" ref="J808">_xlfn.IFS(TABLE_PIVOT[[#This Row],[Duration]]&lt;=10,"Under 10 Mins",TABLE_PIVOT[[#This Row],[Duration]]&lt;=30,"10 to 30 Mins",TABLE_PIVOT[[#This Row],[Duration]]&lt;=60,"30 to 60 Mins",TABLE_PIVOT[[#This Row],[Duration]]&lt;=120,"1 to 2 Hours",TRUE,"More Than 2 Hours")</f>
        <v>1 to 2 Hours</v>
      </c>
      <c r="K808" s="82">
        <f>ROUND(TABLE_PIVOT[[#This Row],[Satisfaction Rating]],0)</f>
        <v>4</v>
      </c>
    </row>
    <row r="809" spans="1:11" x14ac:dyDescent="0.3">
      <c r="A809" s="8" t="s">
        <v>2435</v>
      </c>
      <c r="B809" s="8" t="s">
        <v>1624</v>
      </c>
      <c r="C809" s="8">
        <v>66</v>
      </c>
      <c r="D809" s="120" t="s">
        <v>1630</v>
      </c>
      <c r="E809" s="121">
        <v>45206</v>
      </c>
      <c r="F809" s="8">
        <v>136</v>
      </c>
      <c r="G809" s="8">
        <v>4.7</v>
      </c>
      <c r="H809" s="82">
        <f>IF(MONTH(TABLE_PIVOT[[#This Row],[Date of Call]])&lt;=6,YEAR(TABLE_PIVOT[[#This Row],[Date of Call]]),YEAR(TABLE_PIVOT[[#This Row],[Date of Call]])+1)</f>
        <v>2024</v>
      </c>
      <c r="I809" s="82" t="str">
        <f>TEXT(TABLE_PIVOT[[#This Row],[Date of Call]],"DDDD")</f>
        <v>Saturday</v>
      </c>
      <c r="J809" s="82" t="str" cm="1">
        <f t="array" ref="J809">_xlfn.IFS(TABLE_PIVOT[[#This Row],[Duration]]&lt;=10,"Under 10 Mins",TABLE_PIVOT[[#This Row],[Duration]]&lt;=30,"10 to 30 Mins",TABLE_PIVOT[[#This Row],[Duration]]&lt;=60,"30 to 60 Mins",TABLE_PIVOT[[#This Row],[Duration]]&lt;=120,"1 to 2 Hours",TRUE,"More Than 2 Hours")</f>
        <v>1 to 2 Hours</v>
      </c>
      <c r="K809" s="82">
        <f>ROUND(TABLE_PIVOT[[#This Row],[Satisfaction Rating]],0)</f>
        <v>5</v>
      </c>
    </row>
    <row r="810" spans="1:11" x14ac:dyDescent="0.3">
      <c r="A810" s="8" t="s">
        <v>2436</v>
      </c>
      <c r="B810" s="8" t="s">
        <v>1620</v>
      </c>
      <c r="C810" s="8">
        <v>150</v>
      </c>
      <c r="D810" s="120" t="s">
        <v>1630</v>
      </c>
      <c r="E810" s="121">
        <v>45207</v>
      </c>
      <c r="F810" s="8">
        <v>70</v>
      </c>
      <c r="G810" s="8">
        <v>4.0999999999999996</v>
      </c>
      <c r="H810" s="82">
        <f>IF(MONTH(TABLE_PIVOT[[#This Row],[Date of Call]])&lt;=6,YEAR(TABLE_PIVOT[[#This Row],[Date of Call]]),YEAR(TABLE_PIVOT[[#This Row],[Date of Call]])+1)</f>
        <v>2024</v>
      </c>
      <c r="I810" s="82" t="str">
        <f>TEXT(TABLE_PIVOT[[#This Row],[Date of Call]],"DDDD")</f>
        <v>Sunday</v>
      </c>
      <c r="J810" s="82" t="str" cm="1">
        <f t="array" ref="J810">_xlfn.IFS(TABLE_PIVOT[[#This Row],[Duration]]&lt;=10,"Under 10 Mins",TABLE_PIVOT[[#This Row],[Duration]]&lt;=30,"10 to 30 Mins",TABLE_PIVOT[[#This Row],[Duration]]&lt;=60,"30 to 60 Mins",TABLE_PIVOT[[#This Row],[Duration]]&lt;=120,"1 to 2 Hours",TRUE,"More Than 2 Hours")</f>
        <v>More Than 2 Hours</v>
      </c>
      <c r="K810" s="82">
        <f>ROUND(TABLE_PIVOT[[#This Row],[Satisfaction Rating]],0)</f>
        <v>4</v>
      </c>
    </row>
    <row r="811" spans="1:11" x14ac:dyDescent="0.3">
      <c r="A811" s="8" t="s">
        <v>2437</v>
      </c>
      <c r="B811" s="8" t="s">
        <v>1635</v>
      </c>
      <c r="C811" s="8">
        <v>18</v>
      </c>
      <c r="D811" s="120" t="s">
        <v>1621</v>
      </c>
      <c r="E811" s="121">
        <v>45207</v>
      </c>
      <c r="F811" s="8">
        <v>96</v>
      </c>
      <c r="G811" s="8">
        <v>4.8</v>
      </c>
      <c r="H811" s="82">
        <f>IF(MONTH(TABLE_PIVOT[[#This Row],[Date of Call]])&lt;=6,YEAR(TABLE_PIVOT[[#This Row],[Date of Call]]),YEAR(TABLE_PIVOT[[#This Row],[Date of Call]])+1)</f>
        <v>2024</v>
      </c>
      <c r="I811" s="82" t="str">
        <f>TEXT(TABLE_PIVOT[[#This Row],[Date of Call]],"DDDD")</f>
        <v>Sunday</v>
      </c>
      <c r="J811" s="82" t="str" cm="1">
        <f t="array" ref="J811">_xlfn.IFS(TABLE_PIVOT[[#This Row],[Duration]]&lt;=10,"Under 10 Mins",TABLE_PIVOT[[#This Row],[Duration]]&lt;=30,"10 to 30 Mins",TABLE_PIVOT[[#This Row],[Duration]]&lt;=60,"30 to 60 Mins",TABLE_PIVOT[[#This Row],[Duration]]&lt;=120,"1 to 2 Hours",TRUE,"More Than 2 Hours")</f>
        <v>10 to 30 Mins</v>
      </c>
      <c r="K811" s="82">
        <f>ROUND(TABLE_PIVOT[[#This Row],[Satisfaction Rating]],0)</f>
        <v>5</v>
      </c>
    </row>
    <row r="812" spans="1:11" x14ac:dyDescent="0.3">
      <c r="A812" s="8" t="s">
        <v>2438</v>
      </c>
      <c r="B812" s="8" t="s">
        <v>1615</v>
      </c>
      <c r="C812" s="8">
        <v>87</v>
      </c>
      <c r="D812" s="120" t="s">
        <v>1621</v>
      </c>
      <c r="E812" s="121">
        <v>45207</v>
      </c>
      <c r="F812" s="8">
        <v>23</v>
      </c>
      <c r="G812" s="8">
        <v>4.2</v>
      </c>
      <c r="H812" s="82">
        <f>IF(MONTH(TABLE_PIVOT[[#This Row],[Date of Call]])&lt;=6,YEAR(TABLE_PIVOT[[#This Row],[Date of Call]]),YEAR(TABLE_PIVOT[[#This Row],[Date of Call]])+1)</f>
        <v>2024</v>
      </c>
      <c r="I812" s="82" t="str">
        <f>TEXT(TABLE_PIVOT[[#This Row],[Date of Call]],"DDDD")</f>
        <v>Sunday</v>
      </c>
      <c r="J812" s="82" t="str" cm="1">
        <f t="array" ref="J812">_xlfn.IFS(TABLE_PIVOT[[#This Row],[Duration]]&lt;=10,"Under 10 Mins",TABLE_PIVOT[[#This Row],[Duration]]&lt;=30,"10 to 30 Mins",TABLE_PIVOT[[#This Row],[Duration]]&lt;=60,"30 to 60 Mins",TABLE_PIVOT[[#This Row],[Duration]]&lt;=120,"1 to 2 Hours",TRUE,"More Than 2 Hours")</f>
        <v>1 to 2 Hours</v>
      </c>
      <c r="K812" s="82">
        <f>ROUND(TABLE_PIVOT[[#This Row],[Satisfaction Rating]],0)</f>
        <v>4</v>
      </c>
    </row>
    <row r="813" spans="1:11" x14ac:dyDescent="0.3">
      <c r="A813" s="8" t="s">
        <v>2439</v>
      </c>
      <c r="B813" s="8" t="s">
        <v>1633</v>
      </c>
      <c r="C813" s="8">
        <v>94</v>
      </c>
      <c r="D813" s="120" t="s">
        <v>1630</v>
      </c>
      <c r="E813" s="121">
        <v>45208</v>
      </c>
      <c r="F813" s="8">
        <v>120</v>
      </c>
      <c r="G813" s="8">
        <v>3.4</v>
      </c>
      <c r="H813" s="82">
        <f>IF(MONTH(TABLE_PIVOT[[#This Row],[Date of Call]])&lt;=6,YEAR(TABLE_PIVOT[[#This Row],[Date of Call]]),YEAR(TABLE_PIVOT[[#This Row],[Date of Call]])+1)</f>
        <v>2024</v>
      </c>
      <c r="I813" s="82" t="str">
        <f>TEXT(TABLE_PIVOT[[#This Row],[Date of Call]],"DDDD")</f>
        <v>Monday</v>
      </c>
      <c r="J813" s="82" t="str" cm="1">
        <f t="array" ref="J813">_xlfn.IFS(TABLE_PIVOT[[#This Row],[Duration]]&lt;=10,"Under 10 Mins",TABLE_PIVOT[[#This Row],[Duration]]&lt;=30,"10 to 30 Mins",TABLE_PIVOT[[#This Row],[Duration]]&lt;=60,"30 to 60 Mins",TABLE_PIVOT[[#This Row],[Duration]]&lt;=120,"1 to 2 Hours",TRUE,"More Than 2 Hours")</f>
        <v>1 to 2 Hours</v>
      </c>
      <c r="K813" s="82">
        <f>ROUND(TABLE_PIVOT[[#This Row],[Satisfaction Rating]],0)</f>
        <v>3</v>
      </c>
    </row>
    <row r="814" spans="1:11" x14ac:dyDescent="0.3">
      <c r="A814" s="8" t="s">
        <v>2440</v>
      </c>
      <c r="B814" s="8" t="s">
        <v>1652</v>
      </c>
      <c r="C814" s="8">
        <v>56</v>
      </c>
      <c r="D814" s="120" t="s">
        <v>1630</v>
      </c>
      <c r="E814" s="121">
        <v>45208</v>
      </c>
      <c r="F814" s="8">
        <v>205</v>
      </c>
      <c r="G814" s="8">
        <v>3.3</v>
      </c>
      <c r="H814" s="82">
        <f>IF(MONTH(TABLE_PIVOT[[#This Row],[Date of Call]])&lt;=6,YEAR(TABLE_PIVOT[[#This Row],[Date of Call]]),YEAR(TABLE_PIVOT[[#This Row],[Date of Call]])+1)</f>
        <v>2024</v>
      </c>
      <c r="I814" s="82" t="str">
        <f>TEXT(TABLE_PIVOT[[#This Row],[Date of Call]],"DDDD")</f>
        <v>Monday</v>
      </c>
      <c r="J814" s="82" t="str" cm="1">
        <f t="array" ref="J814">_xlfn.IFS(TABLE_PIVOT[[#This Row],[Duration]]&lt;=10,"Under 10 Mins",TABLE_PIVOT[[#This Row],[Duration]]&lt;=30,"10 to 30 Mins",TABLE_PIVOT[[#This Row],[Duration]]&lt;=60,"30 to 60 Mins",TABLE_PIVOT[[#This Row],[Duration]]&lt;=120,"1 to 2 Hours",TRUE,"More Than 2 Hours")</f>
        <v>30 to 60 Mins</v>
      </c>
      <c r="K814" s="82">
        <f>ROUND(TABLE_PIVOT[[#This Row],[Satisfaction Rating]],0)</f>
        <v>3</v>
      </c>
    </row>
    <row r="815" spans="1:11" x14ac:dyDescent="0.3">
      <c r="A815" s="8" t="s">
        <v>2441</v>
      </c>
      <c r="B815" s="8" t="s">
        <v>1641</v>
      </c>
      <c r="C815" s="8">
        <v>41</v>
      </c>
      <c r="D815" s="120" t="s">
        <v>1616</v>
      </c>
      <c r="E815" s="121">
        <v>45209</v>
      </c>
      <c r="F815" s="8">
        <v>42</v>
      </c>
      <c r="G815" s="8">
        <v>3.8</v>
      </c>
      <c r="H815" s="82">
        <f>IF(MONTH(TABLE_PIVOT[[#This Row],[Date of Call]])&lt;=6,YEAR(TABLE_PIVOT[[#This Row],[Date of Call]]),YEAR(TABLE_PIVOT[[#This Row],[Date of Call]])+1)</f>
        <v>2024</v>
      </c>
      <c r="I815" s="82" t="str">
        <f>TEXT(TABLE_PIVOT[[#This Row],[Date of Call]],"DDDD")</f>
        <v>Tuesday</v>
      </c>
      <c r="J815" s="82" t="str" cm="1">
        <f t="array" ref="J815">_xlfn.IFS(TABLE_PIVOT[[#This Row],[Duration]]&lt;=10,"Under 10 Mins",TABLE_PIVOT[[#This Row],[Duration]]&lt;=30,"10 to 30 Mins",TABLE_PIVOT[[#This Row],[Duration]]&lt;=60,"30 to 60 Mins",TABLE_PIVOT[[#This Row],[Duration]]&lt;=120,"1 to 2 Hours",TRUE,"More Than 2 Hours")</f>
        <v>30 to 60 Mins</v>
      </c>
      <c r="K815" s="82">
        <f>ROUND(TABLE_PIVOT[[#This Row],[Satisfaction Rating]],0)</f>
        <v>4</v>
      </c>
    </row>
    <row r="816" spans="1:11" x14ac:dyDescent="0.3">
      <c r="A816" s="8" t="s">
        <v>2442</v>
      </c>
      <c r="B816" s="8" t="s">
        <v>1620</v>
      </c>
      <c r="C816" s="8">
        <v>119</v>
      </c>
      <c r="D816" s="120" t="s">
        <v>1626</v>
      </c>
      <c r="E816" s="121">
        <v>45209</v>
      </c>
      <c r="F816" s="8">
        <v>111</v>
      </c>
      <c r="G816" s="8">
        <v>3.9</v>
      </c>
      <c r="H816" s="82">
        <f>IF(MONTH(TABLE_PIVOT[[#This Row],[Date of Call]])&lt;=6,YEAR(TABLE_PIVOT[[#This Row],[Date of Call]]),YEAR(TABLE_PIVOT[[#This Row],[Date of Call]])+1)</f>
        <v>2024</v>
      </c>
      <c r="I816" s="82" t="str">
        <f>TEXT(TABLE_PIVOT[[#This Row],[Date of Call]],"DDDD")</f>
        <v>Tuesday</v>
      </c>
      <c r="J816" s="82" t="str" cm="1">
        <f t="array" ref="J816">_xlfn.IFS(TABLE_PIVOT[[#This Row],[Duration]]&lt;=10,"Under 10 Mins",TABLE_PIVOT[[#This Row],[Duration]]&lt;=30,"10 to 30 Mins",TABLE_PIVOT[[#This Row],[Duration]]&lt;=60,"30 to 60 Mins",TABLE_PIVOT[[#This Row],[Duration]]&lt;=120,"1 to 2 Hours",TRUE,"More Than 2 Hours")</f>
        <v>1 to 2 Hours</v>
      </c>
      <c r="K816" s="82">
        <f>ROUND(TABLE_PIVOT[[#This Row],[Satisfaction Rating]],0)</f>
        <v>4</v>
      </c>
    </row>
    <row r="817" spans="1:11" x14ac:dyDescent="0.3">
      <c r="A817" s="8" t="s">
        <v>2443</v>
      </c>
      <c r="B817" s="8" t="s">
        <v>1618</v>
      </c>
      <c r="C817" s="8">
        <v>108</v>
      </c>
      <c r="D817" s="120" t="s">
        <v>1630</v>
      </c>
      <c r="E817" s="121">
        <v>45209</v>
      </c>
      <c r="F817" s="8">
        <v>68</v>
      </c>
      <c r="G817" s="8">
        <v>2.5</v>
      </c>
      <c r="H817" s="82">
        <f>IF(MONTH(TABLE_PIVOT[[#This Row],[Date of Call]])&lt;=6,YEAR(TABLE_PIVOT[[#This Row],[Date of Call]]),YEAR(TABLE_PIVOT[[#This Row],[Date of Call]])+1)</f>
        <v>2024</v>
      </c>
      <c r="I817" s="82" t="str">
        <f>TEXT(TABLE_PIVOT[[#This Row],[Date of Call]],"DDDD")</f>
        <v>Tuesday</v>
      </c>
      <c r="J817" s="82" t="str" cm="1">
        <f t="array" ref="J817">_xlfn.IFS(TABLE_PIVOT[[#This Row],[Duration]]&lt;=10,"Under 10 Mins",TABLE_PIVOT[[#This Row],[Duration]]&lt;=30,"10 to 30 Mins",TABLE_PIVOT[[#This Row],[Duration]]&lt;=60,"30 to 60 Mins",TABLE_PIVOT[[#This Row],[Duration]]&lt;=120,"1 to 2 Hours",TRUE,"More Than 2 Hours")</f>
        <v>1 to 2 Hours</v>
      </c>
      <c r="K817" s="82">
        <f>ROUND(TABLE_PIVOT[[#This Row],[Satisfaction Rating]],0)</f>
        <v>3</v>
      </c>
    </row>
    <row r="818" spans="1:11" x14ac:dyDescent="0.3">
      <c r="A818" s="8" t="s">
        <v>2444</v>
      </c>
      <c r="B818" s="8" t="s">
        <v>1662</v>
      </c>
      <c r="C818" s="8">
        <v>63</v>
      </c>
      <c r="D818" s="120" t="s">
        <v>1611</v>
      </c>
      <c r="E818" s="121">
        <v>45209</v>
      </c>
      <c r="F818" s="8">
        <v>172</v>
      </c>
      <c r="G818" s="8">
        <v>4.9000000000000004</v>
      </c>
      <c r="H818" s="82">
        <f>IF(MONTH(TABLE_PIVOT[[#This Row],[Date of Call]])&lt;=6,YEAR(TABLE_PIVOT[[#This Row],[Date of Call]]),YEAR(TABLE_PIVOT[[#This Row],[Date of Call]])+1)</f>
        <v>2024</v>
      </c>
      <c r="I818" s="82" t="str">
        <f>TEXT(TABLE_PIVOT[[#This Row],[Date of Call]],"DDDD")</f>
        <v>Tuesday</v>
      </c>
      <c r="J818" s="82" t="str" cm="1">
        <f t="array" ref="J818">_xlfn.IFS(TABLE_PIVOT[[#This Row],[Duration]]&lt;=10,"Under 10 Mins",TABLE_PIVOT[[#This Row],[Duration]]&lt;=30,"10 to 30 Mins",TABLE_PIVOT[[#This Row],[Duration]]&lt;=60,"30 to 60 Mins",TABLE_PIVOT[[#This Row],[Duration]]&lt;=120,"1 to 2 Hours",TRUE,"More Than 2 Hours")</f>
        <v>1 to 2 Hours</v>
      </c>
      <c r="K818" s="82">
        <f>ROUND(TABLE_PIVOT[[#This Row],[Satisfaction Rating]],0)</f>
        <v>5</v>
      </c>
    </row>
    <row r="819" spans="1:11" x14ac:dyDescent="0.3">
      <c r="A819" s="8" t="s">
        <v>2445</v>
      </c>
      <c r="B819" s="8" t="s">
        <v>1649</v>
      </c>
      <c r="C819" s="8">
        <v>59</v>
      </c>
      <c r="D819" s="120" t="s">
        <v>1630</v>
      </c>
      <c r="E819" s="121">
        <v>45209</v>
      </c>
      <c r="F819" s="8">
        <v>152</v>
      </c>
      <c r="G819" s="8">
        <v>4.8</v>
      </c>
      <c r="H819" s="82">
        <f>IF(MONTH(TABLE_PIVOT[[#This Row],[Date of Call]])&lt;=6,YEAR(TABLE_PIVOT[[#This Row],[Date of Call]]),YEAR(TABLE_PIVOT[[#This Row],[Date of Call]])+1)</f>
        <v>2024</v>
      </c>
      <c r="I819" s="82" t="str">
        <f>TEXT(TABLE_PIVOT[[#This Row],[Date of Call]],"DDDD")</f>
        <v>Tuesday</v>
      </c>
      <c r="J819" s="82" t="str" cm="1">
        <f t="array" ref="J819">_xlfn.IFS(TABLE_PIVOT[[#This Row],[Duration]]&lt;=10,"Under 10 Mins",TABLE_PIVOT[[#This Row],[Duration]]&lt;=30,"10 to 30 Mins",TABLE_PIVOT[[#This Row],[Duration]]&lt;=60,"30 to 60 Mins",TABLE_PIVOT[[#This Row],[Duration]]&lt;=120,"1 to 2 Hours",TRUE,"More Than 2 Hours")</f>
        <v>30 to 60 Mins</v>
      </c>
      <c r="K819" s="82">
        <f>ROUND(TABLE_PIVOT[[#This Row],[Satisfaction Rating]],0)</f>
        <v>5</v>
      </c>
    </row>
    <row r="820" spans="1:11" x14ac:dyDescent="0.3">
      <c r="A820" s="8" t="s">
        <v>2446</v>
      </c>
      <c r="B820" s="8" t="s">
        <v>1649</v>
      </c>
      <c r="C820" s="8">
        <v>90</v>
      </c>
      <c r="D820" s="120" t="s">
        <v>1616</v>
      </c>
      <c r="E820" s="121">
        <v>45209</v>
      </c>
      <c r="F820" s="8">
        <v>48</v>
      </c>
      <c r="G820" s="8">
        <v>4.7</v>
      </c>
      <c r="H820" s="82">
        <f>IF(MONTH(TABLE_PIVOT[[#This Row],[Date of Call]])&lt;=6,YEAR(TABLE_PIVOT[[#This Row],[Date of Call]]),YEAR(TABLE_PIVOT[[#This Row],[Date of Call]])+1)</f>
        <v>2024</v>
      </c>
      <c r="I820" s="82" t="str">
        <f>TEXT(TABLE_PIVOT[[#This Row],[Date of Call]],"DDDD")</f>
        <v>Tuesday</v>
      </c>
      <c r="J820" s="82" t="str" cm="1">
        <f t="array" ref="J820">_xlfn.IFS(TABLE_PIVOT[[#This Row],[Duration]]&lt;=10,"Under 10 Mins",TABLE_PIVOT[[#This Row],[Duration]]&lt;=30,"10 to 30 Mins",TABLE_PIVOT[[#This Row],[Duration]]&lt;=60,"30 to 60 Mins",TABLE_PIVOT[[#This Row],[Duration]]&lt;=120,"1 to 2 Hours",TRUE,"More Than 2 Hours")</f>
        <v>1 to 2 Hours</v>
      </c>
      <c r="K820" s="82">
        <f>ROUND(TABLE_PIVOT[[#This Row],[Satisfaction Rating]],0)</f>
        <v>5</v>
      </c>
    </row>
    <row r="821" spans="1:11" x14ac:dyDescent="0.3">
      <c r="A821" s="8" t="s">
        <v>2447</v>
      </c>
      <c r="B821" s="8" t="s">
        <v>1629</v>
      </c>
      <c r="C821" s="8">
        <v>55</v>
      </c>
      <c r="D821" s="120" t="s">
        <v>1616</v>
      </c>
      <c r="E821" s="121">
        <v>45209</v>
      </c>
      <c r="F821" s="8">
        <v>25</v>
      </c>
      <c r="G821" s="8">
        <v>4.7</v>
      </c>
      <c r="H821" s="82">
        <f>IF(MONTH(TABLE_PIVOT[[#This Row],[Date of Call]])&lt;=6,YEAR(TABLE_PIVOT[[#This Row],[Date of Call]]),YEAR(TABLE_PIVOT[[#This Row],[Date of Call]])+1)</f>
        <v>2024</v>
      </c>
      <c r="I821" s="82" t="str">
        <f>TEXT(TABLE_PIVOT[[#This Row],[Date of Call]],"DDDD")</f>
        <v>Tuesday</v>
      </c>
      <c r="J821" s="82" t="str" cm="1">
        <f t="array" ref="J821">_xlfn.IFS(TABLE_PIVOT[[#This Row],[Duration]]&lt;=10,"Under 10 Mins",TABLE_PIVOT[[#This Row],[Duration]]&lt;=30,"10 to 30 Mins",TABLE_PIVOT[[#This Row],[Duration]]&lt;=60,"30 to 60 Mins",TABLE_PIVOT[[#This Row],[Duration]]&lt;=120,"1 to 2 Hours",TRUE,"More Than 2 Hours")</f>
        <v>30 to 60 Mins</v>
      </c>
      <c r="K821" s="82">
        <f>ROUND(TABLE_PIVOT[[#This Row],[Satisfaction Rating]],0)</f>
        <v>5</v>
      </c>
    </row>
    <row r="822" spans="1:11" x14ac:dyDescent="0.3">
      <c r="A822" s="8" t="s">
        <v>2448</v>
      </c>
      <c r="B822" s="8" t="s">
        <v>1618</v>
      </c>
      <c r="C822" s="8">
        <v>84</v>
      </c>
      <c r="D822" s="120" t="s">
        <v>1626</v>
      </c>
      <c r="E822" s="121">
        <v>45210</v>
      </c>
      <c r="F822" s="8">
        <v>54</v>
      </c>
      <c r="G822" s="8">
        <v>3.3</v>
      </c>
      <c r="H822" s="82">
        <f>IF(MONTH(TABLE_PIVOT[[#This Row],[Date of Call]])&lt;=6,YEAR(TABLE_PIVOT[[#This Row],[Date of Call]]),YEAR(TABLE_PIVOT[[#This Row],[Date of Call]])+1)</f>
        <v>2024</v>
      </c>
      <c r="I822" s="82" t="str">
        <f>TEXT(TABLE_PIVOT[[#This Row],[Date of Call]],"DDDD")</f>
        <v>Wednesday</v>
      </c>
      <c r="J822" s="82" t="str" cm="1">
        <f t="array" ref="J822">_xlfn.IFS(TABLE_PIVOT[[#This Row],[Duration]]&lt;=10,"Under 10 Mins",TABLE_PIVOT[[#This Row],[Duration]]&lt;=30,"10 to 30 Mins",TABLE_PIVOT[[#This Row],[Duration]]&lt;=60,"30 to 60 Mins",TABLE_PIVOT[[#This Row],[Duration]]&lt;=120,"1 to 2 Hours",TRUE,"More Than 2 Hours")</f>
        <v>1 to 2 Hours</v>
      </c>
      <c r="K822" s="82">
        <f>ROUND(TABLE_PIVOT[[#This Row],[Satisfaction Rating]],0)</f>
        <v>3</v>
      </c>
    </row>
    <row r="823" spans="1:11" x14ac:dyDescent="0.3">
      <c r="A823" s="8" t="s">
        <v>2449</v>
      </c>
      <c r="B823" s="8" t="s">
        <v>1618</v>
      </c>
      <c r="C823" s="8">
        <v>150</v>
      </c>
      <c r="D823" s="120" t="s">
        <v>1621</v>
      </c>
      <c r="E823" s="121">
        <v>45210</v>
      </c>
      <c r="F823" s="8">
        <v>108</v>
      </c>
      <c r="G823" s="8">
        <v>4.7</v>
      </c>
      <c r="H823" s="82">
        <f>IF(MONTH(TABLE_PIVOT[[#This Row],[Date of Call]])&lt;=6,YEAR(TABLE_PIVOT[[#This Row],[Date of Call]]),YEAR(TABLE_PIVOT[[#This Row],[Date of Call]])+1)</f>
        <v>2024</v>
      </c>
      <c r="I823" s="82" t="str">
        <f>TEXT(TABLE_PIVOT[[#This Row],[Date of Call]],"DDDD")</f>
        <v>Wednesday</v>
      </c>
      <c r="J823" s="82" t="str" cm="1">
        <f t="array" ref="J823">_xlfn.IFS(TABLE_PIVOT[[#This Row],[Duration]]&lt;=10,"Under 10 Mins",TABLE_PIVOT[[#This Row],[Duration]]&lt;=30,"10 to 30 Mins",TABLE_PIVOT[[#This Row],[Duration]]&lt;=60,"30 to 60 Mins",TABLE_PIVOT[[#This Row],[Duration]]&lt;=120,"1 to 2 Hours",TRUE,"More Than 2 Hours")</f>
        <v>More Than 2 Hours</v>
      </c>
      <c r="K823" s="82">
        <f>ROUND(TABLE_PIVOT[[#This Row],[Satisfaction Rating]],0)</f>
        <v>5</v>
      </c>
    </row>
    <row r="824" spans="1:11" x14ac:dyDescent="0.3">
      <c r="A824" s="8" t="s">
        <v>2450</v>
      </c>
      <c r="B824" s="8" t="s">
        <v>1682</v>
      </c>
      <c r="C824" s="8">
        <v>69</v>
      </c>
      <c r="D824" s="120" t="s">
        <v>1630</v>
      </c>
      <c r="E824" s="121">
        <v>45210</v>
      </c>
      <c r="F824" s="8">
        <v>36</v>
      </c>
      <c r="G824" s="8">
        <v>4.5</v>
      </c>
      <c r="H824" s="82">
        <f>IF(MONTH(TABLE_PIVOT[[#This Row],[Date of Call]])&lt;=6,YEAR(TABLE_PIVOT[[#This Row],[Date of Call]]),YEAR(TABLE_PIVOT[[#This Row],[Date of Call]])+1)</f>
        <v>2024</v>
      </c>
      <c r="I824" s="82" t="str">
        <f>TEXT(TABLE_PIVOT[[#This Row],[Date of Call]],"DDDD")</f>
        <v>Wednesday</v>
      </c>
      <c r="J824" s="82" t="str" cm="1">
        <f t="array" ref="J824">_xlfn.IFS(TABLE_PIVOT[[#This Row],[Duration]]&lt;=10,"Under 10 Mins",TABLE_PIVOT[[#This Row],[Duration]]&lt;=30,"10 to 30 Mins",TABLE_PIVOT[[#This Row],[Duration]]&lt;=60,"30 to 60 Mins",TABLE_PIVOT[[#This Row],[Duration]]&lt;=120,"1 to 2 Hours",TRUE,"More Than 2 Hours")</f>
        <v>1 to 2 Hours</v>
      </c>
      <c r="K824" s="82">
        <f>ROUND(TABLE_PIVOT[[#This Row],[Satisfaction Rating]],0)</f>
        <v>5</v>
      </c>
    </row>
    <row r="825" spans="1:11" x14ac:dyDescent="0.3">
      <c r="A825" s="8" t="s">
        <v>2451</v>
      </c>
      <c r="B825" s="8" t="s">
        <v>1610</v>
      </c>
      <c r="C825" s="8">
        <v>120</v>
      </c>
      <c r="D825" s="120" t="s">
        <v>1616</v>
      </c>
      <c r="E825" s="121">
        <v>45211</v>
      </c>
      <c r="F825" s="8">
        <v>140</v>
      </c>
      <c r="G825" s="8">
        <v>4.5999999999999996</v>
      </c>
      <c r="H825" s="82">
        <f>IF(MONTH(TABLE_PIVOT[[#This Row],[Date of Call]])&lt;=6,YEAR(TABLE_PIVOT[[#This Row],[Date of Call]]),YEAR(TABLE_PIVOT[[#This Row],[Date of Call]])+1)</f>
        <v>2024</v>
      </c>
      <c r="I825" s="82" t="str">
        <f>TEXT(TABLE_PIVOT[[#This Row],[Date of Call]],"DDDD")</f>
        <v>Thursday</v>
      </c>
      <c r="J825" s="82" t="str" cm="1">
        <f t="array" ref="J825">_xlfn.IFS(TABLE_PIVOT[[#This Row],[Duration]]&lt;=10,"Under 10 Mins",TABLE_PIVOT[[#This Row],[Duration]]&lt;=30,"10 to 30 Mins",TABLE_PIVOT[[#This Row],[Duration]]&lt;=60,"30 to 60 Mins",TABLE_PIVOT[[#This Row],[Duration]]&lt;=120,"1 to 2 Hours",TRUE,"More Than 2 Hours")</f>
        <v>1 to 2 Hours</v>
      </c>
      <c r="K825" s="82">
        <f>ROUND(TABLE_PIVOT[[#This Row],[Satisfaction Rating]],0)</f>
        <v>5</v>
      </c>
    </row>
    <row r="826" spans="1:11" x14ac:dyDescent="0.3">
      <c r="A826" s="8" t="s">
        <v>2452</v>
      </c>
      <c r="B826" s="8" t="s">
        <v>1615</v>
      </c>
      <c r="C826" s="8">
        <v>126</v>
      </c>
      <c r="D826" s="120" t="s">
        <v>1626</v>
      </c>
      <c r="E826" s="121">
        <v>45211</v>
      </c>
      <c r="F826" s="8">
        <v>50</v>
      </c>
      <c r="G826" s="8">
        <v>4.8</v>
      </c>
      <c r="H826" s="82">
        <f>IF(MONTH(TABLE_PIVOT[[#This Row],[Date of Call]])&lt;=6,YEAR(TABLE_PIVOT[[#This Row],[Date of Call]]),YEAR(TABLE_PIVOT[[#This Row],[Date of Call]])+1)</f>
        <v>2024</v>
      </c>
      <c r="I826" s="82" t="str">
        <f>TEXT(TABLE_PIVOT[[#This Row],[Date of Call]],"DDDD")</f>
        <v>Thursday</v>
      </c>
      <c r="J826" s="82" t="str" cm="1">
        <f t="array" ref="J826">_xlfn.IFS(TABLE_PIVOT[[#This Row],[Duration]]&lt;=10,"Under 10 Mins",TABLE_PIVOT[[#This Row],[Duration]]&lt;=30,"10 to 30 Mins",TABLE_PIVOT[[#This Row],[Duration]]&lt;=60,"30 to 60 Mins",TABLE_PIVOT[[#This Row],[Duration]]&lt;=120,"1 to 2 Hours",TRUE,"More Than 2 Hours")</f>
        <v>More Than 2 Hours</v>
      </c>
      <c r="K826" s="82">
        <f>ROUND(TABLE_PIVOT[[#This Row],[Satisfaction Rating]],0)</f>
        <v>5</v>
      </c>
    </row>
    <row r="827" spans="1:11" x14ac:dyDescent="0.3">
      <c r="A827" s="8" t="s">
        <v>2453</v>
      </c>
      <c r="B827" s="8" t="s">
        <v>1682</v>
      </c>
      <c r="C827" s="8">
        <v>120</v>
      </c>
      <c r="D827" s="120" t="s">
        <v>1611</v>
      </c>
      <c r="E827" s="121">
        <v>45211</v>
      </c>
      <c r="F827" s="8">
        <v>195</v>
      </c>
      <c r="G827" s="8">
        <v>4.3</v>
      </c>
      <c r="H827" s="82">
        <f>IF(MONTH(TABLE_PIVOT[[#This Row],[Date of Call]])&lt;=6,YEAR(TABLE_PIVOT[[#This Row],[Date of Call]]),YEAR(TABLE_PIVOT[[#This Row],[Date of Call]])+1)</f>
        <v>2024</v>
      </c>
      <c r="I827" s="82" t="str">
        <f>TEXT(TABLE_PIVOT[[#This Row],[Date of Call]],"DDDD")</f>
        <v>Thursday</v>
      </c>
      <c r="J827" s="82" t="str" cm="1">
        <f t="array" ref="J827">_xlfn.IFS(TABLE_PIVOT[[#This Row],[Duration]]&lt;=10,"Under 10 Mins",TABLE_PIVOT[[#This Row],[Duration]]&lt;=30,"10 to 30 Mins",TABLE_PIVOT[[#This Row],[Duration]]&lt;=60,"30 to 60 Mins",TABLE_PIVOT[[#This Row],[Duration]]&lt;=120,"1 to 2 Hours",TRUE,"More Than 2 Hours")</f>
        <v>1 to 2 Hours</v>
      </c>
      <c r="K827" s="82">
        <f>ROUND(TABLE_PIVOT[[#This Row],[Satisfaction Rating]],0)</f>
        <v>4</v>
      </c>
    </row>
    <row r="828" spans="1:11" x14ac:dyDescent="0.3">
      <c r="A828" s="8" t="s">
        <v>2454</v>
      </c>
      <c r="B828" s="8" t="s">
        <v>1615</v>
      </c>
      <c r="C828" s="8">
        <v>139</v>
      </c>
      <c r="D828" s="120" t="s">
        <v>1616</v>
      </c>
      <c r="E828" s="121">
        <v>45212</v>
      </c>
      <c r="F828" s="8">
        <v>48</v>
      </c>
      <c r="G828" s="8">
        <v>4.7</v>
      </c>
      <c r="H828" s="82">
        <f>IF(MONTH(TABLE_PIVOT[[#This Row],[Date of Call]])&lt;=6,YEAR(TABLE_PIVOT[[#This Row],[Date of Call]]),YEAR(TABLE_PIVOT[[#This Row],[Date of Call]])+1)</f>
        <v>2024</v>
      </c>
      <c r="I828" s="82" t="str">
        <f>TEXT(TABLE_PIVOT[[#This Row],[Date of Call]],"DDDD")</f>
        <v>Friday</v>
      </c>
      <c r="J828" s="82" t="str" cm="1">
        <f t="array" ref="J828">_xlfn.IFS(TABLE_PIVOT[[#This Row],[Duration]]&lt;=10,"Under 10 Mins",TABLE_PIVOT[[#This Row],[Duration]]&lt;=30,"10 to 30 Mins",TABLE_PIVOT[[#This Row],[Duration]]&lt;=60,"30 to 60 Mins",TABLE_PIVOT[[#This Row],[Duration]]&lt;=120,"1 to 2 Hours",TRUE,"More Than 2 Hours")</f>
        <v>More Than 2 Hours</v>
      </c>
      <c r="K828" s="82">
        <f>ROUND(TABLE_PIVOT[[#This Row],[Satisfaction Rating]],0)</f>
        <v>5</v>
      </c>
    </row>
    <row r="829" spans="1:11" x14ac:dyDescent="0.3">
      <c r="A829" s="8" t="s">
        <v>2455</v>
      </c>
      <c r="B829" s="8" t="s">
        <v>1629</v>
      </c>
      <c r="C829" s="8">
        <v>124</v>
      </c>
      <c r="D829" s="120" t="s">
        <v>1630</v>
      </c>
      <c r="E829" s="121">
        <v>45213</v>
      </c>
      <c r="F829" s="8">
        <v>29</v>
      </c>
      <c r="G829" s="8">
        <v>4.8</v>
      </c>
      <c r="H829" s="82">
        <f>IF(MONTH(TABLE_PIVOT[[#This Row],[Date of Call]])&lt;=6,YEAR(TABLE_PIVOT[[#This Row],[Date of Call]]),YEAR(TABLE_PIVOT[[#This Row],[Date of Call]])+1)</f>
        <v>2024</v>
      </c>
      <c r="I829" s="82" t="str">
        <f>TEXT(TABLE_PIVOT[[#This Row],[Date of Call]],"DDDD")</f>
        <v>Saturday</v>
      </c>
      <c r="J829" s="82" t="str" cm="1">
        <f t="array" ref="J829">_xlfn.IFS(TABLE_PIVOT[[#This Row],[Duration]]&lt;=10,"Under 10 Mins",TABLE_PIVOT[[#This Row],[Duration]]&lt;=30,"10 to 30 Mins",TABLE_PIVOT[[#This Row],[Duration]]&lt;=60,"30 to 60 Mins",TABLE_PIVOT[[#This Row],[Duration]]&lt;=120,"1 to 2 Hours",TRUE,"More Than 2 Hours")</f>
        <v>More Than 2 Hours</v>
      </c>
      <c r="K829" s="82">
        <f>ROUND(TABLE_PIVOT[[#This Row],[Satisfaction Rating]],0)</f>
        <v>5</v>
      </c>
    </row>
    <row r="830" spans="1:11" x14ac:dyDescent="0.3">
      <c r="A830" s="8" t="s">
        <v>2456</v>
      </c>
      <c r="B830" s="8" t="s">
        <v>1610</v>
      </c>
      <c r="C830" s="8">
        <v>108</v>
      </c>
      <c r="D830" s="120" t="s">
        <v>1611</v>
      </c>
      <c r="E830" s="121">
        <v>45213</v>
      </c>
      <c r="F830" s="8">
        <v>44</v>
      </c>
      <c r="G830" s="8">
        <v>4.7</v>
      </c>
      <c r="H830" s="82">
        <f>IF(MONTH(TABLE_PIVOT[[#This Row],[Date of Call]])&lt;=6,YEAR(TABLE_PIVOT[[#This Row],[Date of Call]]),YEAR(TABLE_PIVOT[[#This Row],[Date of Call]])+1)</f>
        <v>2024</v>
      </c>
      <c r="I830" s="82" t="str">
        <f>TEXT(TABLE_PIVOT[[#This Row],[Date of Call]],"DDDD")</f>
        <v>Saturday</v>
      </c>
      <c r="J830" s="82" t="str" cm="1">
        <f t="array" ref="J830">_xlfn.IFS(TABLE_PIVOT[[#This Row],[Duration]]&lt;=10,"Under 10 Mins",TABLE_PIVOT[[#This Row],[Duration]]&lt;=30,"10 to 30 Mins",TABLE_PIVOT[[#This Row],[Duration]]&lt;=60,"30 to 60 Mins",TABLE_PIVOT[[#This Row],[Duration]]&lt;=120,"1 to 2 Hours",TRUE,"More Than 2 Hours")</f>
        <v>1 to 2 Hours</v>
      </c>
      <c r="K830" s="82">
        <f>ROUND(TABLE_PIVOT[[#This Row],[Satisfaction Rating]],0)</f>
        <v>5</v>
      </c>
    </row>
    <row r="831" spans="1:11" x14ac:dyDescent="0.3">
      <c r="A831" s="8" t="s">
        <v>2457</v>
      </c>
      <c r="B831" s="8" t="s">
        <v>1613</v>
      </c>
      <c r="C831" s="8">
        <v>132</v>
      </c>
      <c r="D831" s="120" t="s">
        <v>1621</v>
      </c>
      <c r="E831" s="121">
        <v>45213</v>
      </c>
      <c r="F831" s="8">
        <v>140</v>
      </c>
      <c r="G831" s="8">
        <v>4.3</v>
      </c>
      <c r="H831" s="82">
        <f>IF(MONTH(TABLE_PIVOT[[#This Row],[Date of Call]])&lt;=6,YEAR(TABLE_PIVOT[[#This Row],[Date of Call]]),YEAR(TABLE_PIVOT[[#This Row],[Date of Call]])+1)</f>
        <v>2024</v>
      </c>
      <c r="I831" s="82" t="str">
        <f>TEXT(TABLE_PIVOT[[#This Row],[Date of Call]],"DDDD")</f>
        <v>Saturday</v>
      </c>
      <c r="J831" s="82" t="str" cm="1">
        <f t="array" ref="J831">_xlfn.IFS(TABLE_PIVOT[[#This Row],[Duration]]&lt;=10,"Under 10 Mins",TABLE_PIVOT[[#This Row],[Duration]]&lt;=30,"10 to 30 Mins",TABLE_PIVOT[[#This Row],[Duration]]&lt;=60,"30 to 60 Mins",TABLE_PIVOT[[#This Row],[Duration]]&lt;=120,"1 to 2 Hours",TRUE,"More Than 2 Hours")</f>
        <v>More Than 2 Hours</v>
      </c>
      <c r="K831" s="82">
        <f>ROUND(TABLE_PIVOT[[#This Row],[Satisfaction Rating]],0)</f>
        <v>4</v>
      </c>
    </row>
    <row r="832" spans="1:11" x14ac:dyDescent="0.3">
      <c r="A832" s="8" t="s">
        <v>2458</v>
      </c>
      <c r="B832" s="8" t="s">
        <v>1662</v>
      </c>
      <c r="C832" s="8">
        <v>67</v>
      </c>
      <c r="D832" s="120" t="s">
        <v>1621</v>
      </c>
      <c r="E832" s="121">
        <v>45213</v>
      </c>
      <c r="F832" s="8">
        <v>105</v>
      </c>
      <c r="G832" s="8">
        <v>3.8</v>
      </c>
      <c r="H832" s="82">
        <f>IF(MONTH(TABLE_PIVOT[[#This Row],[Date of Call]])&lt;=6,YEAR(TABLE_PIVOT[[#This Row],[Date of Call]]),YEAR(TABLE_PIVOT[[#This Row],[Date of Call]])+1)</f>
        <v>2024</v>
      </c>
      <c r="I832" s="82" t="str">
        <f>TEXT(TABLE_PIVOT[[#This Row],[Date of Call]],"DDDD")</f>
        <v>Saturday</v>
      </c>
      <c r="J832" s="82" t="str" cm="1">
        <f t="array" ref="J832">_xlfn.IFS(TABLE_PIVOT[[#This Row],[Duration]]&lt;=10,"Under 10 Mins",TABLE_PIVOT[[#This Row],[Duration]]&lt;=30,"10 to 30 Mins",TABLE_PIVOT[[#This Row],[Duration]]&lt;=60,"30 to 60 Mins",TABLE_PIVOT[[#This Row],[Duration]]&lt;=120,"1 to 2 Hours",TRUE,"More Than 2 Hours")</f>
        <v>1 to 2 Hours</v>
      </c>
      <c r="K832" s="82">
        <f>ROUND(TABLE_PIVOT[[#This Row],[Satisfaction Rating]],0)</f>
        <v>4</v>
      </c>
    </row>
    <row r="833" spans="1:11" x14ac:dyDescent="0.3">
      <c r="A833" s="8" t="s">
        <v>2459</v>
      </c>
      <c r="B833" s="8" t="s">
        <v>1624</v>
      </c>
      <c r="C833" s="8">
        <v>125</v>
      </c>
      <c r="D833" s="120" t="s">
        <v>1621</v>
      </c>
      <c r="E833" s="121">
        <v>45213</v>
      </c>
      <c r="F833" s="8">
        <v>82</v>
      </c>
      <c r="G833" s="8">
        <v>4.5999999999999996</v>
      </c>
      <c r="H833" s="82">
        <f>IF(MONTH(TABLE_PIVOT[[#This Row],[Date of Call]])&lt;=6,YEAR(TABLE_PIVOT[[#This Row],[Date of Call]]),YEAR(TABLE_PIVOT[[#This Row],[Date of Call]])+1)</f>
        <v>2024</v>
      </c>
      <c r="I833" s="82" t="str">
        <f>TEXT(TABLE_PIVOT[[#This Row],[Date of Call]],"DDDD")</f>
        <v>Saturday</v>
      </c>
      <c r="J833" s="82" t="str" cm="1">
        <f t="array" ref="J833">_xlfn.IFS(TABLE_PIVOT[[#This Row],[Duration]]&lt;=10,"Under 10 Mins",TABLE_PIVOT[[#This Row],[Duration]]&lt;=30,"10 to 30 Mins",TABLE_PIVOT[[#This Row],[Duration]]&lt;=60,"30 to 60 Mins",TABLE_PIVOT[[#This Row],[Duration]]&lt;=120,"1 to 2 Hours",TRUE,"More Than 2 Hours")</f>
        <v>More Than 2 Hours</v>
      </c>
      <c r="K833" s="82">
        <f>ROUND(TABLE_PIVOT[[#This Row],[Satisfaction Rating]],0)</f>
        <v>5</v>
      </c>
    </row>
    <row r="834" spans="1:11" x14ac:dyDescent="0.3">
      <c r="A834" s="8" t="s">
        <v>2460</v>
      </c>
      <c r="B834" s="8" t="s">
        <v>1610</v>
      </c>
      <c r="C834" s="8">
        <v>23</v>
      </c>
      <c r="D834" s="120" t="s">
        <v>1611</v>
      </c>
      <c r="E834" s="121">
        <v>45213</v>
      </c>
      <c r="F834" s="8">
        <v>24</v>
      </c>
      <c r="G834" s="8">
        <v>2.9</v>
      </c>
      <c r="H834" s="82">
        <f>IF(MONTH(TABLE_PIVOT[[#This Row],[Date of Call]])&lt;=6,YEAR(TABLE_PIVOT[[#This Row],[Date of Call]]),YEAR(TABLE_PIVOT[[#This Row],[Date of Call]])+1)</f>
        <v>2024</v>
      </c>
      <c r="I834" s="82" t="str">
        <f>TEXT(TABLE_PIVOT[[#This Row],[Date of Call]],"DDDD")</f>
        <v>Saturday</v>
      </c>
      <c r="J834" s="82" t="str" cm="1">
        <f t="array" ref="J834">_xlfn.IFS(TABLE_PIVOT[[#This Row],[Duration]]&lt;=10,"Under 10 Mins",TABLE_PIVOT[[#This Row],[Duration]]&lt;=30,"10 to 30 Mins",TABLE_PIVOT[[#This Row],[Duration]]&lt;=60,"30 to 60 Mins",TABLE_PIVOT[[#This Row],[Duration]]&lt;=120,"1 to 2 Hours",TRUE,"More Than 2 Hours")</f>
        <v>10 to 30 Mins</v>
      </c>
      <c r="K834" s="82">
        <f>ROUND(TABLE_PIVOT[[#This Row],[Satisfaction Rating]],0)</f>
        <v>3</v>
      </c>
    </row>
    <row r="835" spans="1:11" x14ac:dyDescent="0.3">
      <c r="A835" s="8" t="s">
        <v>2461</v>
      </c>
      <c r="B835" s="8" t="s">
        <v>1620</v>
      </c>
      <c r="C835" s="8">
        <v>131</v>
      </c>
      <c r="D835" s="120" t="s">
        <v>1630</v>
      </c>
      <c r="E835" s="121">
        <v>45214</v>
      </c>
      <c r="F835" s="8">
        <v>205</v>
      </c>
      <c r="G835" s="8">
        <v>4.8</v>
      </c>
      <c r="H835" s="82">
        <f>IF(MONTH(TABLE_PIVOT[[#This Row],[Date of Call]])&lt;=6,YEAR(TABLE_PIVOT[[#This Row],[Date of Call]]),YEAR(TABLE_PIVOT[[#This Row],[Date of Call]])+1)</f>
        <v>2024</v>
      </c>
      <c r="I835" s="82" t="str">
        <f>TEXT(TABLE_PIVOT[[#This Row],[Date of Call]],"DDDD")</f>
        <v>Sunday</v>
      </c>
      <c r="J835" s="82" t="str" cm="1">
        <f t="array" ref="J835">_xlfn.IFS(TABLE_PIVOT[[#This Row],[Duration]]&lt;=10,"Under 10 Mins",TABLE_PIVOT[[#This Row],[Duration]]&lt;=30,"10 to 30 Mins",TABLE_PIVOT[[#This Row],[Duration]]&lt;=60,"30 to 60 Mins",TABLE_PIVOT[[#This Row],[Duration]]&lt;=120,"1 to 2 Hours",TRUE,"More Than 2 Hours")</f>
        <v>More Than 2 Hours</v>
      </c>
      <c r="K835" s="82">
        <f>ROUND(TABLE_PIVOT[[#This Row],[Satisfaction Rating]],0)</f>
        <v>5</v>
      </c>
    </row>
    <row r="836" spans="1:11" x14ac:dyDescent="0.3">
      <c r="A836" s="8" t="s">
        <v>2462</v>
      </c>
      <c r="B836" s="8" t="s">
        <v>1613</v>
      </c>
      <c r="C836" s="8">
        <v>56</v>
      </c>
      <c r="D836" s="120" t="s">
        <v>1616</v>
      </c>
      <c r="E836" s="121">
        <v>45214</v>
      </c>
      <c r="F836" s="8">
        <v>225</v>
      </c>
      <c r="G836" s="8">
        <v>4.9000000000000004</v>
      </c>
      <c r="H836" s="82">
        <f>IF(MONTH(TABLE_PIVOT[[#This Row],[Date of Call]])&lt;=6,YEAR(TABLE_PIVOT[[#This Row],[Date of Call]]),YEAR(TABLE_PIVOT[[#This Row],[Date of Call]])+1)</f>
        <v>2024</v>
      </c>
      <c r="I836" s="82" t="str">
        <f>TEXT(TABLE_PIVOT[[#This Row],[Date of Call]],"DDDD")</f>
        <v>Sunday</v>
      </c>
      <c r="J836" s="82" t="str" cm="1">
        <f t="array" ref="J836">_xlfn.IFS(TABLE_PIVOT[[#This Row],[Duration]]&lt;=10,"Under 10 Mins",TABLE_PIVOT[[#This Row],[Duration]]&lt;=30,"10 to 30 Mins",TABLE_PIVOT[[#This Row],[Duration]]&lt;=60,"30 to 60 Mins",TABLE_PIVOT[[#This Row],[Duration]]&lt;=120,"1 to 2 Hours",TRUE,"More Than 2 Hours")</f>
        <v>30 to 60 Mins</v>
      </c>
      <c r="K836" s="82">
        <f>ROUND(TABLE_PIVOT[[#This Row],[Satisfaction Rating]],0)</f>
        <v>5</v>
      </c>
    </row>
    <row r="837" spans="1:11" x14ac:dyDescent="0.3">
      <c r="A837" s="8" t="s">
        <v>2463</v>
      </c>
      <c r="B837" s="8" t="s">
        <v>1620</v>
      </c>
      <c r="C837" s="8">
        <v>70</v>
      </c>
      <c r="D837" s="120" t="s">
        <v>1630</v>
      </c>
      <c r="E837" s="121">
        <v>45214</v>
      </c>
      <c r="F837" s="8">
        <v>50</v>
      </c>
      <c r="G837" s="8">
        <v>3.4</v>
      </c>
      <c r="H837" s="82">
        <f>IF(MONTH(TABLE_PIVOT[[#This Row],[Date of Call]])&lt;=6,YEAR(TABLE_PIVOT[[#This Row],[Date of Call]]),YEAR(TABLE_PIVOT[[#This Row],[Date of Call]])+1)</f>
        <v>2024</v>
      </c>
      <c r="I837" s="82" t="str">
        <f>TEXT(TABLE_PIVOT[[#This Row],[Date of Call]],"DDDD")</f>
        <v>Sunday</v>
      </c>
      <c r="J837" s="82" t="str" cm="1">
        <f t="array" ref="J837">_xlfn.IFS(TABLE_PIVOT[[#This Row],[Duration]]&lt;=10,"Under 10 Mins",TABLE_PIVOT[[#This Row],[Duration]]&lt;=30,"10 to 30 Mins",TABLE_PIVOT[[#This Row],[Duration]]&lt;=60,"30 to 60 Mins",TABLE_PIVOT[[#This Row],[Duration]]&lt;=120,"1 to 2 Hours",TRUE,"More Than 2 Hours")</f>
        <v>1 to 2 Hours</v>
      </c>
      <c r="K837" s="82">
        <f>ROUND(TABLE_PIVOT[[#This Row],[Satisfaction Rating]],0)</f>
        <v>3</v>
      </c>
    </row>
    <row r="838" spans="1:11" x14ac:dyDescent="0.3">
      <c r="A838" s="8" t="s">
        <v>2464</v>
      </c>
      <c r="B838" s="8" t="s">
        <v>1620</v>
      </c>
      <c r="C838" s="8">
        <v>55</v>
      </c>
      <c r="D838" s="120" t="s">
        <v>1621</v>
      </c>
      <c r="E838" s="121">
        <v>45214</v>
      </c>
      <c r="F838" s="8">
        <v>80</v>
      </c>
      <c r="G838" s="8">
        <v>4.3</v>
      </c>
      <c r="H838" s="82">
        <f>IF(MONTH(TABLE_PIVOT[[#This Row],[Date of Call]])&lt;=6,YEAR(TABLE_PIVOT[[#This Row],[Date of Call]]),YEAR(TABLE_PIVOT[[#This Row],[Date of Call]])+1)</f>
        <v>2024</v>
      </c>
      <c r="I838" s="82" t="str">
        <f>TEXT(TABLE_PIVOT[[#This Row],[Date of Call]],"DDDD")</f>
        <v>Sunday</v>
      </c>
      <c r="J838" s="82" t="str" cm="1">
        <f t="array" ref="J838">_xlfn.IFS(TABLE_PIVOT[[#This Row],[Duration]]&lt;=10,"Under 10 Mins",TABLE_PIVOT[[#This Row],[Duration]]&lt;=30,"10 to 30 Mins",TABLE_PIVOT[[#This Row],[Duration]]&lt;=60,"30 to 60 Mins",TABLE_PIVOT[[#This Row],[Duration]]&lt;=120,"1 to 2 Hours",TRUE,"More Than 2 Hours")</f>
        <v>30 to 60 Mins</v>
      </c>
      <c r="K838" s="82">
        <f>ROUND(TABLE_PIVOT[[#This Row],[Satisfaction Rating]],0)</f>
        <v>4</v>
      </c>
    </row>
    <row r="839" spans="1:11" x14ac:dyDescent="0.3">
      <c r="A839" s="8" t="s">
        <v>2465</v>
      </c>
      <c r="B839" s="8" t="s">
        <v>1624</v>
      </c>
      <c r="C839" s="8">
        <v>77</v>
      </c>
      <c r="D839" s="120" t="s">
        <v>1616</v>
      </c>
      <c r="E839" s="121">
        <v>45214</v>
      </c>
      <c r="F839" s="8">
        <v>78</v>
      </c>
      <c r="G839" s="8">
        <v>3.9</v>
      </c>
      <c r="H839" s="82">
        <f>IF(MONTH(TABLE_PIVOT[[#This Row],[Date of Call]])&lt;=6,YEAR(TABLE_PIVOT[[#This Row],[Date of Call]]),YEAR(TABLE_PIVOT[[#This Row],[Date of Call]])+1)</f>
        <v>2024</v>
      </c>
      <c r="I839" s="82" t="str">
        <f>TEXT(TABLE_PIVOT[[#This Row],[Date of Call]],"DDDD")</f>
        <v>Sunday</v>
      </c>
      <c r="J839" s="82" t="str" cm="1">
        <f t="array" ref="J839">_xlfn.IFS(TABLE_PIVOT[[#This Row],[Duration]]&lt;=10,"Under 10 Mins",TABLE_PIVOT[[#This Row],[Duration]]&lt;=30,"10 to 30 Mins",TABLE_PIVOT[[#This Row],[Duration]]&lt;=60,"30 to 60 Mins",TABLE_PIVOT[[#This Row],[Duration]]&lt;=120,"1 to 2 Hours",TRUE,"More Than 2 Hours")</f>
        <v>1 to 2 Hours</v>
      </c>
      <c r="K839" s="82">
        <f>ROUND(TABLE_PIVOT[[#This Row],[Satisfaction Rating]],0)</f>
        <v>4</v>
      </c>
    </row>
    <row r="840" spans="1:11" x14ac:dyDescent="0.3">
      <c r="A840" s="8" t="s">
        <v>2466</v>
      </c>
      <c r="B840" s="8" t="s">
        <v>1618</v>
      </c>
      <c r="C840" s="8">
        <v>133</v>
      </c>
      <c r="D840" s="120" t="s">
        <v>1630</v>
      </c>
      <c r="E840" s="121">
        <v>45215</v>
      </c>
      <c r="F840" s="8">
        <v>40</v>
      </c>
      <c r="G840" s="8">
        <v>3.9</v>
      </c>
      <c r="H840" s="82">
        <f>IF(MONTH(TABLE_PIVOT[[#This Row],[Date of Call]])&lt;=6,YEAR(TABLE_PIVOT[[#This Row],[Date of Call]]),YEAR(TABLE_PIVOT[[#This Row],[Date of Call]])+1)</f>
        <v>2024</v>
      </c>
      <c r="I840" s="82" t="str">
        <f>TEXT(TABLE_PIVOT[[#This Row],[Date of Call]],"DDDD")</f>
        <v>Monday</v>
      </c>
      <c r="J840" s="82" t="str" cm="1">
        <f t="array" ref="J840">_xlfn.IFS(TABLE_PIVOT[[#This Row],[Duration]]&lt;=10,"Under 10 Mins",TABLE_PIVOT[[#This Row],[Duration]]&lt;=30,"10 to 30 Mins",TABLE_PIVOT[[#This Row],[Duration]]&lt;=60,"30 to 60 Mins",TABLE_PIVOT[[#This Row],[Duration]]&lt;=120,"1 to 2 Hours",TRUE,"More Than 2 Hours")</f>
        <v>More Than 2 Hours</v>
      </c>
      <c r="K840" s="82">
        <f>ROUND(TABLE_PIVOT[[#This Row],[Satisfaction Rating]],0)</f>
        <v>4</v>
      </c>
    </row>
    <row r="841" spans="1:11" x14ac:dyDescent="0.3">
      <c r="A841" s="8" t="s">
        <v>2467</v>
      </c>
      <c r="B841" s="8" t="s">
        <v>1624</v>
      </c>
      <c r="C841" s="8">
        <v>77</v>
      </c>
      <c r="D841" s="120" t="s">
        <v>1616</v>
      </c>
      <c r="E841" s="121">
        <v>45215</v>
      </c>
      <c r="F841" s="8">
        <v>176</v>
      </c>
      <c r="G841" s="8">
        <v>1.5</v>
      </c>
      <c r="H841" s="82">
        <f>IF(MONTH(TABLE_PIVOT[[#This Row],[Date of Call]])&lt;=6,YEAR(TABLE_PIVOT[[#This Row],[Date of Call]]),YEAR(TABLE_PIVOT[[#This Row],[Date of Call]])+1)</f>
        <v>2024</v>
      </c>
      <c r="I841" s="82" t="str">
        <f>TEXT(TABLE_PIVOT[[#This Row],[Date of Call]],"DDDD")</f>
        <v>Monday</v>
      </c>
      <c r="J841" s="82" t="str" cm="1">
        <f t="array" ref="J841">_xlfn.IFS(TABLE_PIVOT[[#This Row],[Duration]]&lt;=10,"Under 10 Mins",TABLE_PIVOT[[#This Row],[Duration]]&lt;=30,"10 to 30 Mins",TABLE_PIVOT[[#This Row],[Duration]]&lt;=60,"30 to 60 Mins",TABLE_PIVOT[[#This Row],[Duration]]&lt;=120,"1 to 2 Hours",TRUE,"More Than 2 Hours")</f>
        <v>1 to 2 Hours</v>
      </c>
      <c r="K841" s="82">
        <f>ROUND(TABLE_PIVOT[[#This Row],[Satisfaction Rating]],0)</f>
        <v>2</v>
      </c>
    </row>
    <row r="842" spans="1:11" x14ac:dyDescent="0.3">
      <c r="A842" s="8" t="s">
        <v>2468</v>
      </c>
      <c r="B842" s="8" t="s">
        <v>1649</v>
      </c>
      <c r="C842" s="8">
        <v>103</v>
      </c>
      <c r="D842" s="120" t="s">
        <v>1630</v>
      </c>
      <c r="E842" s="121">
        <v>45215</v>
      </c>
      <c r="F842" s="8">
        <v>78</v>
      </c>
      <c r="G842" s="8">
        <v>3</v>
      </c>
      <c r="H842" s="82">
        <f>IF(MONTH(TABLE_PIVOT[[#This Row],[Date of Call]])&lt;=6,YEAR(TABLE_PIVOT[[#This Row],[Date of Call]]),YEAR(TABLE_PIVOT[[#This Row],[Date of Call]])+1)</f>
        <v>2024</v>
      </c>
      <c r="I842" s="82" t="str">
        <f>TEXT(TABLE_PIVOT[[#This Row],[Date of Call]],"DDDD")</f>
        <v>Monday</v>
      </c>
      <c r="J842" s="82" t="str" cm="1">
        <f t="array" ref="J842">_xlfn.IFS(TABLE_PIVOT[[#This Row],[Duration]]&lt;=10,"Under 10 Mins",TABLE_PIVOT[[#This Row],[Duration]]&lt;=30,"10 to 30 Mins",TABLE_PIVOT[[#This Row],[Duration]]&lt;=60,"30 to 60 Mins",TABLE_PIVOT[[#This Row],[Duration]]&lt;=120,"1 to 2 Hours",TRUE,"More Than 2 Hours")</f>
        <v>1 to 2 Hours</v>
      </c>
      <c r="K842" s="82">
        <f>ROUND(TABLE_PIVOT[[#This Row],[Satisfaction Rating]],0)</f>
        <v>3</v>
      </c>
    </row>
    <row r="843" spans="1:11" x14ac:dyDescent="0.3">
      <c r="A843" s="8" t="s">
        <v>2469</v>
      </c>
      <c r="B843" s="8" t="s">
        <v>1682</v>
      </c>
      <c r="C843" s="8">
        <v>32</v>
      </c>
      <c r="D843" s="120" t="s">
        <v>1616</v>
      </c>
      <c r="E843" s="121">
        <v>45215</v>
      </c>
      <c r="F843" s="8">
        <v>42</v>
      </c>
      <c r="G843" s="8">
        <v>4.2</v>
      </c>
      <c r="H843" s="82">
        <f>IF(MONTH(TABLE_PIVOT[[#This Row],[Date of Call]])&lt;=6,YEAR(TABLE_PIVOT[[#This Row],[Date of Call]]),YEAR(TABLE_PIVOT[[#This Row],[Date of Call]])+1)</f>
        <v>2024</v>
      </c>
      <c r="I843" s="82" t="str">
        <f>TEXT(TABLE_PIVOT[[#This Row],[Date of Call]],"DDDD")</f>
        <v>Monday</v>
      </c>
      <c r="J843" s="82" t="str" cm="1">
        <f t="array" ref="J843">_xlfn.IFS(TABLE_PIVOT[[#This Row],[Duration]]&lt;=10,"Under 10 Mins",TABLE_PIVOT[[#This Row],[Duration]]&lt;=30,"10 to 30 Mins",TABLE_PIVOT[[#This Row],[Duration]]&lt;=60,"30 to 60 Mins",TABLE_PIVOT[[#This Row],[Duration]]&lt;=120,"1 to 2 Hours",TRUE,"More Than 2 Hours")</f>
        <v>30 to 60 Mins</v>
      </c>
      <c r="K843" s="82">
        <f>ROUND(TABLE_PIVOT[[#This Row],[Satisfaction Rating]],0)</f>
        <v>4</v>
      </c>
    </row>
    <row r="844" spans="1:11" x14ac:dyDescent="0.3">
      <c r="A844" s="8" t="s">
        <v>2470</v>
      </c>
      <c r="B844" s="8" t="s">
        <v>1618</v>
      </c>
      <c r="C844" s="8">
        <v>30</v>
      </c>
      <c r="D844" s="120" t="s">
        <v>1630</v>
      </c>
      <c r="E844" s="121">
        <v>45215</v>
      </c>
      <c r="F844" s="8">
        <v>38</v>
      </c>
      <c r="G844" s="8">
        <v>3.7</v>
      </c>
      <c r="H844" s="82">
        <f>IF(MONTH(TABLE_PIVOT[[#This Row],[Date of Call]])&lt;=6,YEAR(TABLE_PIVOT[[#This Row],[Date of Call]]),YEAR(TABLE_PIVOT[[#This Row],[Date of Call]])+1)</f>
        <v>2024</v>
      </c>
      <c r="I844" s="82" t="str">
        <f>TEXT(TABLE_PIVOT[[#This Row],[Date of Call]],"DDDD")</f>
        <v>Monday</v>
      </c>
      <c r="J844" s="82" t="str" cm="1">
        <f t="array" ref="J844">_xlfn.IFS(TABLE_PIVOT[[#This Row],[Duration]]&lt;=10,"Under 10 Mins",TABLE_PIVOT[[#This Row],[Duration]]&lt;=30,"10 to 30 Mins",TABLE_PIVOT[[#This Row],[Duration]]&lt;=60,"30 to 60 Mins",TABLE_PIVOT[[#This Row],[Duration]]&lt;=120,"1 to 2 Hours",TRUE,"More Than 2 Hours")</f>
        <v>10 to 30 Mins</v>
      </c>
      <c r="K844" s="82">
        <f>ROUND(TABLE_PIVOT[[#This Row],[Satisfaction Rating]],0)</f>
        <v>4</v>
      </c>
    </row>
    <row r="845" spans="1:11" x14ac:dyDescent="0.3">
      <c r="A845" s="8" t="s">
        <v>2471</v>
      </c>
      <c r="B845" s="8" t="s">
        <v>1615</v>
      </c>
      <c r="C845" s="8">
        <v>87</v>
      </c>
      <c r="D845" s="120" t="s">
        <v>1626</v>
      </c>
      <c r="E845" s="121">
        <v>45215</v>
      </c>
      <c r="F845" s="8">
        <v>27</v>
      </c>
      <c r="G845" s="8">
        <v>4.2</v>
      </c>
      <c r="H845" s="82">
        <f>IF(MONTH(TABLE_PIVOT[[#This Row],[Date of Call]])&lt;=6,YEAR(TABLE_PIVOT[[#This Row],[Date of Call]]),YEAR(TABLE_PIVOT[[#This Row],[Date of Call]])+1)</f>
        <v>2024</v>
      </c>
      <c r="I845" s="82" t="str">
        <f>TEXT(TABLE_PIVOT[[#This Row],[Date of Call]],"DDDD")</f>
        <v>Monday</v>
      </c>
      <c r="J845" s="82" t="str" cm="1">
        <f t="array" ref="J845">_xlfn.IFS(TABLE_PIVOT[[#This Row],[Duration]]&lt;=10,"Under 10 Mins",TABLE_PIVOT[[#This Row],[Duration]]&lt;=30,"10 to 30 Mins",TABLE_PIVOT[[#This Row],[Duration]]&lt;=60,"30 to 60 Mins",TABLE_PIVOT[[#This Row],[Duration]]&lt;=120,"1 to 2 Hours",TRUE,"More Than 2 Hours")</f>
        <v>1 to 2 Hours</v>
      </c>
      <c r="K845" s="82">
        <f>ROUND(TABLE_PIVOT[[#This Row],[Satisfaction Rating]],0)</f>
        <v>4</v>
      </c>
    </row>
    <row r="846" spans="1:11" x14ac:dyDescent="0.3">
      <c r="A846" s="8" t="s">
        <v>2472</v>
      </c>
      <c r="B846" s="8" t="s">
        <v>1624</v>
      </c>
      <c r="C846" s="8">
        <v>137</v>
      </c>
      <c r="D846" s="120" t="s">
        <v>1611</v>
      </c>
      <c r="E846" s="121">
        <v>45216</v>
      </c>
      <c r="F846" s="8">
        <v>45</v>
      </c>
      <c r="G846" s="8">
        <v>4.4000000000000004</v>
      </c>
      <c r="H846" s="82">
        <f>IF(MONTH(TABLE_PIVOT[[#This Row],[Date of Call]])&lt;=6,YEAR(TABLE_PIVOT[[#This Row],[Date of Call]]),YEAR(TABLE_PIVOT[[#This Row],[Date of Call]])+1)</f>
        <v>2024</v>
      </c>
      <c r="I846" s="82" t="str">
        <f>TEXT(TABLE_PIVOT[[#This Row],[Date of Call]],"DDDD")</f>
        <v>Tuesday</v>
      </c>
      <c r="J846" s="82" t="str" cm="1">
        <f t="array" ref="J846">_xlfn.IFS(TABLE_PIVOT[[#This Row],[Duration]]&lt;=10,"Under 10 Mins",TABLE_PIVOT[[#This Row],[Duration]]&lt;=30,"10 to 30 Mins",TABLE_PIVOT[[#This Row],[Duration]]&lt;=60,"30 to 60 Mins",TABLE_PIVOT[[#This Row],[Duration]]&lt;=120,"1 to 2 Hours",TRUE,"More Than 2 Hours")</f>
        <v>More Than 2 Hours</v>
      </c>
      <c r="K846" s="82">
        <f>ROUND(TABLE_PIVOT[[#This Row],[Satisfaction Rating]],0)</f>
        <v>4</v>
      </c>
    </row>
    <row r="847" spans="1:11" x14ac:dyDescent="0.3">
      <c r="A847" s="8" t="s">
        <v>2473</v>
      </c>
      <c r="B847" s="8" t="s">
        <v>1633</v>
      </c>
      <c r="C847" s="8">
        <v>96</v>
      </c>
      <c r="D847" s="120" t="s">
        <v>1630</v>
      </c>
      <c r="E847" s="121">
        <v>45216</v>
      </c>
      <c r="F847" s="8">
        <v>215</v>
      </c>
      <c r="G847" s="8">
        <v>4</v>
      </c>
      <c r="H847" s="82">
        <f>IF(MONTH(TABLE_PIVOT[[#This Row],[Date of Call]])&lt;=6,YEAR(TABLE_PIVOT[[#This Row],[Date of Call]]),YEAR(TABLE_PIVOT[[#This Row],[Date of Call]])+1)</f>
        <v>2024</v>
      </c>
      <c r="I847" s="82" t="str">
        <f>TEXT(TABLE_PIVOT[[#This Row],[Date of Call]],"DDDD")</f>
        <v>Tuesday</v>
      </c>
      <c r="J847" s="82" t="str" cm="1">
        <f t="array" ref="J847">_xlfn.IFS(TABLE_PIVOT[[#This Row],[Duration]]&lt;=10,"Under 10 Mins",TABLE_PIVOT[[#This Row],[Duration]]&lt;=30,"10 to 30 Mins",TABLE_PIVOT[[#This Row],[Duration]]&lt;=60,"30 to 60 Mins",TABLE_PIVOT[[#This Row],[Duration]]&lt;=120,"1 to 2 Hours",TRUE,"More Than 2 Hours")</f>
        <v>1 to 2 Hours</v>
      </c>
      <c r="K847" s="82">
        <f>ROUND(TABLE_PIVOT[[#This Row],[Satisfaction Rating]],0)</f>
        <v>4</v>
      </c>
    </row>
    <row r="848" spans="1:11" x14ac:dyDescent="0.3">
      <c r="A848" s="8" t="s">
        <v>2474</v>
      </c>
      <c r="B848" s="8" t="s">
        <v>1629</v>
      </c>
      <c r="C848" s="8">
        <v>155</v>
      </c>
      <c r="D848" s="120" t="s">
        <v>1630</v>
      </c>
      <c r="E848" s="121">
        <v>45217</v>
      </c>
      <c r="F848" s="8">
        <v>72</v>
      </c>
      <c r="G848" s="8">
        <v>4.7</v>
      </c>
      <c r="H848" s="82">
        <f>IF(MONTH(TABLE_PIVOT[[#This Row],[Date of Call]])&lt;=6,YEAR(TABLE_PIVOT[[#This Row],[Date of Call]]),YEAR(TABLE_PIVOT[[#This Row],[Date of Call]])+1)</f>
        <v>2024</v>
      </c>
      <c r="I848" s="82" t="str">
        <f>TEXT(TABLE_PIVOT[[#This Row],[Date of Call]],"DDDD")</f>
        <v>Wednesday</v>
      </c>
      <c r="J848" s="82" t="str" cm="1">
        <f t="array" ref="J848">_xlfn.IFS(TABLE_PIVOT[[#This Row],[Duration]]&lt;=10,"Under 10 Mins",TABLE_PIVOT[[#This Row],[Duration]]&lt;=30,"10 to 30 Mins",TABLE_PIVOT[[#This Row],[Duration]]&lt;=60,"30 to 60 Mins",TABLE_PIVOT[[#This Row],[Duration]]&lt;=120,"1 to 2 Hours",TRUE,"More Than 2 Hours")</f>
        <v>More Than 2 Hours</v>
      </c>
      <c r="K848" s="82">
        <f>ROUND(TABLE_PIVOT[[#This Row],[Satisfaction Rating]],0)</f>
        <v>5</v>
      </c>
    </row>
    <row r="849" spans="1:11" x14ac:dyDescent="0.3">
      <c r="A849" s="8" t="s">
        <v>2475</v>
      </c>
      <c r="B849" s="8" t="s">
        <v>1618</v>
      </c>
      <c r="C849" s="8">
        <v>173</v>
      </c>
      <c r="D849" s="120" t="s">
        <v>1621</v>
      </c>
      <c r="E849" s="121">
        <v>45217</v>
      </c>
      <c r="F849" s="8">
        <v>160</v>
      </c>
      <c r="G849" s="8">
        <v>2.8</v>
      </c>
      <c r="H849" s="82">
        <f>IF(MONTH(TABLE_PIVOT[[#This Row],[Date of Call]])&lt;=6,YEAR(TABLE_PIVOT[[#This Row],[Date of Call]]),YEAR(TABLE_PIVOT[[#This Row],[Date of Call]])+1)</f>
        <v>2024</v>
      </c>
      <c r="I849" s="82" t="str">
        <f>TEXT(TABLE_PIVOT[[#This Row],[Date of Call]],"DDDD")</f>
        <v>Wednesday</v>
      </c>
      <c r="J849" s="82" t="str" cm="1">
        <f t="array" ref="J849">_xlfn.IFS(TABLE_PIVOT[[#This Row],[Duration]]&lt;=10,"Under 10 Mins",TABLE_PIVOT[[#This Row],[Duration]]&lt;=30,"10 to 30 Mins",TABLE_PIVOT[[#This Row],[Duration]]&lt;=60,"30 to 60 Mins",TABLE_PIVOT[[#This Row],[Duration]]&lt;=120,"1 to 2 Hours",TRUE,"More Than 2 Hours")</f>
        <v>More Than 2 Hours</v>
      </c>
      <c r="K849" s="82">
        <f>ROUND(TABLE_PIVOT[[#This Row],[Satisfaction Rating]],0)</f>
        <v>3</v>
      </c>
    </row>
    <row r="850" spans="1:11" x14ac:dyDescent="0.3">
      <c r="A850" s="8" t="s">
        <v>2476</v>
      </c>
      <c r="B850" s="8" t="s">
        <v>1629</v>
      </c>
      <c r="C850" s="8">
        <v>127</v>
      </c>
      <c r="D850" s="120" t="s">
        <v>1630</v>
      </c>
      <c r="E850" s="121">
        <v>45217</v>
      </c>
      <c r="F850" s="8">
        <v>165</v>
      </c>
      <c r="G850" s="8">
        <v>2.5</v>
      </c>
      <c r="H850" s="82">
        <f>IF(MONTH(TABLE_PIVOT[[#This Row],[Date of Call]])&lt;=6,YEAR(TABLE_PIVOT[[#This Row],[Date of Call]]),YEAR(TABLE_PIVOT[[#This Row],[Date of Call]])+1)</f>
        <v>2024</v>
      </c>
      <c r="I850" s="82" t="str">
        <f>TEXT(TABLE_PIVOT[[#This Row],[Date of Call]],"DDDD")</f>
        <v>Wednesday</v>
      </c>
      <c r="J850" s="82" t="str" cm="1">
        <f t="array" ref="J850">_xlfn.IFS(TABLE_PIVOT[[#This Row],[Duration]]&lt;=10,"Under 10 Mins",TABLE_PIVOT[[#This Row],[Duration]]&lt;=30,"10 to 30 Mins",TABLE_PIVOT[[#This Row],[Duration]]&lt;=60,"30 to 60 Mins",TABLE_PIVOT[[#This Row],[Duration]]&lt;=120,"1 to 2 Hours",TRUE,"More Than 2 Hours")</f>
        <v>More Than 2 Hours</v>
      </c>
      <c r="K850" s="82">
        <f>ROUND(TABLE_PIVOT[[#This Row],[Satisfaction Rating]],0)</f>
        <v>3</v>
      </c>
    </row>
    <row r="851" spans="1:11" x14ac:dyDescent="0.3">
      <c r="A851" s="8" t="s">
        <v>2477</v>
      </c>
      <c r="B851" s="8" t="s">
        <v>1613</v>
      </c>
      <c r="C851" s="8">
        <v>117</v>
      </c>
      <c r="D851" s="120" t="s">
        <v>1621</v>
      </c>
      <c r="E851" s="121">
        <v>45217</v>
      </c>
      <c r="F851" s="8">
        <v>120</v>
      </c>
      <c r="G851" s="8">
        <v>3.4</v>
      </c>
      <c r="H851" s="82">
        <f>IF(MONTH(TABLE_PIVOT[[#This Row],[Date of Call]])&lt;=6,YEAR(TABLE_PIVOT[[#This Row],[Date of Call]]),YEAR(TABLE_PIVOT[[#This Row],[Date of Call]])+1)</f>
        <v>2024</v>
      </c>
      <c r="I851" s="82" t="str">
        <f>TEXT(TABLE_PIVOT[[#This Row],[Date of Call]],"DDDD")</f>
        <v>Wednesday</v>
      </c>
      <c r="J851" s="82" t="str" cm="1">
        <f t="array" ref="J851">_xlfn.IFS(TABLE_PIVOT[[#This Row],[Duration]]&lt;=10,"Under 10 Mins",TABLE_PIVOT[[#This Row],[Duration]]&lt;=30,"10 to 30 Mins",TABLE_PIVOT[[#This Row],[Duration]]&lt;=60,"30 to 60 Mins",TABLE_PIVOT[[#This Row],[Duration]]&lt;=120,"1 to 2 Hours",TRUE,"More Than 2 Hours")</f>
        <v>1 to 2 Hours</v>
      </c>
      <c r="K851" s="82">
        <f>ROUND(TABLE_PIVOT[[#This Row],[Satisfaction Rating]],0)</f>
        <v>3</v>
      </c>
    </row>
    <row r="852" spans="1:11" x14ac:dyDescent="0.3">
      <c r="A852" s="8" t="s">
        <v>2478</v>
      </c>
      <c r="B852" s="8" t="s">
        <v>1610</v>
      </c>
      <c r="C852" s="8">
        <v>133</v>
      </c>
      <c r="D852" s="120" t="s">
        <v>1616</v>
      </c>
      <c r="E852" s="121">
        <v>45217</v>
      </c>
      <c r="F852" s="8">
        <v>117</v>
      </c>
      <c r="G852" s="8">
        <v>4.8</v>
      </c>
      <c r="H852" s="82">
        <f>IF(MONTH(TABLE_PIVOT[[#This Row],[Date of Call]])&lt;=6,YEAR(TABLE_PIVOT[[#This Row],[Date of Call]]),YEAR(TABLE_PIVOT[[#This Row],[Date of Call]])+1)</f>
        <v>2024</v>
      </c>
      <c r="I852" s="82" t="str">
        <f>TEXT(TABLE_PIVOT[[#This Row],[Date of Call]],"DDDD")</f>
        <v>Wednesday</v>
      </c>
      <c r="J852" s="82" t="str" cm="1">
        <f t="array" ref="J852">_xlfn.IFS(TABLE_PIVOT[[#This Row],[Duration]]&lt;=10,"Under 10 Mins",TABLE_PIVOT[[#This Row],[Duration]]&lt;=30,"10 to 30 Mins",TABLE_PIVOT[[#This Row],[Duration]]&lt;=60,"30 to 60 Mins",TABLE_PIVOT[[#This Row],[Duration]]&lt;=120,"1 to 2 Hours",TRUE,"More Than 2 Hours")</f>
        <v>More Than 2 Hours</v>
      </c>
      <c r="K852" s="82">
        <f>ROUND(TABLE_PIVOT[[#This Row],[Satisfaction Rating]],0)</f>
        <v>5</v>
      </c>
    </row>
    <row r="853" spans="1:11" x14ac:dyDescent="0.3">
      <c r="A853" s="8" t="s">
        <v>2479</v>
      </c>
      <c r="B853" s="8" t="s">
        <v>1635</v>
      </c>
      <c r="C853" s="8">
        <v>166</v>
      </c>
      <c r="D853" s="120" t="s">
        <v>1626</v>
      </c>
      <c r="E853" s="121">
        <v>45218</v>
      </c>
      <c r="F853" s="8">
        <v>29</v>
      </c>
      <c r="G853" s="8">
        <v>4.3</v>
      </c>
      <c r="H853" s="82">
        <f>IF(MONTH(TABLE_PIVOT[[#This Row],[Date of Call]])&lt;=6,YEAR(TABLE_PIVOT[[#This Row],[Date of Call]]),YEAR(TABLE_PIVOT[[#This Row],[Date of Call]])+1)</f>
        <v>2024</v>
      </c>
      <c r="I853" s="82" t="str">
        <f>TEXT(TABLE_PIVOT[[#This Row],[Date of Call]],"DDDD")</f>
        <v>Thursday</v>
      </c>
      <c r="J853" s="82" t="str" cm="1">
        <f t="array" ref="J853">_xlfn.IFS(TABLE_PIVOT[[#This Row],[Duration]]&lt;=10,"Under 10 Mins",TABLE_PIVOT[[#This Row],[Duration]]&lt;=30,"10 to 30 Mins",TABLE_PIVOT[[#This Row],[Duration]]&lt;=60,"30 to 60 Mins",TABLE_PIVOT[[#This Row],[Duration]]&lt;=120,"1 to 2 Hours",TRUE,"More Than 2 Hours")</f>
        <v>More Than 2 Hours</v>
      </c>
      <c r="K853" s="82">
        <f>ROUND(TABLE_PIVOT[[#This Row],[Satisfaction Rating]],0)</f>
        <v>4</v>
      </c>
    </row>
    <row r="854" spans="1:11" x14ac:dyDescent="0.3">
      <c r="A854" s="8" t="s">
        <v>2480</v>
      </c>
      <c r="B854" s="8" t="s">
        <v>1610</v>
      </c>
      <c r="C854" s="8">
        <v>50</v>
      </c>
      <c r="D854" s="120" t="s">
        <v>1621</v>
      </c>
      <c r="E854" s="121">
        <v>45218</v>
      </c>
      <c r="F854" s="8">
        <v>64</v>
      </c>
      <c r="G854" s="8">
        <v>4.5</v>
      </c>
      <c r="H854" s="82">
        <f>IF(MONTH(TABLE_PIVOT[[#This Row],[Date of Call]])&lt;=6,YEAR(TABLE_PIVOT[[#This Row],[Date of Call]]),YEAR(TABLE_PIVOT[[#This Row],[Date of Call]])+1)</f>
        <v>2024</v>
      </c>
      <c r="I854" s="82" t="str">
        <f>TEXT(TABLE_PIVOT[[#This Row],[Date of Call]],"DDDD")</f>
        <v>Thursday</v>
      </c>
      <c r="J854" s="82" t="str" cm="1">
        <f t="array" ref="J854">_xlfn.IFS(TABLE_PIVOT[[#This Row],[Duration]]&lt;=10,"Under 10 Mins",TABLE_PIVOT[[#This Row],[Duration]]&lt;=30,"10 to 30 Mins",TABLE_PIVOT[[#This Row],[Duration]]&lt;=60,"30 to 60 Mins",TABLE_PIVOT[[#This Row],[Duration]]&lt;=120,"1 to 2 Hours",TRUE,"More Than 2 Hours")</f>
        <v>30 to 60 Mins</v>
      </c>
      <c r="K854" s="82">
        <f>ROUND(TABLE_PIVOT[[#This Row],[Satisfaction Rating]],0)</f>
        <v>5</v>
      </c>
    </row>
    <row r="855" spans="1:11" x14ac:dyDescent="0.3">
      <c r="A855" s="8" t="s">
        <v>2481</v>
      </c>
      <c r="B855" s="8" t="s">
        <v>1649</v>
      </c>
      <c r="C855" s="8">
        <v>43</v>
      </c>
      <c r="D855" s="120" t="s">
        <v>1616</v>
      </c>
      <c r="E855" s="121">
        <v>45218</v>
      </c>
      <c r="F855" s="8">
        <v>84</v>
      </c>
      <c r="G855" s="8">
        <v>3.6</v>
      </c>
      <c r="H855" s="82">
        <f>IF(MONTH(TABLE_PIVOT[[#This Row],[Date of Call]])&lt;=6,YEAR(TABLE_PIVOT[[#This Row],[Date of Call]]),YEAR(TABLE_PIVOT[[#This Row],[Date of Call]])+1)</f>
        <v>2024</v>
      </c>
      <c r="I855" s="82" t="str">
        <f>TEXT(TABLE_PIVOT[[#This Row],[Date of Call]],"DDDD")</f>
        <v>Thursday</v>
      </c>
      <c r="J855" s="82" t="str" cm="1">
        <f t="array" ref="J855">_xlfn.IFS(TABLE_PIVOT[[#This Row],[Duration]]&lt;=10,"Under 10 Mins",TABLE_PIVOT[[#This Row],[Duration]]&lt;=30,"10 to 30 Mins",TABLE_PIVOT[[#This Row],[Duration]]&lt;=60,"30 to 60 Mins",TABLE_PIVOT[[#This Row],[Duration]]&lt;=120,"1 to 2 Hours",TRUE,"More Than 2 Hours")</f>
        <v>30 to 60 Mins</v>
      </c>
      <c r="K855" s="82">
        <f>ROUND(TABLE_PIVOT[[#This Row],[Satisfaction Rating]],0)</f>
        <v>4</v>
      </c>
    </row>
    <row r="856" spans="1:11" x14ac:dyDescent="0.3">
      <c r="A856" s="8" t="s">
        <v>2482</v>
      </c>
      <c r="B856" s="8" t="s">
        <v>1633</v>
      </c>
      <c r="C856" s="8">
        <v>124</v>
      </c>
      <c r="D856" s="120" t="s">
        <v>1630</v>
      </c>
      <c r="E856" s="121">
        <v>45218</v>
      </c>
      <c r="F856" s="8">
        <v>42</v>
      </c>
      <c r="G856" s="8">
        <v>3.7</v>
      </c>
      <c r="H856" s="82">
        <f>IF(MONTH(TABLE_PIVOT[[#This Row],[Date of Call]])&lt;=6,YEAR(TABLE_PIVOT[[#This Row],[Date of Call]]),YEAR(TABLE_PIVOT[[#This Row],[Date of Call]])+1)</f>
        <v>2024</v>
      </c>
      <c r="I856" s="82" t="str">
        <f>TEXT(TABLE_PIVOT[[#This Row],[Date of Call]],"DDDD")</f>
        <v>Thursday</v>
      </c>
      <c r="J856" s="82" t="str" cm="1">
        <f t="array" ref="J856">_xlfn.IFS(TABLE_PIVOT[[#This Row],[Duration]]&lt;=10,"Under 10 Mins",TABLE_PIVOT[[#This Row],[Duration]]&lt;=30,"10 to 30 Mins",TABLE_PIVOT[[#This Row],[Duration]]&lt;=60,"30 to 60 Mins",TABLE_PIVOT[[#This Row],[Duration]]&lt;=120,"1 to 2 Hours",TRUE,"More Than 2 Hours")</f>
        <v>More Than 2 Hours</v>
      </c>
      <c r="K856" s="82">
        <f>ROUND(TABLE_PIVOT[[#This Row],[Satisfaction Rating]],0)</f>
        <v>4</v>
      </c>
    </row>
    <row r="857" spans="1:11" x14ac:dyDescent="0.3">
      <c r="A857" s="8" t="s">
        <v>2483</v>
      </c>
      <c r="B857" s="8" t="s">
        <v>1618</v>
      </c>
      <c r="C857" s="8">
        <v>94</v>
      </c>
      <c r="D857" s="120" t="s">
        <v>1630</v>
      </c>
      <c r="E857" s="121">
        <v>45218</v>
      </c>
      <c r="F857" s="8">
        <v>120</v>
      </c>
      <c r="G857" s="8">
        <v>3.5</v>
      </c>
      <c r="H857" s="82">
        <f>IF(MONTH(TABLE_PIVOT[[#This Row],[Date of Call]])&lt;=6,YEAR(TABLE_PIVOT[[#This Row],[Date of Call]]),YEAR(TABLE_PIVOT[[#This Row],[Date of Call]])+1)</f>
        <v>2024</v>
      </c>
      <c r="I857" s="82" t="str">
        <f>TEXT(TABLE_PIVOT[[#This Row],[Date of Call]],"DDDD")</f>
        <v>Thursday</v>
      </c>
      <c r="J857" s="82" t="str" cm="1">
        <f t="array" ref="J857">_xlfn.IFS(TABLE_PIVOT[[#This Row],[Duration]]&lt;=10,"Under 10 Mins",TABLE_PIVOT[[#This Row],[Duration]]&lt;=30,"10 to 30 Mins",TABLE_PIVOT[[#This Row],[Duration]]&lt;=60,"30 to 60 Mins",TABLE_PIVOT[[#This Row],[Duration]]&lt;=120,"1 to 2 Hours",TRUE,"More Than 2 Hours")</f>
        <v>1 to 2 Hours</v>
      </c>
      <c r="K857" s="82">
        <f>ROUND(TABLE_PIVOT[[#This Row],[Satisfaction Rating]],0)</f>
        <v>4</v>
      </c>
    </row>
    <row r="858" spans="1:11" x14ac:dyDescent="0.3">
      <c r="A858" s="8" t="s">
        <v>2484</v>
      </c>
      <c r="B858" s="8" t="s">
        <v>1649</v>
      </c>
      <c r="C858" s="8">
        <v>126</v>
      </c>
      <c r="D858" s="120" t="s">
        <v>1626</v>
      </c>
      <c r="E858" s="121">
        <v>45219</v>
      </c>
      <c r="F858" s="8">
        <v>80</v>
      </c>
      <c r="G858" s="8">
        <v>4.7</v>
      </c>
      <c r="H858" s="82">
        <f>IF(MONTH(TABLE_PIVOT[[#This Row],[Date of Call]])&lt;=6,YEAR(TABLE_PIVOT[[#This Row],[Date of Call]]),YEAR(TABLE_PIVOT[[#This Row],[Date of Call]])+1)</f>
        <v>2024</v>
      </c>
      <c r="I858" s="82" t="str">
        <f>TEXT(TABLE_PIVOT[[#This Row],[Date of Call]],"DDDD")</f>
        <v>Friday</v>
      </c>
      <c r="J858" s="82" t="str" cm="1">
        <f t="array" ref="J858">_xlfn.IFS(TABLE_PIVOT[[#This Row],[Duration]]&lt;=10,"Under 10 Mins",TABLE_PIVOT[[#This Row],[Duration]]&lt;=30,"10 to 30 Mins",TABLE_PIVOT[[#This Row],[Duration]]&lt;=60,"30 to 60 Mins",TABLE_PIVOT[[#This Row],[Duration]]&lt;=120,"1 to 2 Hours",TRUE,"More Than 2 Hours")</f>
        <v>More Than 2 Hours</v>
      </c>
      <c r="K858" s="82">
        <f>ROUND(TABLE_PIVOT[[#This Row],[Satisfaction Rating]],0)</f>
        <v>5</v>
      </c>
    </row>
    <row r="859" spans="1:11" x14ac:dyDescent="0.3">
      <c r="A859" s="8" t="s">
        <v>2485</v>
      </c>
      <c r="B859" s="8" t="s">
        <v>1635</v>
      </c>
      <c r="C859" s="8">
        <v>105</v>
      </c>
      <c r="D859" s="120" t="s">
        <v>1621</v>
      </c>
      <c r="E859" s="121">
        <v>45219</v>
      </c>
      <c r="F859" s="8">
        <v>185</v>
      </c>
      <c r="G859" s="8">
        <v>3.5</v>
      </c>
      <c r="H859" s="82">
        <f>IF(MONTH(TABLE_PIVOT[[#This Row],[Date of Call]])&lt;=6,YEAR(TABLE_PIVOT[[#This Row],[Date of Call]]),YEAR(TABLE_PIVOT[[#This Row],[Date of Call]])+1)</f>
        <v>2024</v>
      </c>
      <c r="I859" s="82" t="str">
        <f>TEXT(TABLE_PIVOT[[#This Row],[Date of Call]],"DDDD")</f>
        <v>Friday</v>
      </c>
      <c r="J859" s="82" t="str" cm="1">
        <f t="array" ref="J859">_xlfn.IFS(TABLE_PIVOT[[#This Row],[Duration]]&lt;=10,"Under 10 Mins",TABLE_PIVOT[[#This Row],[Duration]]&lt;=30,"10 to 30 Mins",TABLE_PIVOT[[#This Row],[Duration]]&lt;=60,"30 to 60 Mins",TABLE_PIVOT[[#This Row],[Duration]]&lt;=120,"1 to 2 Hours",TRUE,"More Than 2 Hours")</f>
        <v>1 to 2 Hours</v>
      </c>
      <c r="K859" s="82">
        <f>ROUND(TABLE_PIVOT[[#This Row],[Satisfaction Rating]],0)</f>
        <v>4</v>
      </c>
    </row>
    <row r="860" spans="1:11" x14ac:dyDescent="0.3">
      <c r="A860" s="8" t="s">
        <v>2486</v>
      </c>
      <c r="B860" s="8" t="s">
        <v>1620</v>
      </c>
      <c r="C860" s="8">
        <v>60</v>
      </c>
      <c r="D860" s="120" t="s">
        <v>1611</v>
      </c>
      <c r="E860" s="121">
        <v>45220</v>
      </c>
      <c r="F860" s="8">
        <v>135</v>
      </c>
      <c r="G860" s="8">
        <v>3.9</v>
      </c>
      <c r="H860" s="82">
        <f>IF(MONTH(TABLE_PIVOT[[#This Row],[Date of Call]])&lt;=6,YEAR(TABLE_PIVOT[[#This Row],[Date of Call]]),YEAR(TABLE_PIVOT[[#This Row],[Date of Call]])+1)</f>
        <v>2024</v>
      </c>
      <c r="I860" s="82" t="str">
        <f>TEXT(TABLE_PIVOT[[#This Row],[Date of Call]],"DDDD")</f>
        <v>Saturday</v>
      </c>
      <c r="J860" s="82" t="str" cm="1">
        <f t="array" ref="J860">_xlfn.IFS(TABLE_PIVOT[[#This Row],[Duration]]&lt;=10,"Under 10 Mins",TABLE_PIVOT[[#This Row],[Duration]]&lt;=30,"10 to 30 Mins",TABLE_PIVOT[[#This Row],[Duration]]&lt;=60,"30 to 60 Mins",TABLE_PIVOT[[#This Row],[Duration]]&lt;=120,"1 to 2 Hours",TRUE,"More Than 2 Hours")</f>
        <v>30 to 60 Mins</v>
      </c>
      <c r="K860" s="82">
        <f>ROUND(TABLE_PIVOT[[#This Row],[Satisfaction Rating]],0)</f>
        <v>4</v>
      </c>
    </row>
    <row r="861" spans="1:11" x14ac:dyDescent="0.3">
      <c r="A861" s="8" t="s">
        <v>2487</v>
      </c>
      <c r="B861" s="8" t="s">
        <v>1620</v>
      </c>
      <c r="C861" s="8">
        <v>72</v>
      </c>
      <c r="D861" s="120" t="s">
        <v>1621</v>
      </c>
      <c r="E861" s="121">
        <v>45220</v>
      </c>
      <c r="F861" s="8">
        <v>20</v>
      </c>
      <c r="G861" s="8">
        <v>4.8</v>
      </c>
      <c r="H861" s="82">
        <f>IF(MONTH(TABLE_PIVOT[[#This Row],[Date of Call]])&lt;=6,YEAR(TABLE_PIVOT[[#This Row],[Date of Call]]),YEAR(TABLE_PIVOT[[#This Row],[Date of Call]])+1)</f>
        <v>2024</v>
      </c>
      <c r="I861" s="82" t="str">
        <f>TEXT(TABLE_PIVOT[[#This Row],[Date of Call]],"DDDD")</f>
        <v>Saturday</v>
      </c>
      <c r="J861" s="82" t="str" cm="1">
        <f t="array" ref="J861">_xlfn.IFS(TABLE_PIVOT[[#This Row],[Duration]]&lt;=10,"Under 10 Mins",TABLE_PIVOT[[#This Row],[Duration]]&lt;=30,"10 to 30 Mins",TABLE_PIVOT[[#This Row],[Duration]]&lt;=60,"30 to 60 Mins",TABLE_PIVOT[[#This Row],[Duration]]&lt;=120,"1 to 2 Hours",TRUE,"More Than 2 Hours")</f>
        <v>1 to 2 Hours</v>
      </c>
      <c r="K861" s="82">
        <f>ROUND(TABLE_PIVOT[[#This Row],[Satisfaction Rating]],0)</f>
        <v>5</v>
      </c>
    </row>
    <row r="862" spans="1:11" x14ac:dyDescent="0.3">
      <c r="A862" s="8" t="s">
        <v>2488</v>
      </c>
      <c r="B862" s="8" t="s">
        <v>1652</v>
      </c>
      <c r="C862" s="8">
        <v>40</v>
      </c>
      <c r="D862" s="120" t="s">
        <v>1621</v>
      </c>
      <c r="E862" s="121">
        <v>45220</v>
      </c>
      <c r="F862" s="8">
        <v>31</v>
      </c>
      <c r="G862" s="8">
        <v>4</v>
      </c>
      <c r="H862" s="82">
        <f>IF(MONTH(TABLE_PIVOT[[#This Row],[Date of Call]])&lt;=6,YEAR(TABLE_PIVOT[[#This Row],[Date of Call]]),YEAR(TABLE_PIVOT[[#This Row],[Date of Call]])+1)</f>
        <v>2024</v>
      </c>
      <c r="I862" s="82" t="str">
        <f>TEXT(TABLE_PIVOT[[#This Row],[Date of Call]],"DDDD")</f>
        <v>Saturday</v>
      </c>
      <c r="J862" s="82" t="str" cm="1">
        <f t="array" ref="J862">_xlfn.IFS(TABLE_PIVOT[[#This Row],[Duration]]&lt;=10,"Under 10 Mins",TABLE_PIVOT[[#This Row],[Duration]]&lt;=30,"10 to 30 Mins",TABLE_PIVOT[[#This Row],[Duration]]&lt;=60,"30 to 60 Mins",TABLE_PIVOT[[#This Row],[Duration]]&lt;=120,"1 to 2 Hours",TRUE,"More Than 2 Hours")</f>
        <v>30 to 60 Mins</v>
      </c>
      <c r="K862" s="82">
        <f>ROUND(TABLE_PIVOT[[#This Row],[Satisfaction Rating]],0)</f>
        <v>4</v>
      </c>
    </row>
    <row r="863" spans="1:11" x14ac:dyDescent="0.3">
      <c r="A863" s="8" t="s">
        <v>2489</v>
      </c>
      <c r="B863" s="8" t="s">
        <v>1682</v>
      </c>
      <c r="C863" s="8">
        <v>54</v>
      </c>
      <c r="D863" s="120" t="s">
        <v>1626</v>
      </c>
      <c r="E863" s="121">
        <v>45221</v>
      </c>
      <c r="F863" s="8">
        <v>120</v>
      </c>
      <c r="G863" s="8">
        <v>4.7</v>
      </c>
      <c r="H863" s="82">
        <f>IF(MONTH(TABLE_PIVOT[[#This Row],[Date of Call]])&lt;=6,YEAR(TABLE_PIVOT[[#This Row],[Date of Call]]),YEAR(TABLE_PIVOT[[#This Row],[Date of Call]])+1)</f>
        <v>2024</v>
      </c>
      <c r="I863" s="82" t="str">
        <f>TEXT(TABLE_PIVOT[[#This Row],[Date of Call]],"DDDD")</f>
        <v>Sunday</v>
      </c>
      <c r="J863" s="82" t="str" cm="1">
        <f t="array" ref="J863">_xlfn.IFS(TABLE_PIVOT[[#This Row],[Duration]]&lt;=10,"Under 10 Mins",TABLE_PIVOT[[#This Row],[Duration]]&lt;=30,"10 to 30 Mins",TABLE_PIVOT[[#This Row],[Duration]]&lt;=60,"30 to 60 Mins",TABLE_PIVOT[[#This Row],[Duration]]&lt;=120,"1 to 2 Hours",TRUE,"More Than 2 Hours")</f>
        <v>30 to 60 Mins</v>
      </c>
      <c r="K863" s="82">
        <f>ROUND(TABLE_PIVOT[[#This Row],[Satisfaction Rating]],0)</f>
        <v>5</v>
      </c>
    </row>
    <row r="864" spans="1:11" x14ac:dyDescent="0.3">
      <c r="A864" s="8" t="s">
        <v>2490</v>
      </c>
      <c r="B864" s="8" t="s">
        <v>1613</v>
      </c>
      <c r="C864" s="8">
        <v>81</v>
      </c>
      <c r="D864" s="120" t="s">
        <v>1616</v>
      </c>
      <c r="E864" s="121">
        <v>45221</v>
      </c>
      <c r="F864" s="8">
        <v>117</v>
      </c>
      <c r="G864" s="8">
        <v>3.6</v>
      </c>
      <c r="H864" s="82">
        <f>IF(MONTH(TABLE_PIVOT[[#This Row],[Date of Call]])&lt;=6,YEAR(TABLE_PIVOT[[#This Row],[Date of Call]]),YEAR(TABLE_PIVOT[[#This Row],[Date of Call]])+1)</f>
        <v>2024</v>
      </c>
      <c r="I864" s="82" t="str">
        <f>TEXT(TABLE_PIVOT[[#This Row],[Date of Call]],"DDDD")</f>
        <v>Sunday</v>
      </c>
      <c r="J864" s="82" t="str" cm="1">
        <f t="array" ref="J864">_xlfn.IFS(TABLE_PIVOT[[#This Row],[Duration]]&lt;=10,"Under 10 Mins",TABLE_PIVOT[[#This Row],[Duration]]&lt;=30,"10 to 30 Mins",TABLE_PIVOT[[#This Row],[Duration]]&lt;=60,"30 to 60 Mins",TABLE_PIVOT[[#This Row],[Duration]]&lt;=120,"1 to 2 Hours",TRUE,"More Than 2 Hours")</f>
        <v>1 to 2 Hours</v>
      </c>
      <c r="K864" s="82">
        <f>ROUND(TABLE_PIVOT[[#This Row],[Satisfaction Rating]],0)</f>
        <v>4</v>
      </c>
    </row>
    <row r="865" spans="1:11" x14ac:dyDescent="0.3">
      <c r="A865" s="8" t="s">
        <v>2491</v>
      </c>
      <c r="B865" s="8" t="s">
        <v>1682</v>
      </c>
      <c r="C865" s="8">
        <v>76</v>
      </c>
      <c r="D865" s="120" t="s">
        <v>1630</v>
      </c>
      <c r="E865" s="121">
        <v>45221</v>
      </c>
      <c r="F865" s="8">
        <v>80</v>
      </c>
      <c r="G865" s="8">
        <v>4.5</v>
      </c>
      <c r="H865" s="82">
        <f>IF(MONTH(TABLE_PIVOT[[#This Row],[Date of Call]])&lt;=6,YEAR(TABLE_PIVOT[[#This Row],[Date of Call]]),YEAR(TABLE_PIVOT[[#This Row],[Date of Call]])+1)</f>
        <v>2024</v>
      </c>
      <c r="I865" s="82" t="str">
        <f>TEXT(TABLE_PIVOT[[#This Row],[Date of Call]],"DDDD")</f>
        <v>Sunday</v>
      </c>
      <c r="J865" s="82" t="str" cm="1">
        <f t="array" ref="J865">_xlfn.IFS(TABLE_PIVOT[[#This Row],[Duration]]&lt;=10,"Under 10 Mins",TABLE_PIVOT[[#This Row],[Duration]]&lt;=30,"10 to 30 Mins",TABLE_PIVOT[[#This Row],[Duration]]&lt;=60,"30 to 60 Mins",TABLE_PIVOT[[#This Row],[Duration]]&lt;=120,"1 to 2 Hours",TRUE,"More Than 2 Hours")</f>
        <v>1 to 2 Hours</v>
      </c>
      <c r="K865" s="82">
        <f>ROUND(TABLE_PIVOT[[#This Row],[Satisfaction Rating]],0)</f>
        <v>5</v>
      </c>
    </row>
    <row r="866" spans="1:11" x14ac:dyDescent="0.3">
      <c r="A866" s="8" t="s">
        <v>2492</v>
      </c>
      <c r="B866" s="8" t="s">
        <v>1682</v>
      </c>
      <c r="C866" s="8">
        <v>37</v>
      </c>
      <c r="D866" s="120" t="s">
        <v>1611</v>
      </c>
      <c r="E866" s="121">
        <v>45222</v>
      </c>
      <c r="F866" s="8">
        <v>117</v>
      </c>
      <c r="G866" s="8">
        <v>4</v>
      </c>
      <c r="H866" s="82">
        <f>IF(MONTH(TABLE_PIVOT[[#This Row],[Date of Call]])&lt;=6,YEAR(TABLE_PIVOT[[#This Row],[Date of Call]]),YEAR(TABLE_PIVOT[[#This Row],[Date of Call]])+1)</f>
        <v>2024</v>
      </c>
      <c r="I866" s="82" t="str">
        <f>TEXT(TABLE_PIVOT[[#This Row],[Date of Call]],"DDDD")</f>
        <v>Monday</v>
      </c>
      <c r="J866" s="82" t="str" cm="1">
        <f t="array" ref="J866">_xlfn.IFS(TABLE_PIVOT[[#This Row],[Duration]]&lt;=10,"Under 10 Mins",TABLE_PIVOT[[#This Row],[Duration]]&lt;=30,"10 to 30 Mins",TABLE_PIVOT[[#This Row],[Duration]]&lt;=60,"30 to 60 Mins",TABLE_PIVOT[[#This Row],[Duration]]&lt;=120,"1 to 2 Hours",TRUE,"More Than 2 Hours")</f>
        <v>30 to 60 Mins</v>
      </c>
      <c r="K866" s="82">
        <f>ROUND(TABLE_PIVOT[[#This Row],[Satisfaction Rating]],0)</f>
        <v>4</v>
      </c>
    </row>
    <row r="867" spans="1:11" x14ac:dyDescent="0.3">
      <c r="A867" s="8" t="s">
        <v>2493</v>
      </c>
      <c r="B867" s="8" t="s">
        <v>1635</v>
      </c>
      <c r="C867" s="8">
        <v>96</v>
      </c>
      <c r="D867" s="120" t="s">
        <v>1626</v>
      </c>
      <c r="E867" s="121">
        <v>45222</v>
      </c>
      <c r="F867" s="8">
        <v>60</v>
      </c>
      <c r="G867" s="8">
        <v>4.5</v>
      </c>
      <c r="H867" s="82">
        <f>IF(MONTH(TABLE_PIVOT[[#This Row],[Date of Call]])&lt;=6,YEAR(TABLE_PIVOT[[#This Row],[Date of Call]]),YEAR(TABLE_PIVOT[[#This Row],[Date of Call]])+1)</f>
        <v>2024</v>
      </c>
      <c r="I867" s="82" t="str">
        <f>TEXT(TABLE_PIVOT[[#This Row],[Date of Call]],"DDDD")</f>
        <v>Monday</v>
      </c>
      <c r="J867" s="82" t="str" cm="1">
        <f t="array" ref="J867">_xlfn.IFS(TABLE_PIVOT[[#This Row],[Duration]]&lt;=10,"Under 10 Mins",TABLE_PIVOT[[#This Row],[Duration]]&lt;=30,"10 to 30 Mins",TABLE_PIVOT[[#This Row],[Duration]]&lt;=60,"30 to 60 Mins",TABLE_PIVOT[[#This Row],[Duration]]&lt;=120,"1 to 2 Hours",TRUE,"More Than 2 Hours")</f>
        <v>1 to 2 Hours</v>
      </c>
      <c r="K867" s="82">
        <f>ROUND(TABLE_PIVOT[[#This Row],[Satisfaction Rating]],0)</f>
        <v>5</v>
      </c>
    </row>
    <row r="868" spans="1:11" x14ac:dyDescent="0.3">
      <c r="A868" s="8" t="s">
        <v>2494</v>
      </c>
      <c r="B868" s="8" t="s">
        <v>1620</v>
      </c>
      <c r="C868" s="8">
        <v>19</v>
      </c>
      <c r="D868" s="120" t="s">
        <v>1630</v>
      </c>
      <c r="E868" s="121">
        <v>45223</v>
      </c>
      <c r="F868" s="8">
        <v>58</v>
      </c>
      <c r="G868" s="8">
        <v>3.9</v>
      </c>
      <c r="H868" s="82">
        <f>IF(MONTH(TABLE_PIVOT[[#This Row],[Date of Call]])&lt;=6,YEAR(TABLE_PIVOT[[#This Row],[Date of Call]]),YEAR(TABLE_PIVOT[[#This Row],[Date of Call]])+1)</f>
        <v>2024</v>
      </c>
      <c r="I868" s="82" t="str">
        <f>TEXT(TABLE_PIVOT[[#This Row],[Date of Call]],"DDDD")</f>
        <v>Tuesday</v>
      </c>
      <c r="J868" s="82" t="str" cm="1">
        <f t="array" ref="J868">_xlfn.IFS(TABLE_PIVOT[[#This Row],[Duration]]&lt;=10,"Under 10 Mins",TABLE_PIVOT[[#This Row],[Duration]]&lt;=30,"10 to 30 Mins",TABLE_PIVOT[[#This Row],[Duration]]&lt;=60,"30 to 60 Mins",TABLE_PIVOT[[#This Row],[Duration]]&lt;=120,"1 to 2 Hours",TRUE,"More Than 2 Hours")</f>
        <v>10 to 30 Mins</v>
      </c>
      <c r="K868" s="82">
        <f>ROUND(TABLE_PIVOT[[#This Row],[Satisfaction Rating]],0)</f>
        <v>4</v>
      </c>
    </row>
    <row r="869" spans="1:11" x14ac:dyDescent="0.3">
      <c r="A869" s="8" t="s">
        <v>2495</v>
      </c>
      <c r="B869" s="8" t="s">
        <v>1652</v>
      </c>
      <c r="C869" s="8">
        <v>72</v>
      </c>
      <c r="D869" s="120" t="s">
        <v>1611</v>
      </c>
      <c r="E869" s="121">
        <v>45223</v>
      </c>
      <c r="F869" s="8">
        <v>41</v>
      </c>
      <c r="G869" s="8">
        <v>4.3</v>
      </c>
      <c r="H869" s="82">
        <f>IF(MONTH(TABLE_PIVOT[[#This Row],[Date of Call]])&lt;=6,YEAR(TABLE_PIVOT[[#This Row],[Date of Call]]),YEAR(TABLE_PIVOT[[#This Row],[Date of Call]])+1)</f>
        <v>2024</v>
      </c>
      <c r="I869" s="82" t="str">
        <f>TEXT(TABLE_PIVOT[[#This Row],[Date of Call]],"DDDD")</f>
        <v>Tuesday</v>
      </c>
      <c r="J869" s="82" t="str" cm="1">
        <f t="array" ref="J869">_xlfn.IFS(TABLE_PIVOT[[#This Row],[Duration]]&lt;=10,"Under 10 Mins",TABLE_PIVOT[[#This Row],[Duration]]&lt;=30,"10 to 30 Mins",TABLE_PIVOT[[#This Row],[Duration]]&lt;=60,"30 to 60 Mins",TABLE_PIVOT[[#This Row],[Duration]]&lt;=120,"1 to 2 Hours",TRUE,"More Than 2 Hours")</f>
        <v>1 to 2 Hours</v>
      </c>
      <c r="K869" s="82">
        <f>ROUND(TABLE_PIVOT[[#This Row],[Satisfaction Rating]],0)</f>
        <v>4</v>
      </c>
    </row>
    <row r="870" spans="1:11" x14ac:dyDescent="0.3">
      <c r="A870" s="8" t="s">
        <v>2496</v>
      </c>
      <c r="B870" s="8" t="s">
        <v>1618</v>
      </c>
      <c r="C870" s="8">
        <v>73</v>
      </c>
      <c r="D870" s="120" t="s">
        <v>1616</v>
      </c>
      <c r="E870" s="121">
        <v>45223</v>
      </c>
      <c r="F870" s="8">
        <v>180</v>
      </c>
      <c r="G870" s="8">
        <v>3.6</v>
      </c>
      <c r="H870" s="82">
        <f>IF(MONTH(TABLE_PIVOT[[#This Row],[Date of Call]])&lt;=6,YEAR(TABLE_PIVOT[[#This Row],[Date of Call]]),YEAR(TABLE_PIVOT[[#This Row],[Date of Call]])+1)</f>
        <v>2024</v>
      </c>
      <c r="I870" s="82" t="str">
        <f>TEXT(TABLE_PIVOT[[#This Row],[Date of Call]],"DDDD")</f>
        <v>Tuesday</v>
      </c>
      <c r="J870" s="82" t="str" cm="1">
        <f t="array" ref="J870">_xlfn.IFS(TABLE_PIVOT[[#This Row],[Duration]]&lt;=10,"Under 10 Mins",TABLE_PIVOT[[#This Row],[Duration]]&lt;=30,"10 to 30 Mins",TABLE_PIVOT[[#This Row],[Duration]]&lt;=60,"30 to 60 Mins",TABLE_PIVOT[[#This Row],[Duration]]&lt;=120,"1 to 2 Hours",TRUE,"More Than 2 Hours")</f>
        <v>1 to 2 Hours</v>
      </c>
      <c r="K870" s="82">
        <f>ROUND(TABLE_PIVOT[[#This Row],[Satisfaction Rating]],0)</f>
        <v>4</v>
      </c>
    </row>
    <row r="871" spans="1:11" x14ac:dyDescent="0.3">
      <c r="A871" s="8" t="s">
        <v>2497</v>
      </c>
      <c r="B871" s="8" t="s">
        <v>1662</v>
      </c>
      <c r="C871" s="8">
        <v>87</v>
      </c>
      <c r="D871" s="120" t="s">
        <v>1616</v>
      </c>
      <c r="E871" s="121">
        <v>45223</v>
      </c>
      <c r="F871" s="8">
        <v>42</v>
      </c>
      <c r="G871" s="8">
        <v>3.6</v>
      </c>
      <c r="H871" s="82">
        <f>IF(MONTH(TABLE_PIVOT[[#This Row],[Date of Call]])&lt;=6,YEAR(TABLE_PIVOT[[#This Row],[Date of Call]]),YEAR(TABLE_PIVOT[[#This Row],[Date of Call]])+1)</f>
        <v>2024</v>
      </c>
      <c r="I871" s="82" t="str">
        <f>TEXT(TABLE_PIVOT[[#This Row],[Date of Call]],"DDDD")</f>
        <v>Tuesday</v>
      </c>
      <c r="J871" s="82" t="str" cm="1">
        <f t="array" ref="J871">_xlfn.IFS(TABLE_PIVOT[[#This Row],[Duration]]&lt;=10,"Under 10 Mins",TABLE_PIVOT[[#This Row],[Duration]]&lt;=30,"10 to 30 Mins",TABLE_PIVOT[[#This Row],[Duration]]&lt;=60,"30 to 60 Mins",TABLE_PIVOT[[#This Row],[Duration]]&lt;=120,"1 to 2 Hours",TRUE,"More Than 2 Hours")</f>
        <v>1 to 2 Hours</v>
      </c>
      <c r="K871" s="82">
        <f>ROUND(TABLE_PIVOT[[#This Row],[Satisfaction Rating]],0)</f>
        <v>4</v>
      </c>
    </row>
    <row r="872" spans="1:11" x14ac:dyDescent="0.3">
      <c r="A872" s="8" t="s">
        <v>2498</v>
      </c>
      <c r="B872" s="8" t="s">
        <v>1662</v>
      </c>
      <c r="C872" s="8">
        <v>68</v>
      </c>
      <c r="D872" s="120" t="s">
        <v>1616</v>
      </c>
      <c r="E872" s="121">
        <v>45224</v>
      </c>
      <c r="F872" s="8">
        <v>24</v>
      </c>
      <c r="G872" s="8">
        <v>4</v>
      </c>
      <c r="H872" s="82">
        <f>IF(MONTH(TABLE_PIVOT[[#This Row],[Date of Call]])&lt;=6,YEAR(TABLE_PIVOT[[#This Row],[Date of Call]]),YEAR(TABLE_PIVOT[[#This Row],[Date of Call]])+1)</f>
        <v>2024</v>
      </c>
      <c r="I872" s="82" t="str">
        <f>TEXT(TABLE_PIVOT[[#This Row],[Date of Call]],"DDDD")</f>
        <v>Wednesday</v>
      </c>
      <c r="J872" s="82" t="str" cm="1">
        <f t="array" ref="J872">_xlfn.IFS(TABLE_PIVOT[[#This Row],[Duration]]&lt;=10,"Under 10 Mins",TABLE_PIVOT[[#This Row],[Duration]]&lt;=30,"10 to 30 Mins",TABLE_PIVOT[[#This Row],[Duration]]&lt;=60,"30 to 60 Mins",TABLE_PIVOT[[#This Row],[Duration]]&lt;=120,"1 to 2 Hours",TRUE,"More Than 2 Hours")</f>
        <v>1 to 2 Hours</v>
      </c>
      <c r="K872" s="82">
        <f>ROUND(TABLE_PIVOT[[#This Row],[Satisfaction Rating]],0)</f>
        <v>4</v>
      </c>
    </row>
    <row r="873" spans="1:11" x14ac:dyDescent="0.3">
      <c r="A873" s="8" t="s">
        <v>2499</v>
      </c>
      <c r="B873" s="8" t="s">
        <v>1652</v>
      </c>
      <c r="C873" s="8">
        <v>101</v>
      </c>
      <c r="D873" s="120" t="s">
        <v>1616</v>
      </c>
      <c r="E873" s="121">
        <v>45224</v>
      </c>
      <c r="F873" s="8">
        <v>125</v>
      </c>
      <c r="G873" s="8">
        <v>4.2</v>
      </c>
      <c r="H873" s="82">
        <f>IF(MONTH(TABLE_PIVOT[[#This Row],[Date of Call]])&lt;=6,YEAR(TABLE_PIVOT[[#This Row],[Date of Call]]),YEAR(TABLE_PIVOT[[#This Row],[Date of Call]])+1)</f>
        <v>2024</v>
      </c>
      <c r="I873" s="82" t="str">
        <f>TEXT(TABLE_PIVOT[[#This Row],[Date of Call]],"DDDD")</f>
        <v>Wednesday</v>
      </c>
      <c r="J873" s="82" t="str" cm="1">
        <f t="array" ref="J873">_xlfn.IFS(TABLE_PIVOT[[#This Row],[Duration]]&lt;=10,"Under 10 Mins",TABLE_PIVOT[[#This Row],[Duration]]&lt;=30,"10 to 30 Mins",TABLE_PIVOT[[#This Row],[Duration]]&lt;=60,"30 to 60 Mins",TABLE_PIVOT[[#This Row],[Duration]]&lt;=120,"1 to 2 Hours",TRUE,"More Than 2 Hours")</f>
        <v>1 to 2 Hours</v>
      </c>
      <c r="K873" s="82">
        <f>ROUND(TABLE_PIVOT[[#This Row],[Satisfaction Rating]],0)</f>
        <v>4</v>
      </c>
    </row>
    <row r="874" spans="1:11" x14ac:dyDescent="0.3">
      <c r="A874" s="8" t="s">
        <v>2500</v>
      </c>
      <c r="B874" s="8" t="s">
        <v>1652</v>
      </c>
      <c r="C874" s="8">
        <v>107</v>
      </c>
      <c r="D874" s="120" t="s">
        <v>1611</v>
      </c>
      <c r="E874" s="121">
        <v>45225</v>
      </c>
      <c r="F874" s="8">
        <v>78</v>
      </c>
      <c r="G874" s="8">
        <v>4.3</v>
      </c>
      <c r="H874" s="82">
        <f>IF(MONTH(TABLE_PIVOT[[#This Row],[Date of Call]])&lt;=6,YEAR(TABLE_PIVOT[[#This Row],[Date of Call]]),YEAR(TABLE_PIVOT[[#This Row],[Date of Call]])+1)</f>
        <v>2024</v>
      </c>
      <c r="I874" s="82" t="str">
        <f>TEXT(TABLE_PIVOT[[#This Row],[Date of Call]],"DDDD")</f>
        <v>Thursday</v>
      </c>
      <c r="J874" s="82" t="str" cm="1">
        <f t="array" ref="J874">_xlfn.IFS(TABLE_PIVOT[[#This Row],[Duration]]&lt;=10,"Under 10 Mins",TABLE_PIVOT[[#This Row],[Duration]]&lt;=30,"10 to 30 Mins",TABLE_PIVOT[[#This Row],[Duration]]&lt;=60,"30 to 60 Mins",TABLE_PIVOT[[#This Row],[Duration]]&lt;=120,"1 to 2 Hours",TRUE,"More Than 2 Hours")</f>
        <v>1 to 2 Hours</v>
      </c>
      <c r="K874" s="82">
        <f>ROUND(TABLE_PIVOT[[#This Row],[Satisfaction Rating]],0)</f>
        <v>4</v>
      </c>
    </row>
    <row r="875" spans="1:11" x14ac:dyDescent="0.3">
      <c r="A875" s="8" t="s">
        <v>2501</v>
      </c>
      <c r="B875" s="8" t="s">
        <v>1641</v>
      </c>
      <c r="C875" s="8">
        <v>109</v>
      </c>
      <c r="D875" s="120" t="s">
        <v>1621</v>
      </c>
      <c r="E875" s="121">
        <v>45225</v>
      </c>
      <c r="F875" s="8">
        <v>180</v>
      </c>
      <c r="G875" s="8">
        <v>3.8</v>
      </c>
      <c r="H875" s="82">
        <f>IF(MONTH(TABLE_PIVOT[[#This Row],[Date of Call]])&lt;=6,YEAR(TABLE_PIVOT[[#This Row],[Date of Call]]),YEAR(TABLE_PIVOT[[#This Row],[Date of Call]])+1)</f>
        <v>2024</v>
      </c>
      <c r="I875" s="82" t="str">
        <f>TEXT(TABLE_PIVOT[[#This Row],[Date of Call]],"DDDD")</f>
        <v>Thursday</v>
      </c>
      <c r="J875" s="82" t="str" cm="1">
        <f t="array" ref="J875">_xlfn.IFS(TABLE_PIVOT[[#This Row],[Duration]]&lt;=10,"Under 10 Mins",TABLE_PIVOT[[#This Row],[Duration]]&lt;=30,"10 to 30 Mins",TABLE_PIVOT[[#This Row],[Duration]]&lt;=60,"30 to 60 Mins",TABLE_PIVOT[[#This Row],[Duration]]&lt;=120,"1 to 2 Hours",TRUE,"More Than 2 Hours")</f>
        <v>1 to 2 Hours</v>
      </c>
      <c r="K875" s="82">
        <f>ROUND(TABLE_PIVOT[[#This Row],[Satisfaction Rating]],0)</f>
        <v>4</v>
      </c>
    </row>
    <row r="876" spans="1:11" x14ac:dyDescent="0.3">
      <c r="A876" s="8" t="s">
        <v>2502</v>
      </c>
      <c r="B876" s="8" t="s">
        <v>1633</v>
      </c>
      <c r="C876" s="8">
        <v>171</v>
      </c>
      <c r="D876" s="120" t="s">
        <v>1611</v>
      </c>
      <c r="E876" s="121">
        <v>45225</v>
      </c>
      <c r="F876" s="8">
        <v>84</v>
      </c>
      <c r="G876" s="8">
        <v>4.4000000000000004</v>
      </c>
      <c r="H876" s="82">
        <f>IF(MONTH(TABLE_PIVOT[[#This Row],[Date of Call]])&lt;=6,YEAR(TABLE_PIVOT[[#This Row],[Date of Call]]),YEAR(TABLE_PIVOT[[#This Row],[Date of Call]])+1)</f>
        <v>2024</v>
      </c>
      <c r="I876" s="82" t="str">
        <f>TEXT(TABLE_PIVOT[[#This Row],[Date of Call]],"DDDD")</f>
        <v>Thursday</v>
      </c>
      <c r="J876" s="82" t="str" cm="1">
        <f t="array" ref="J876">_xlfn.IFS(TABLE_PIVOT[[#This Row],[Duration]]&lt;=10,"Under 10 Mins",TABLE_PIVOT[[#This Row],[Duration]]&lt;=30,"10 to 30 Mins",TABLE_PIVOT[[#This Row],[Duration]]&lt;=60,"30 to 60 Mins",TABLE_PIVOT[[#This Row],[Duration]]&lt;=120,"1 to 2 Hours",TRUE,"More Than 2 Hours")</f>
        <v>More Than 2 Hours</v>
      </c>
      <c r="K876" s="82">
        <f>ROUND(TABLE_PIVOT[[#This Row],[Satisfaction Rating]],0)</f>
        <v>4</v>
      </c>
    </row>
    <row r="877" spans="1:11" x14ac:dyDescent="0.3">
      <c r="A877" s="8" t="s">
        <v>2503</v>
      </c>
      <c r="B877" s="8" t="s">
        <v>1620</v>
      </c>
      <c r="C877" s="8">
        <v>21</v>
      </c>
      <c r="D877" s="120" t="s">
        <v>1611</v>
      </c>
      <c r="E877" s="121">
        <v>45225</v>
      </c>
      <c r="F877" s="8">
        <v>26</v>
      </c>
      <c r="G877" s="8">
        <v>4.7</v>
      </c>
      <c r="H877" s="82">
        <f>IF(MONTH(TABLE_PIVOT[[#This Row],[Date of Call]])&lt;=6,YEAR(TABLE_PIVOT[[#This Row],[Date of Call]]),YEAR(TABLE_PIVOT[[#This Row],[Date of Call]])+1)</f>
        <v>2024</v>
      </c>
      <c r="I877" s="82" t="str">
        <f>TEXT(TABLE_PIVOT[[#This Row],[Date of Call]],"DDDD")</f>
        <v>Thursday</v>
      </c>
      <c r="J877" s="82" t="str" cm="1">
        <f t="array" ref="J877">_xlfn.IFS(TABLE_PIVOT[[#This Row],[Duration]]&lt;=10,"Under 10 Mins",TABLE_PIVOT[[#This Row],[Duration]]&lt;=30,"10 to 30 Mins",TABLE_PIVOT[[#This Row],[Duration]]&lt;=60,"30 to 60 Mins",TABLE_PIVOT[[#This Row],[Duration]]&lt;=120,"1 to 2 Hours",TRUE,"More Than 2 Hours")</f>
        <v>10 to 30 Mins</v>
      </c>
      <c r="K877" s="82">
        <f>ROUND(TABLE_PIVOT[[#This Row],[Satisfaction Rating]],0)</f>
        <v>5</v>
      </c>
    </row>
    <row r="878" spans="1:11" x14ac:dyDescent="0.3">
      <c r="A878" s="8" t="s">
        <v>2504</v>
      </c>
      <c r="B878" s="8" t="s">
        <v>1613</v>
      </c>
      <c r="C878" s="8">
        <v>94</v>
      </c>
      <c r="D878" s="120" t="s">
        <v>1611</v>
      </c>
      <c r="E878" s="121">
        <v>45226</v>
      </c>
      <c r="F878" s="8">
        <v>140</v>
      </c>
      <c r="G878" s="8">
        <v>3.6</v>
      </c>
      <c r="H878" s="82">
        <f>IF(MONTH(TABLE_PIVOT[[#This Row],[Date of Call]])&lt;=6,YEAR(TABLE_PIVOT[[#This Row],[Date of Call]]),YEAR(TABLE_PIVOT[[#This Row],[Date of Call]])+1)</f>
        <v>2024</v>
      </c>
      <c r="I878" s="82" t="str">
        <f>TEXT(TABLE_PIVOT[[#This Row],[Date of Call]],"DDDD")</f>
        <v>Friday</v>
      </c>
      <c r="J878" s="82" t="str" cm="1">
        <f t="array" ref="J878">_xlfn.IFS(TABLE_PIVOT[[#This Row],[Duration]]&lt;=10,"Under 10 Mins",TABLE_PIVOT[[#This Row],[Duration]]&lt;=30,"10 to 30 Mins",TABLE_PIVOT[[#This Row],[Duration]]&lt;=60,"30 to 60 Mins",TABLE_PIVOT[[#This Row],[Duration]]&lt;=120,"1 to 2 Hours",TRUE,"More Than 2 Hours")</f>
        <v>1 to 2 Hours</v>
      </c>
      <c r="K878" s="82">
        <f>ROUND(TABLE_PIVOT[[#This Row],[Satisfaction Rating]],0)</f>
        <v>4</v>
      </c>
    </row>
    <row r="879" spans="1:11" x14ac:dyDescent="0.3">
      <c r="A879" s="8" t="s">
        <v>2505</v>
      </c>
      <c r="B879" s="8" t="s">
        <v>1618</v>
      </c>
      <c r="C879" s="8">
        <v>97</v>
      </c>
      <c r="D879" s="120" t="s">
        <v>1621</v>
      </c>
      <c r="E879" s="121">
        <v>45226</v>
      </c>
      <c r="F879" s="8">
        <v>31</v>
      </c>
      <c r="G879" s="8">
        <v>2.2000000000000002</v>
      </c>
      <c r="H879" s="82">
        <f>IF(MONTH(TABLE_PIVOT[[#This Row],[Date of Call]])&lt;=6,YEAR(TABLE_PIVOT[[#This Row],[Date of Call]]),YEAR(TABLE_PIVOT[[#This Row],[Date of Call]])+1)</f>
        <v>2024</v>
      </c>
      <c r="I879" s="82" t="str">
        <f>TEXT(TABLE_PIVOT[[#This Row],[Date of Call]],"DDDD")</f>
        <v>Friday</v>
      </c>
      <c r="J879" s="82" t="str" cm="1">
        <f t="array" ref="J879">_xlfn.IFS(TABLE_PIVOT[[#This Row],[Duration]]&lt;=10,"Under 10 Mins",TABLE_PIVOT[[#This Row],[Duration]]&lt;=30,"10 to 30 Mins",TABLE_PIVOT[[#This Row],[Duration]]&lt;=60,"30 to 60 Mins",TABLE_PIVOT[[#This Row],[Duration]]&lt;=120,"1 to 2 Hours",TRUE,"More Than 2 Hours")</f>
        <v>1 to 2 Hours</v>
      </c>
      <c r="K879" s="82">
        <f>ROUND(TABLE_PIVOT[[#This Row],[Satisfaction Rating]],0)</f>
        <v>2</v>
      </c>
    </row>
    <row r="880" spans="1:11" x14ac:dyDescent="0.3">
      <c r="A880" s="8" t="s">
        <v>2506</v>
      </c>
      <c r="B880" s="8" t="s">
        <v>1635</v>
      </c>
      <c r="C880" s="8">
        <v>72</v>
      </c>
      <c r="D880" s="120" t="s">
        <v>1621</v>
      </c>
      <c r="E880" s="121">
        <v>45226</v>
      </c>
      <c r="F880" s="8">
        <v>108</v>
      </c>
      <c r="G880" s="8">
        <v>4.8</v>
      </c>
      <c r="H880" s="82">
        <f>IF(MONTH(TABLE_PIVOT[[#This Row],[Date of Call]])&lt;=6,YEAR(TABLE_PIVOT[[#This Row],[Date of Call]]),YEAR(TABLE_PIVOT[[#This Row],[Date of Call]])+1)</f>
        <v>2024</v>
      </c>
      <c r="I880" s="82" t="str">
        <f>TEXT(TABLE_PIVOT[[#This Row],[Date of Call]],"DDDD")</f>
        <v>Friday</v>
      </c>
      <c r="J880" s="82" t="str" cm="1">
        <f t="array" ref="J880">_xlfn.IFS(TABLE_PIVOT[[#This Row],[Duration]]&lt;=10,"Under 10 Mins",TABLE_PIVOT[[#This Row],[Duration]]&lt;=30,"10 to 30 Mins",TABLE_PIVOT[[#This Row],[Duration]]&lt;=60,"30 to 60 Mins",TABLE_PIVOT[[#This Row],[Duration]]&lt;=120,"1 to 2 Hours",TRUE,"More Than 2 Hours")</f>
        <v>1 to 2 Hours</v>
      </c>
      <c r="K880" s="82">
        <f>ROUND(TABLE_PIVOT[[#This Row],[Satisfaction Rating]],0)</f>
        <v>5</v>
      </c>
    </row>
    <row r="881" spans="1:11" x14ac:dyDescent="0.3">
      <c r="A881" s="8" t="s">
        <v>2507</v>
      </c>
      <c r="B881" s="8" t="s">
        <v>1633</v>
      </c>
      <c r="C881" s="8">
        <v>143</v>
      </c>
      <c r="D881" s="120" t="s">
        <v>1626</v>
      </c>
      <c r="E881" s="121">
        <v>45227</v>
      </c>
      <c r="F881" s="8">
        <v>58</v>
      </c>
      <c r="G881" s="8">
        <v>4.3</v>
      </c>
      <c r="H881" s="82">
        <f>IF(MONTH(TABLE_PIVOT[[#This Row],[Date of Call]])&lt;=6,YEAR(TABLE_PIVOT[[#This Row],[Date of Call]]),YEAR(TABLE_PIVOT[[#This Row],[Date of Call]])+1)</f>
        <v>2024</v>
      </c>
      <c r="I881" s="82" t="str">
        <f>TEXT(TABLE_PIVOT[[#This Row],[Date of Call]],"DDDD")</f>
        <v>Saturday</v>
      </c>
      <c r="J881" s="82" t="str" cm="1">
        <f t="array" ref="J881">_xlfn.IFS(TABLE_PIVOT[[#This Row],[Duration]]&lt;=10,"Under 10 Mins",TABLE_PIVOT[[#This Row],[Duration]]&lt;=30,"10 to 30 Mins",TABLE_PIVOT[[#This Row],[Duration]]&lt;=60,"30 to 60 Mins",TABLE_PIVOT[[#This Row],[Duration]]&lt;=120,"1 to 2 Hours",TRUE,"More Than 2 Hours")</f>
        <v>More Than 2 Hours</v>
      </c>
      <c r="K881" s="82">
        <f>ROUND(TABLE_PIVOT[[#This Row],[Satisfaction Rating]],0)</f>
        <v>4</v>
      </c>
    </row>
    <row r="882" spans="1:11" x14ac:dyDescent="0.3">
      <c r="A882" s="8" t="s">
        <v>2508</v>
      </c>
      <c r="B882" s="8" t="s">
        <v>1633</v>
      </c>
      <c r="C882" s="8">
        <v>64</v>
      </c>
      <c r="D882" s="120" t="s">
        <v>1621</v>
      </c>
      <c r="E882" s="121">
        <v>45227</v>
      </c>
      <c r="F882" s="8">
        <v>185</v>
      </c>
      <c r="G882" s="8">
        <v>2.2000000000000002</v>
      </c>
      <c r="H882" s="82">
        <f>IF(MONTH(TABLE_PIVOT[[#This Row],[Date of Call]])&lt;=6,YEAR(TABLE_PIVOT[[#This Row],[Date of Call]]),YEAR(TABLE_PIVOT[[#This Row],[Date of Call]])+1)</f>
        <v>2024</v>
      </c>
      <c r="I882" s="82" t="str">
        <f>TEXT(TABLE_PIVOT[[#This Row],[Date of Call]],"DDDD")</f>
        <v>Saturday</v>
      </c>
      <c r="J882" s="82" t="str" cm="1">
        <f t="array" ref="J882">_xlfn.IFS(TABLE_PIVOT[[#This Row],[Duration]]&lt;=10,"Under 10 Mins",TABLE_PIVOT[[#This Row],[Duration]]&lt;=30,"10 to 30 Mins",TABLE_PIVOT[[#This Row],[Duration]]&lt;=60,"30 to 60 Mins",TABLE_PIVOT[[#This Row],[Duration]]&lt;=120,"1 to 2 Hours",TRUE,"More Than 2 Hours")</f>
        <v>1 to 2 Hours</v>
      </c>
      <c r="K882" s="82">
        <f>ROUND(TABLE_PIVOT[[#This Row],[Satisfaction Rating]],0)</f>
        <v>2</v>
      </c>
    </row>
    <row r="883" spans="1:11" x14ac:dyDescent="0.3">
      <c r="A883" s="8" t="s">
        <v>2509</v>
      </c>
      <c r="B883" s="8" t="s">
        <v>1633</v>
      </c>
      <c r="C883" s="8">
        <v>69</v>
      </c>
      <c r="D883" s="120" t="s">
        <v>1621</v>
      </c>
      <c r="E883" s="121">
        <v>45227</v>
      </c>
      <c r="F883" s="8">
        <v>40</v>
      </c>
      <c r="G883" s="8">
        <v>4.8</v>
      </c>
      <c r="H883" s="82">
        <f>IF(MONTH(TABLE_PIVOT[[#This Row],[Date of Call]])&lt;=6,YEAR(TABLE_PIVOT[[#This Row],[Date of Call]]),YEAR(TABLE_PIVOT[[#This Row],[Date of Call]])+1)</f>
        <v>2024</v>
      </c>
      <c r="I883" s="82" t="str">
        <f>TEXT(TABLE_PIVOT[[#This Row],[Date of Call]],"DDDD")</f>
        <v>Saturday</v>
      </c>
      <c r="J883" s="82" t="str" cm="1">
        <f t="array" ref="J883">_xlfn.IFS(TABLE_PIVOT[[#This Row],[Duration]]&lt;=10,"Under 10 Mins",TABLE_PIVOT[[#This Row],[Duration]]&lt;=30,"10 to 30 Mins",TABLE_PIVOT[[#This Row],[Duration]]&lt;=60,"30 to 60 Mins",TABLE_PIVOT[[#This Row],[Duration]]&lt;=120,"1 to 2 Hours",TRUE,"More Than 2 Hours")</f>
        <v>1 to 2 Hours</v>
      </c>
      <c r="K883" s="82">
        <f>ROUND(TABLE_PIVOT[[#This Row],[Satisfaction Rating]],0)</f>
        <v>5</v>
      </c>
    </row>
    <row r="884" spans="1:11" x14ac:dyDescent="0.3">
      <c r="A884" s="8" t="s">
        <v>2510</v>
      </c>
      <c r="B884" s="8" t="s">
        <v>1633</v>
      </c>
      <c r="C884" s="8">
        <v>18</v>
      </c>
      <c r="D884" s="120" t="s">
        <v>1630</v>
      </c>
      <c r="E884" s="121">
        <v>45227</v>
      </c>
      <c r="F884" s="8">
        <v>225</v>
      </c>
      <c r="G884" s="8">
        <v>2.6</v>
      </c>
      <c r="H884" s="82">
        <f>IF(MONTH(TABLE_PIVOT[[#This Row],[Date of Call]])&lt;=6,YEAR(TABLE_PIVOT[[#This Row],[Date of Call]]),YEAR(TABLE_PIVOT[[#This Row],[Date of Call]])+1)</f>
        <v>2024</v>
      </c>
      <c r="I884" s="82" t="str">
        <f>TEXT(TABLE_PIVOT[[#This Row],[Date of Call]],"DDDD")</f>
        <v>Saturday</v>
      </c>
      <c r="J884" s="82" t="str" cm="1">
        <f t="array" ref="J884">_xlfn.IFS(TABLE_PIVOT[[#This Row],[Duration]]&lt;=10,"Under 10 Mins",TABLE_PIVOT[[#This Row],[Duration]]&lt;=30,"10 to 30 Mins",TABLE_PIVOT[[#This Row],[Duration]]&lt;=60,"30 to 60 Mins",TABLE_PIVOT[[#This Row],[Duration]]&lt;=120,"1 to 2 Hours",TRUE,"More Than 2 Hours")</f>
        <v>10 to 30 Mins</v>
      </c>
      <c r="K884" s="82">
        <f>ROUND(TABLE_PIVOT[[#This Row],[Satisfaction Rating]],0)</f>
        <v>3</v>
      </c>
    </row>
    <row r="885" spans="1:11" x14ac:dyDescent="0.3">
      <c r="A885" s="8" t="s">
        <v>2511</v>
      </c>
      <c r="B885" s="8" t="s">
        <v>1618</v>
      </c>
      <c r="C885" s="8">
        <v>100</v>
      </c>
      <c r="D885" s="120" t="s">
        <v>1626</v>
      </c>
      <c r="E885" s="121">
        <v>45227</v>
      </c>
      <c r="F885" s="8">
        <v>150</v>
      </c>
      <c r="G885" s="8">
        <v>2.6</v>
      </c>
      <c r="H885" s="82">
        <f>IF(MONTH(TABLE_PIVOT[[#This Row],[Date of Call]])&lt;=6,YEAR(TABLE_PIVOT[[#This Row],[Date of Call]]),YEAR(TABLE_PIVOT[[#This Row],[Date of Call]])+1)</f>
        <v>2024</v>
      </c>
      <c r="I885" s="82" t="str">
        <f>TEXT(TABLE_PIVOT[[#This Row],[Date of Call]],"DDDD")</f>
        <v>Saturday</v>
      </c>
      <c r="J885" s="82" t="str" cm="1">
        <f t="array" ref="J885">_xlfn.IFS(TABLE_PIVOT[[#This Row],[Duration]]&lt;=10,"Under 10 Mins",TABLE_PIVOT[[#This Row],[Duration]]&lt;=30,"10 to 30 Mins",TABLE_PIVOT[[#This Row],[Duration]]&lt;=60,"30 to 60 Mins",TABLE_PIVOT[[#This Row],[Duration]]&lt;=120,"1 to 2 Hours",TRUE,"More Than 2 Hours")</f>
        <v>1 to 2 Hours</v>
      </c>
      <c r="K885" s="82">
        <f>ROUND(TABLE_PIVOT[[#This Row],[Satisfaction Rating]],0)</f>
        <v>3</v>
      </c>
    </row>
    <row r="886" spans="1:11" x14ac:dyDescent="0.3">
      <c r="A886" s="8" t="s">
        <v>2512</v>
      </c>
      <c r="B886" s="8" t="s">
        <v>1629</v>
      </c>
      <c r="C886" s="8">
        <v>110</v>
      </c>
      <c r="D886" s="120" t="s">
        <v>1616</v>
      </c>
      <c r="E886" s="121">
        <v>45228</v>
      </c>
      <c r="F886" s="8">
        <v>88</v>
      </c>
      <c r="G886" s="8">
        <v>3.4</v>
      </c>
      <c r="H886" s="82">
        <f>IF(MONTH(TABLE_PIVOT[[#This Row],[Date of Call]])&lt;=6,YEAR(TABLE_PIVOT[[#This Row],[Date of Call]]),YEAR(TABLE_PIVOT[[#This Row],[Date of Call]])+1)</f>
        <v>2024</v>
      </c>
      <c r="I886" s="82" t="str">
        <f>TEXT(TABLE_PIVOT[[#This Row],[Date of Call]],"DDDD")</f>
        <v>Sunday</v>
      </c>
      <c r="J886" s="82" t="str" cm="1">
        <f t="array" ref="J886">_xlfn.IFS(TABLE_PIVOT[[#This Row],[Duration]]&lt;=10,"Under 10 Mins",TABLE_PIVOT[[#This Row],[Duration]]&lt;=30,"10 to 30 Mins",TABLE_PIVOT[[#This Row],[Duration]]&lt;=60,"30 to 60 Mins",TABLE_PIVOT[[#This Row],[Duration]]&lt;=120,"1 to 2 Hours",TRUE,"More Than 2 Hours")</f>
        <v>1 to 2 Hours</v>
      </c>
      <c r="K886" s="82">
        <f>ROUND(TABLE_PIVOT[[#This Row],[Satisfaction Rating]],0)</f>
        <v>3</v>
      </c>
    </row>
    <row r="887" spans="1:11" x14ac:dyDescent="0.3">
      <c r="A887" s="8" t="s">
        <v>2513</v>
      </c>
      <c r="B887" s="8" t="s">
        <v>1644</v>
      </c>
      <c r="C887" s="8">
        <v>41</v>
      </c>
      <c r="D887" s="120" t="s">
        <v>1611</v>
      </c>
      <c r="E887" s="121">
        <v>45228</v>
      </c>
      <c r="F887" s="8">
        <v>140</v>
      </c>
      <c r="G887" s="8">
        <v>3.7</v>
      </c>
      <c r="H887" s="82">
        <f>IF(MONTH(TABLE_PIVOT[[#This Row],[Date of Call]])&lt;=6,YEAR(TABLE_PIVOT[[#This Row],[Date of Call]]),YEAR(TABLE_PIVOT[[#This Row],[Date of Call]])+1)</f>
        <v>2024</v>
      </c>
      <c r="I887" s="82" t="str">
        <f>TEXT(TABLE_PIVOT[[#This Row],[Date of Call]],"DDDD")</f>
        <v>Sunday</v>
      </c>
      <c r="J887" s="82" t="str" cm="1">
        <f t="array" ref="J887">_xlfn.IFS(TABLE_PIVOT[[#This Row],[Duration]]&lt;=10,"Under 10 Mins",TABLE_PIVOT[[#This Row],[Duration]]&lt;=30,"10 to 30 Mins",TABLE_PIVOT[[#This Row],[Duration]]&lt;=60,"30 to 60 Mins",TABLE_PIVOT[[#This Row],[Duration]]&lt;=120,"1 to 2 Hours",TRUE,"More Than 2 Hours")</f>
        <v>30 to 60 Mins</v>
      </c>
      <c r="K887" s="82">
        <f>ROUND(TABLE_PIVOT[[#This Row],[Satisfaction Rating]],0)</f>
        <v>4</v>
      </c>
    </row>
    <row r="888" spans="1:11" x14ac:dyDescent="0.3">
      <c r="A888" s="8" t="s">
        <v>2514</v>
      </c>
      <c r="B888" s="8" t="s">
        <v>1629</v>
      </c>
      <c r="C888" s="8">
        <v>147</v>
      </c>
      <c r="D888" s="120" t="s">
        <v>1616</v>
      </c>
      <c r="E888" s="121">
        <v>45228</v>
      </c>
      <c r="F888" s="8">
        <v>68</v>
      </c>
      <c r="G888" s="8">
        <v>2.1</v>
      </c>
      <c r="H888" s="82">
        <f>IF(MONTH(TABLE_PIVOT[[#This Row],[Date of Call]])&lt;=6,YEAR(TABLE_PIVOT[[#This Row],[Date of Call]]),YEAR(TABLE_PIVOT[[#This Row],[Date of Call]])+1)</f>
        <v>2024</v>
      </c>
      <c r="I888" s="82" t="str">
        <f>TEXT(TABLE_PIVOT[[#This Row],[Date of Call]],"DDDD")</f>
        <v>Sunday</v>
      </c>
      <c r="J888" s="82" t="str" cm="1">
        <f t="array" ref="J888">_xlfn.IFS(TABLE_PIVOT[[#This Row],[Duration]]&lt;=10,"Under 10 Mins",TABLE_PIVOT[[#This Row],[Duration]]&lt;=30,"10 to 30 Mins",TABLE_PIVOT[[#This Row],[Duration]]&lt;=60,"30 to 60 Mins",TABLE_PIVOT[[#This Row],[Duration]]&lt;=120,"1 to 2 Hours",TRUE,"More Than 2 Hours")</f>
        <v>More Than 2 Hours</v>
      </c>
      <c r="K888" s="82">
        <f>ROUND(TABLE_PIVOT[[#This Row],[Satisfaction Rating]],0)</f>
        <v>2</v>
      </c>
    </row>
    <row r="889" spans="1:11" x14ac:dyDescent="0.3">
      <c r="A889" s="8" t="s">
        <v>2515</v>
      </c>
      <c r="B889" s="8" t="s">
        <v>1613</v>
      </c>
      <c r="C889" s="8">
        <v>31</v>
      </c>
      <c r="D889" s="120" t="s">
        <v>1630</v>
      </c>
      <c r="E889" s="121">
        <v>45229</v>
      </c>
      <c r="F889" s="8">
        <v>105</v>
      </c>
      <c r="G889" s="8">
        <v>3.6</v>
      </c>
      <c r="H889" s="82">
        <f>IF(MONTH(TABLE_PIVOT[[#This Row],[Date of Call]])&lt;=6,YEAR(TABLE_PIVOT[[#This Row],[Date of Call]]),YEAR(TABLE_PIVOT[[#This Row],[Date of Call]])+1)</f>
        <v>2024</v>
      </c>
      <c r="I889" s="82" t="str">
        <f>TEXT(TABLE_PIVOT[[#This Row],[Date of Call]],"DDDD")</f>
        <v>Monday</v>
      </c>
      <c r="J889" s="82" t="str" cm="1">
        <f t="array" ref="J889">_xlfn.IFS(TABLE_PIVOT[[#This Row],[Duration]]&lt;=10,"Under 10 Mins",TABLE_PIVOT[[#This Row],[Duration]]&lt;=30,"10 to 30 Mins",TABLE_PIVOT[[#This Row],[Duration]]&lt;=60,"30 to 60 Mins",TABLE_PIVOT[[#This Row],[Duration]]&lt;=120,"1 to 2 Hours",TRUE,"More Than 2 Hours")</f>
        <v>30 to 60 Mins</v>
      </c>
      <c r="K889" s="82">
        <f>ROUND(TABLE_PIVOT[[#This Row],[Satisfaction Rating]],0)</f>
        <v>4</v>
      </c>
    </row>
    <row r="890" spans="1:11" x14ac:dyDescent="0.3">
      <c r="A890" s="8" t="s">
        <v>2516</v>
      </c>
      <c r="B890" s="8" t="s">
        <v>1662</v>
      </c>
      <c r="C890" s="8">
        <v>142</v>
      </c>
      <c r="D890" s="120" t="s">
        <v>1611</v>
      </c>
      <c r="E890" s="121">
        <v>45229</v>
      </c>
      <c r="F890" s="8">
        <v>40</v>
      </c>
      <c r="G890" s="8">
        <v>3.8</v>
      </c>
      <c r="H890" s="82">
        <f>IF(MONTH(TABLE_PIVOT[[#This Row],[Date of Call]])&lt;=6,YEAR(TABLE_PIVOT[[#This Row],[Date of Call]]),YEAR(TABLE_PIVOT[[#This Row],[Date of Call]])+1)</f>
        <v>2024</v>
      </c>
      <c r="I890" s="82" t="str">
        <f>TEXT(TABLE_PIVOT[[#This Row],[Date of Call]],"DDDD")</f>
        <v>Monday</v>
      </c>
      <c r="J890" s="82" t="str" cm="1">
        <f t="array" ref="J890">_xlfn.IFS(TABLE_PIVOT[[#This Row],[Duration]]&lt;=10,"Under 10 Mins",TABLE_PIVOT[[#This Row],[Duration]]&lt;=30,"10 to 30 Mins",TABLE_PIVOT[[#This Row],[Duration]]&lt;=60,"30 to 60 Mins",TABLE_PIVOT[[#This Row],[Duration]]&lt;=120,"1 to 2 Hours",TRUE,"More Than 2 Hours")</f>
        <v>More Than 2 Hours</v>
      </c>
      <c r="K890" s="82">
        <f>ROUND(TABLE_PIVOT[[#This Row],[Satisfaction Rating]],0)</f>
        <v>4</v>
      </c>
    </row>
    <row r="891" spans="1:11" x14ac:dyDescent="0.3">
      <c r="A891" s="8" t="s">
        <v>2517</v>
      </c>
      <c r="B891" s="8" t="s">
        <v>1641</v>
      </c>
      <c r="C891" s="8">
        <v>61</v>
      </c>
      <c r="D891" s="120" t="s">
        <v>1611</v>
      </c>
      <c r="E891" s="121">
        <v>45229</v>
      </c>
      <c r="F891" s="8">
        <v>82</v>
      </c>
      <c r="G891" s="8">
        <v>3.1</v>
      </c>
      <c r="H891" s="82">
        <f>IF(MONTH(TABLE_PIVOT[[#This Row],[Date of Call]])&lt;=6,YEAR(TABLE_PIVOT[[#This Row],[Date of Call]]),YEAR(TABLE_PIVOT[[#This Row],[Date of Call]])+1)</f>
        <v>2024</v>
      </c>
      <c r="I891" s="82" t="str">
        <f>TEXT(TABLE_PIVOT[[#This Row],[Date of Call]],"DDDD")</f>
        <v>Monday</v>
      </c>
      <c r="J891" s="82" t="str" cm="1">
        <f t="array" ref="J891">_xlfn.IFS(TABLE_PIVOT[[#This Row],[Duration]]&lt;=10,"Under 10 Mins",TABLE_PIVOT[[#This Row],[Duration]]&lt;=30,"10 to 30 Mins",TABLE_PIVOT[[#This Row],[Duration]]&lt;=60,"30 to 60 Mins",TABLE_PIVOT[[#This Row],[Duration]]&lt;=120,"1 to 2 Hours",TRUE,"More Than 2 Hours")</f>
        <v>1 to 2 Hours</v>
      </c>
      <c r="K891" s="82">
        <f>ROUND(TABLE_PIVOT[[#This Row],[Satisfaction Rating]],0)</f>
        <v>3</v>
      </c>
    </row>
    <row r="892" spans="1:11" x14ac:dyDescent="0.3">
      <c r="A892" s="8" t="s">
        <v>2518</v>
      </c>
      <c r="B892" s="8" t="s">
        <v>1610</v>
      </c>
      <c r="C892" s="8">
        <v>86</v>
      </c>
      <c r="D892" s="120" t="s">
        <v>1630</v>
      </c>
      <c r="E892" s="121">
        <v>45230</v>
      </c>
      <c r="F892" s="8">
        <v>90</v>
      </c>
      <c r="G892" s="8">
        <v>4.4000000000000004</v>
      </c>
      <c r="H892" s="82">
        <f>IF(MONTH(TABLE_PIVOT[[#This Row],[Date of Call]])&lt;=6,YEAR(TABLE_PIVOT[[#This Row],[Date of Call]]),YEAR(TABLE_PIVOT[[#This Row],[Date of Call]])+1)</f>
        <v>2024</v>
      </c>
      <c r="I892" s="82" t="str">
        <f>TEXT(TABLE_PIVOT[[#This Row],[Date of Call]],"DDDD")</f>
        <v>Tuesday</v>
      </c>
      <c r="J892" s="82" t="str" cm="1">
        <f t="array" ref="J892">_xlfn.IFS(TABLE_PIVOT[[#This Row],[Duration]]&lt;=10,"Under 10 Mins",TABLE_PIVOT[[#This Row],[Duration]]&lt;=30,"10 to 30 Mins",TABLE_PIVOT[[#This Row],[Duration]]&lt;=60,"30 to 60 Mins",TABLE_PIVOT[[#This Row],[Duration]]&lt;=120,"1 to 2 Hours",TRUE,"More Than 2 Hours")</f>
        <v>1 to 2 Hours</v>
      </c>
      <c r="K892" s="82">
        <f>ROUND(TABLE_PIVOT[[#This Row],[Satisfaction Rating]],0)</f>
        <v>4</v>
      </c>
    </row>
    <row r="893" spans="1:11" x14ac:dyDescent="0.3">
      <c r="A893" s="8" t="s">
        <v>2519</v>
      </c>
      <c r="B893" s="8" t="s">
        <v>1615</v>
      </c>
      <c r="C893" s="8">
        <v>165</v>
      </c>
      <c r="D893" s="120" t="s">
        <v>1626</v>
      </c>
      <c r="E893" s="121">
        <v>45231</v>
      </c>
      <c r="F893" s="8">
        <v>66</v>
      </c>
      <c r="G893" s="8">
        <v>4.8</v>
      </c>
      <c r="H893" s="82">
        <f>IF(MONTH(TABLE_PIVOT[[#This Row],[Date of Call]])&lt;=6,YEAR(TABLE_PIVOT[[#This Row],[Date of Call]]),YEAR(TABLE_PIVOT[[#This Row],[Date of Call]])+1)</f>
        <v>2024</v>
      </c>
      <c r="I893" s="82" t="str">
        <f>TEXT(TABLE_PIVOT[[#This Row],[Date of Call]],"DDDD")</f>
        <v>Wednesday</v>
      </c>
      <c r="J893" s="82" t="str" cm="1">
        <f t="array" ref="J893">_xlfn.IFS(TABLE_PIVOT[[#This Row],[Duration]]&lt;=10,"Under 10 Mins",TABLE_PIVOT[[#This Row],[Duration]]&lt;=30,"10 to 30 Mins",TABLE_PIVOT[[#This Row],[Duration]]&lt;=60,"30 to 60 Mins",TABLE_PIVOT[[#This Row],[Duration]]&lt;=120,"1 to 2 Hours",TRUE,"More Than 2 Hours")</f>
        <v>More Than 2 Hours</v>
      </c>
      <c r="K893" s="82">
        <f>ROUND(TABLE_PIVOT[[#This Row],[Satisfaction Rating]],0)</f>
        <v>5</v>
      </c>
    </row>
    <row r="894" spans="1:11" x14ac:dyDescent="0.3">
      <c r="A894" s="8" t="s">
        <v>2520</v>
      </c>
      <c r="B894" s="8" t="s">
        <v>1682</v>
      </c>
      <c r="C894" s="8">
        <v>62</v>
      </c>
      <c r="D894" s="120" t="s">
        <v>1616</v>
      </c>
      <c r="E894" s="121">
        <v>45231</v>
      </c>
      <c r="F894" s="8">
        <v>78</v>
      </c>
      <c r="G894" s="8">
        <v>3.5</v>
      </c>
      <c r="H894" s="82">
        <f>IF(MONTH(TABLE_PIVOT[[#This Row],[Date of Call]])&lt;=6,YEAR(TABLE_PIVOT[[#This Row],[Date of Call]]),YEAR(TABLE_PIVOT[[#This Row],[Date of Call]])+1)</f>
        <v>2024</v>
      </c>
      <c r="I894" s="82" t="str">
        <f>TEXT(TABLE_PIVOT[[#This Row],[Date of Call]],"DDDD")</f>
        <v>Wednesday</v>
      </c>
      <c r="J894" s="82" t="str" cm="1">
        <f t="array" ref="J894">_xlfn.IFS(TABLE_PIVOT[[#This Row],[Duration]]&lt;=10,"Under 10 Mins",TABLE_PIVOT[[#This Row],[Duration]]&lt;=30,"10 to 30 Mins",TABLE_PIVOT[[#This Row],[Duration]]&lt;=60,"30 to 60 Mins",TABLE_PIVOT[[#This Row],[Duration]]&lt;=120,"1 to 2 Hours",TRUE,"More Than 2 Hours")</f>
        <v>1 to 2 Hours</v>
      </c>
      <c r="K894" s="82">
        <f>ROUND(TABLE_PIVOT[[#This Row],[Satisfaction Rating]],0)</f>
        <v>4</v>
      </c>
    </row>
    <row r="895" spans="1:11" x14ac:dyDescent="0.3">
      <c r="A895" s="8" t="s">
        <v>2521</v>
      </c>
      <c r="B895" s="8" t="s">
        <v>1618</v>
      </c>
      <c r="C895" s="8">
        <v>103</v>
      </c>
      <c r="D895" s="120" t="s">
        <v>1626</v>
      </c>
      <c r="E895" s="121">
        <v>45232</v>
      </c>
      <c r="F895" s="8">
        <v>66</v>
      </c>
      <c r="G895" s="8">
        <v>4.4000000000000004</v>
      </c>
      <c r="H895" s="82">
        <f>IF(MONTH(TABLE_PIVOT[[#This Row],[Date of Call]])&lt;=6,YEAR(TABLE_PIVOT[[#This Row],[Date of Call]]),YEAR(TABLE_PIVOT[[#This Row],[Date of Call]])+1)</f>
        <v>2024</v>
      </c>
      <c r="I895" s="82" t="str">
        <f>TEXT(TABLE_PIVOT[[#This Row],[Date of Call]],"DDDD")</f>
        <v>Thursday</v>
      </c>
      <c r="J895" s="82" t="str" cm="1">
        <f t="array" ref="J895">_xlfn.IFS(TABLE_PIVOT[[#This Row],[Duration]]&lt;=10,"Under 10 Mins",TABLE_PIVOT[[#This Row],[Duration]]&lt;=30,"10 to 30 Mins",TABLE_PIVOT[[#This Row],[Duration]]&lt;=60,"30 to 60 Mins",TABLE_PIVOT[[#This Row],[Duration]]&lt;=120,"1 to 2 Hours",TRUE,"More Than 2 Hours")</f>
        <v>1 to 2 Hours</v>
      </c>
      <c r="K895" s="82">
        <f>ROUND(TABLE_PIVOT[[#This Row],[Satisfaction Rating]],0)</f>
        <v>4</v>
      </c>
    </row>
    <row r="896" spans="1:11" x14ac:dyDescent="0.3">
      <c r="A896" s="8" t="s">
        <v>2522</v>
      </c>
      <c r="B896" s="8" t="s">
        <v>1662</v>
      </c>
      <c r="C896" s="8">
        <v>56</v>
      </c>
      <c r="D896" s="120" t="s">
        <v>1630</v>
      </c>
      <c r="E896" s="121">
        <v>45233</v>
      </c>
      <c r="F896" s="8">
        <v>160</v>
      </c>
      <c r="G896" s="8">
        <v>3.8</v>
      </c>
      <c r="H896" s="82">
        <f>IF(MONTH(TABLE_PIVOT[[#This Row],[Date of Call]])&lt;=6,YEAR(TABLE_PIVOT[[#This Row],[Date of Call]]),YEAR(TABLE_PIVOT[[#This Row],[Date of Call]])+1)</f>
        <v>2024</v>
      </c>
      <c r="I896" s="82" t="str">
        <f>TEXT(TABLE_PIVOT[[#This Row],[Date of Call]],"DDDD")</f>
        <v>Friday</v>
      </c>
      <c r="J896" s="82" t="str" cm="1">
        <f t="array" ref="J896">_xlfn.IFS(TABLE_PIVOT[[#This Row],[Duration]]&lt;=10,"Under 10 Mins",TABLE_PIVOT[[#This Row],[Duration]]&lt;=30,"10 to 30 Mins",TABLE_PIVOT[[#This Row],[Duration]]&lt;=60,"30 to 60 Mins",TABLE_PIVOT[[#This Row],[Duration]]&lt;=120,"1 to 2 Hours",TRUE,"More Than 2 Hours")</f>
        <v>30 to 60 Mins</v>
      </c>
      <c r="K896" s="82">
        <f>ROUND(TABLE_PIVOT[[#This Row],[Satisfaction Rating]],0)</f>
        <v>4</v>
      </c>
    </row>
    <row r="897" spans="1:11" x14ac:dyDescent="0.3">
      <c r="A897" s="8" t="s">
        <v>2523</v>
      </c>
      <c r="B897" s="8" t="s">
        <v>1652</v>
      </c>
      <c r="C897" s="8">
        <v>114</v>
      </c>
      <c r="D897" s="120" t="s">
        <v>1611</v>
      </c>
      <c r="E897" s="121">
        <v>45234</v>
      </c>
      <c r="F897" s="8">
        <v>144</v>
      </c>
      <c r="G897" s="8">
        <v>3.8</v>
      </c>
      <c r="H897" s="82">
        <f>IF(MONTH(TABLE_PIVOT[[#This Row],[Date of Call]])&lt;=6,YEAR(TABLE_PIVOT[[#This Row],[Date of Call]]),YEAR(TABLE_PIVOT[[#This Row],[Date of Call]])+1)</f>
        <v>2024</v>
      </c>
      <c r="I897" s="82" t="str">
        <f>TEXT(TABLE_PIVOT[[#This Row],[Date of Call]],"DDDD")</f>
        <v>Saturday</v>
      </c>
      <c r="J897" s="82" t="str" cm="1">
        <f t="array" ref="J897">_xlfn.IFS(TABLE_PIVOT[[#This Row],[Duration]]&lt;=10,"Under 10 Mins",TABLE_PIVOT[[#This Row],[Duration]]&lt;=30,"10 to 30 Mins",TABLE_PIVOT[[#This Row],[Duration]]&lt;=60,"30 to 60 Mins",TABLE_PIVOT[[#This Row],[Duration]]&lt;=120,"1 to 2 Hours",TRUE,"More Than 2 Hours")</f>
        <v>1 to 2 Hours</v>
      </c>
      <c r="K897" s="82">
        <f>ROUND(TABLE_PIVOT[[#This Row],[Satisfaction Rating]],0)</f>
        <v>4</v>
      </c>
    </row>
    <row r="898" spans="1:11" x14ac:dyDescent="0.3">
      <c r="A898" s="8" t="s">
        <v>2524</v>
      </c>
      <c r="B898" s="8" t="s">
        <v>1662</v>
      </c>
      <c r="C898" s="8">
        <v>112</v>
      </c>
      <c r="D898" s="120" t="s">
        <v>1621</v>
      </c>
      <c r="E898" s="121">
        <v>45234</v>
      </c>
      <c r="F898" s="8">
        <v>200</v>
      </c>
      <c r="G898" s="8">
        <v>4.5999999999999996</v>
      </c>
      <c r="H898" s="82">
        <f>IF(MONTH(TABLE_PIVOT[[#This Row],[Date of Call]])&lt;=6,YEAR(TABLE_PIVOT[[#This Row],[Date of Call]]),YEAR(TABLE_PIVOT[[#This Row],[Date of Call]])+1)</f>
        <v>2024</v>
      </c>
      <c r="I898" s="82" t="str">
        <f>TEXT(TABLE_PIVOT[[#This Row],[Date of Call]],"DDDD")</f>
        <v>Saturday</v>
      </c>
      <c r="J898" s="82" t="str" cm="1">
        <f t="array" ref="J898">_xlfn.IFS(TABLE_PIVOT[[#This Row],[Duration]]&lt;=10,"Under 10 Mins",TABLE_PIVOT[[#This Row],[Duration]]&lt;=30,"10 to 30 Mins",TABLE_PIVOT[[#This Row],[Duration]]&lt;=60,"30 to 60 Mins",TABLE_PIVOT[[#This Row],[Duration]]&lt;=120,"1 to 2 Hours",TRUE,"More Than 2 Hours")</f>
        <v>1 to 2 Hours</v>
      </c>
      <c r="K898" s="82">
        <f>ROUND(TABLE_PIVOT[[#This Row],[Satisfaction Rating]],0)</f>
        <v>5</v>
      </c>
    </row>
    <row r="899" spans="1:11" x14ac:dyDescent="0.3">
      <c r="A899" s="8" t="s">
        <v>2525</v>
      </c>
      <c r="B899" s="8" t="s">
        <v>1624</v>
      </c>
      <c r="C899" s="8">
        <v>52</v>
      </c>
      <c r="D899" s="120" t="s">
        <v>1616</v>
      </c>
      <c r="E899" s="121">
        <v>45236</v>
      </c>
      <c r="F899" s="8">
        <v>220</v>
      </c>
      <c r="G899" s="8">
        <v>5</v>
      </c>
      <c r="H899" s="82">
        <f>IF(MONTH(TABLE_PIVOT[[#This Row],[Date of Call]])&lt;=6,YEAR(TABLE_PIVOT[[#This Row],[Date of Call]]),YEAR(TABLE_PIVOT[[#This Row],[Date of Call]])+1)</f>
        <v>2024</v>
      </c>
      <c r="I899" s="82" t="str">
        <f>TEXT(TABLE_PIVOT[[#This Row],[Date of Call]],"DDDD")</f>
        <v>Monday</v>
      </c>
      <c r="J899" s="82" t="str" cm="1">
        <f t="array" ref="J899">_xlfn.IFS(TABLE_PIVOT[[#This Row],[Duration]]&lt;=10,"Under 10 Mins",TABLE_PIVOT[[#This Row],[Duration]]&lt;=30,"10 to 30 Mins",TABLE_PIVOT[[#This Row],[Duration]]&lt;=60,"30 to 60 Mins",TABLE_PIVOT[[#This Row],[Duration]]&lt;=120,"1 to 2 Hours",TRUE,"More Than 2 Hours")</f>
        <v>30 to 60 Mins</v>
      </c>
      <c r="K899" s="82">
        <f>ROUND(TABLE_PIVOT[[#This Row],[Satisfaction Rating]],0)</f>
        <v>5</v>
      </c>
    </row>
    <row r="900" spans="1:11" x14ac:dyDescent="0.3">
      <c r="A900" s="8" t="s">
        <v>2526</v>
      </c>
      <c r="B900" s="8" t="s">
        <v>1618</v>
      </c>
      <c r="C900" s="8">
        <v>105</v>
      </c>
      <c r="D900" s="120" t="s">
        <v>1626</v>
      </c>
      <c r="E900" s="121">
        <v>45237</v>
      </c>
      <c r="F900" s="8">
        <v>112</v>
      </c>
      <c r="G900" s="8">
        <v>3.2</v>
      </c>
      <c r="H900" s="82">
        <f>IF(MONTH(TABLE_PIVOT[[#This Row],[Date of Call]])&lt;=6,YEAR(TABLE_PIVOT[[#This Row],[Date of Call]]),YEAR(TABLE_PIVOT[[#This Row],[Date of Call]])+1)</f>
        <v>2024</v>
      </c>
      <c r="I900" s="82" t="str">
        <f>TEXT(TABLE_PIVOT[[#This Row],[Date of Call]],"DDDD")</f>
        <v>Tuesday</v>
      </c>
      <c r="J900" s="82" t="str" cm="1">
        <f t="array" ref="J900">_xlfn.IFS(TABLE_PIVOT[[#This Row],[Duration]]&lt;=10,"Under 10 Mins",TABLE_PIVOT[[#This Row],[Duration]]&lt;=30,"10 to 30 Mins",TABLE_PIVOT[[#This Row],[Duration]]&lt;=60,"30 to 60 Mins",TABLE_PIVOT[[#This Row],[Duration]]&lt;=120,"1 to 2 Hours",TRUE,"More Than 2 Hours")</f>
        <v>1 to 2 Hours</v>
      </c>
      <c r="K900" s="82">
        <f>ROUND(TABLE_PIVOT[[#This Row],[Satisfaction Rating]],0)</f>
        <v>3</v>
      </c>
    </row>
    <row r="901" spans="1:11" x14ac:dyDescent="0.3">
      <c r="A901" s="8" t="s">
        <v>2527</v>
      </c>
      <c r="B901" s="8" t="s">
        <v>1615</v>
      </c>
      <c r="C901" s="8">
        <v>91</v>
      </c>
      <c r="D901" s="120" t="s">
        <v>1630</v>
      </c>
      <c r="E901" s="121">
        <v>45237</v>
      </c>
      <c r="F901" s="8">
        <v>110</v>
      </c>
      <c r="G901" s="8">
        <v>3.7</v>
      </c>
      <c r="H901" s="82">
        <f>IF(MONTH(TABLE_PIVOT[[#This Row],[Date of Call]])&lt;=6,YEAR(TABLE_PIVOT[[#This Row],[Date of Call]]),YEAR(TABLE_PIVOT[[#This Row],[Date of Call]])+1)</f>
        <v>2024</v>
      </c>
      <c r="I901" s="82" t="str">
        <f>TEXT(TABLE_PIVOT[[#This Row],[Date of Call]],"DDDD")</f>
        <v>Tuesday</v>
      </c>
      <c r="J901" s="82" t="str" cm="1">
        <f t="array" ref="J901">_xlfn.IFS(TABLE_PIVOT[[#This Row],[Duration]]&lt;=10,"Under 10 Mins",TABLE_PIVOT[[#This Row],[Duration]]&lt;=30,"10 to 30 Mins",TABLE_PIVOT[[#This Row],[Duration]]&lt;=60,"30 to 60 Mins",TABLE_PIVOT[[#This Row],[Duration]]&lt;=120,"1 to 2 Hours",TRUE,"More Than 2 Hours")</f>
        <v>1 to 2 Hours</v>
      </c>
      <c r="K901" s="82">
        <f>ROUND(TABLE_PIVOT[[#This Row],[Satisfaction Rating]],0)</f>
        <v>4</v>
      </c>
    </row>
    <row r="902" spans="1:11" x14ac:dyDescent="0.3">
      <c r="A902" s="8" t="s">
        <v>2528</v>
      </c>
      <c r="B902" s="8" t="s">
        <v>1649</v>
      </c>
      <c r="C902" s="8">
        <v>74</v>
      </c>
      <c r="D902" s="120" t="s">
        <v>1611</v>
      </c>
      <c r="E902" s="121">
        <v>45238</v>
      </c>
      <c r="F902" s="8">
        <v>160</v>
      </c>
      <c r="G902" s="8">
        <v>2.7</v>
      </c>
      <c r="H902" s="82">
        <f>IF(MONTH(TABLE_PIVOT[[#This Row],[Date of Call]])&lt;=6,YEAR(TABLE_PIVOT[[#This Row],[Date of Call]]),YEAR(TABLE_PIVOT[[#This Row],[Date of Call]])+1)</f>
        <v>2024</v>
      </c>
      <c r="I902" s="82" t="str">
        <f>TEXT(TABLE_PIVOT[[#This Row],[Date of Call]],"DDDD")</f>
        <v>Wednesday</v>
      </c>
      <c r="J902" s="82" t="str" cm="1">
        <f t="array" ref="J902">_xlfn.IFS(TABLE_PIVOT[[#This Row],[Duration]]&lt;=10,"Under 10 Mins",TABLE_PIVOT[[#This Row],[Duration]]&lt;=30,"10 to 30 Mins",TABLE_PIVOT[[#This Row],[Duration]]&lt;=60,"30 to 60 Mins",TABLE_PIVOT[[#This Row],[Duration]]&lt;=120,"1 to 2 Hours",TRUE,"More Than 2 Hours")</f>
        <v>1 to 2 Hours</v>
      </c>
      <c r="K902" s="82">
        <f>ROUND(TABLE_PIVOT[[#This Row],[Satisfaction Rating]],0)</f>
        <v>3</v>
      </c>
    </row>
    <row r="903" spans="1:11" x14ac:dyDescent="0.3">
      <c r="A903" s="8" t="s">
        <v>2529</v>
      </c>
      <c r="B903" s="8" t="s">
        <v>1649</v>
      </c>
      <c r="C903" s="8">
        <v>30</v>
      </c>
      <c r="D903" s="120" t="s">
        <v>1630</v>
      </c>
      <c r="E903" s="121">
        <v>45238</v>
      </c>
      <c r="F903" s="8">
        <v>84</v>
      </c>
      <c r="G903" s="8">
        <v>4</v>
      </c>
      <c r="H903" s="82">
        <f>IF(MONTH(TABLE_PIVOT[[#This Row],[Date of Call]])&lt;=6,YEAR(TABLE_PIVOT[[#This Row],[Date of Call]]),YEAR(TABLE_PIVOT[[#This Row],[Date of Call]])+1)</f>
        <v>2024</v>
      </c>
      <c r="I903" s="82" t="str">
        <f>TEXT(TABLE_PIVOT[[#This Row],[Date of Call]],"DDDD")</f>
        <v>Wednesday</v>
      </c>
      <c r="J903" s="82" t="str" cm="1">
        <f t="array" ref="J903">_xlfn.IFS(TABLE_PIVOT[[#This Row],[Duration]]&lt;=10,"Under 10 Mins",TABLE_PIVOT[[#This Row],[Duration]]&lt;=30,"10 to 30 Mins",TABLE_PIVOT[[#This Row],[Duration]]&lt;=60,"30 to 60 Mins",TABLE_PIVOT[[#This Row],[Duration]]&lt;=120,"1 to 2 Hours",TRUE,"More Than 2 Hours")</f>
        <v>10 to 30 Mins</v>
      </c>
      <c r="K903" s="82">
        <f>ROUND(TABLE_PIVOT[[#This Row],[Satisfaction Rating]],0)</f>
        <v>4</v>
      </c>
    </row>
    <row r="904" spans="1:11" x14ac:dyDescent="0.3">
      <c r="A904" s="8" t="s">
        <v>2530</v>
      </c>
      <c r="B904" s="8" t="s">
        <v>1615</v>
      </c>
      <c r="C904" s="8">
        <v>56</v>
      </c>
      <c r="D904" s="120" t="s">
        <v>1616</v>
      </c>
      <c r="E904" s="121">
        <v>45238</v>
      </c>
      <c r="F904" s="8">
        <v>124</v>
      </c>
      <c r="G904" s="8">
        <v>2.6</v>
      </c>
      <c r="H904" s="82">
        <f>IF(MONTH(TABLE_PIVOT[[#This Row],[Date of Call]])&lt;=6,YEAR(TABLE_PIVOT[[#This Row],[Date of Call]]),YEAR(TABLE_PIVOT[[#This Row],[Date of Call]])+1)</f>
        <v>2024</v>
      </c>
      <c r="I904" s="82" t="str">
        <f>TEXT(TABLE_PIVOT[[#This Row],[Date of Call]],"DDDD")</f>
        <v>Wednesday</v>
      </c>
      <c r="J904" s="82" t="str" cm="1">
        <f t="array" ref="J904">_xlfn.IFS(TABLE_PIVOT[[#This Row],[Duration]]&lt;=10,"Under 10 Mins",TABLE_PIVOT[[#This Row],[Duration]]&lt;=30,"10 to 30 Mins",TABLE_PIVOT[[#This Row],[Duration]]&lt;=60,"30 to 60 Mins",TABLE_PIVOT[[#This Row],[Duration]]&lt;=120,"1 to 2 Hours",TRUE,"More Than 2 Hours")</f>
        <v>30 to 60 Mins</v>
      </c>
      <c r="K904" s="82">
        <f>ROUND(TABLE_PIVOT[[#This Row],[Satisfaction Rating]],0)</f>
        <v>3</v>
      </c>
    </row>
    <row r="905" spans="1:11" x14ac:dyDescent="0.3">
      <c r="A905" s="8" t="s">
        <v>2531</v>
      </c>
      <c r="B905" s="8" t="s">
        <v>1649</v>
      </c>
      <c r="C905" s="8">
        <v>151</v>
      </c>
      <c r="D905" s="120" t="s">
        <v>1621</v>
      </c>
      <c r="E905" s="121">
        <v>45238</v>
      </c>
      <c r="F905" s="8">
        <v>84</v>
      </c>
      <c r="G905" s="8">
        <v>4.5999999999999996</v>
      </c>
      <c r="H905" s="82">
        <f>IF(MONTH(TABLE_PIVOT[[#This Row],[Date of Call]])&lt;=6,YEAR(TABLE_PIVOT[[#This Row],[Date of Call]]),YEAR(TABLE_PIVOT[[#This Row],[Date of Call]])+1)</f>
        <v>2024</v>
      </c>
      <c r="I905" s="82" t="str">
        <f>TEXT(TABLE_PIVOT[[#This Row],[Date of Call]],"DDDD")</f>
        <v>Wednesday</v>
      </c>
      <c r="J905" s="82" t="str" cm="1">
        <f t="array" ref="J905">_xlfn.IFS(TABLE_PIVOT[[#This Row],[Duration]]&lt;=10,"Under 10 Mins",TABLE_PIVOT[[#This Row],[Duration]]&lt;=30,"10 to 30 Mins",TABLE_PIVOT[[#This Row],[Duration]]&lt;=60,"30 to 60 Mins",TABLE_PIVOT[[#This Row],[Duration]]&lt;=120,"1 to 2 Hours",TRUE,"More Than 2 Hours")</f>
        <v>More Than 2 Hours</v>
      </c>
      <c r="K905" s="82">
        <f>ROUND(TABLE_PIVOT[[#This Row],[Satisfaction Rating]],0)</f>
        <v>5</v>
      </c>
    </row>
    <row r="906" spans="1:11" x14ac:dyDescent="0.3">
      <c r="A906" s="8" t="s">
        <v>2532</v>
      </c>
      <c r="B906" s="8" t="s">
        <v>1613</v>
      </c>
      <c r="C906" s="8">
        <v>108</v>
      </c>
      <c r="D906" s="120" t="s">
        <v>1626</v>
      </c>
      <c r="E906" s="121">
        <v>45239</v>
      </c>
      <c r="F906" s="8">
        <v>130</v>
      </c>
      <c r="G906" s="8">
        <v>2.7</v>
      </c>
      <c r="H906" s="82">
        <f>IF(MONTH(TABLE_PIVOT[[#This Row],[Date of Call]])&lt;=6,YEAR(TABLE_PIVOT[[#This Row],[Date of Call]]),YEAR(TABLE_PIVOT[[#This Row],[Date of Call]])+1)</f>
        <v>2024</v>
      </c>
      <c r="I906" s="82" t="str">
        <f>TEXT(TABLE_PIVOT[[#This Row],[Date of Call]],"DDDD")</f>
        <v>Thursday</v>
      </c>
      <c r="J906" s="82" t="str" cm="1">
        <f t="array" ref="J906">_xlfn.IFS(TABLE_PIVOT[[#This Row],[Duration]]&lt;=10,"Under 10 Mins",TABLE_PIVOT[[#This Row],[Duration]]&lt;=30,"10 to 30 Mins",TABLE_PIVOT[[#This Row],[Duration]]&lt;=60,"30 to 60 Mins",TABLE_PIVOT[[#This Row],[Duration]]&lt;=120,"1 to 2 Hours",TRUE,"More Than 2 Hours")</f>
        <v>1 to 2 Hours</v>
      </c>
      <c r="K906" s="82">
        <f>ROUND(TABLE_PIVOT[[#This Row],[Satisfaction Rating]],0)</f>
        <v>3</v>
      </c>
    </row>
    <row r="907" spans="1:11" x14ac:dyDescent="0.3">
      <c r="A907" s="8" t="s">
        <v>2533</v>
      </c>
      <c r="B907" s="8" t="s">
        <v>1652</v>
      </c>
      <c r="C907" s="8">
        <v>124</v>
      </c>
      <c r="D907" s="120" t="s">
        <v>1611</v>
      </c>
      <c r="E907" s="121">
        <v>45239</v>
      </c>
      <c r="F907" s="8">
        <v>215</v>
      </c>
      <c r="G907" s="8">
        <v>3.5</v>
      </c>
      <c r="H907" s="82">
        <f>IF(MONTH(TABLE_PIVOT[[#This Row],[Date of Call]])&lt;=6,YEAR(TABLE_PIVOT[[#This Row],[Date of Call]]),YEAR(TABLE_PIVOT[[#This Row],[Date of Call]])+1)</f>
        <v>2024</v>
      </c>
      <c r="I907" s="82" t="str">
        <f>TEXT(TABLE_PIVOT[[#This Row],[Date of Call]],"DDDD")</f>
        <v>Thursday</v>
      </c>
      <c r="J907" s="82" t="str" cm="1">
        <f t="array" ref="J907">_xlfn.IFS(TABLE_PIVOT[[#This Row],[Duration]]&lt;=10,"Under 10 Mins",TABLE_PIVOT[[#This Row],[Duration]]&lt;=30,"10 to 30 Mins",TABLE_PIVOT[[#This Row],[Duration]]&lt;=60,"30 to 60 Mins",TABLE_PIVOT[[#This Row],[Duration]]&lt;=120,"1 to 2 Hours",TRUE,"More Than 2 Hours")</f>
        <v>More Than 2 Hours</v>
      </c>
      <c r="K907" s="82">
        <f>ROUND(TABLE_PIVOT[[#This Row],[Satisfaction Rating]],0)</f>
        <v>4</v>
      </c>
    </row>
    <row r="908" spans="1:11" x14ac:dyDescent="0.3">
      <c r="A908" s="8" t="s">
        <v>2534</v>
      </c>
      <c r="B908" s="8" t="s">
        <v>1618</v>
      </c>
      <c r="C908" s="8">
        <v>110</v>
      </c>
      <c r="D908" s="120" t="s">
        <v>1616</v>
      </c>
      <c r="E908" s="121">
        <v>45240</v>
      </c>
      <c r="F908" s="8">
        <v>132</v>
      </c>
      <c r="G908" s="8">
        <v>3.6</v>
      </c>
      <c r="H908" s="82">
        <f>IF(MONTH(TABLE_PIVOT[[#This Row],[Date of Call]])&lt;=6,YEAR(TABLE_PIVOT[[#This Row],[Date of Call]]),YEAR(TABLE_PIVOT[[#This Row],[Date of Call]])+1)</f>
        <v>2024</v>
      </c>
      <c r="I908" s="82" t="str">
        <f>TEXT(TABLE_PIVOT[[#This Row],[Date of Call]],"DDDD")</f>
        <v>Friday</v>
      </c>
      <c r="J908" s="82" t="str" cm="1">
        <f t="array" ref="J908">_xlfn.IFS(TABLE_PIVOT[[#This Row],[Duration]]&lt;=10,"Under 10 Mins",TABLE_PIVOT[[#This Row],[Duration]]&lt;=30,"10 to 30 Mins",TABLE_PIVOT[[#This Row],[Duration]]&lt;=60,"30 to 60 Mins",TABLE_PIVOT[[#This Row],[Duration]]&lt;=120,"1 to 2 Hours",TRUE,"More Than 2 Hours")</f>
        <v>1 to 2 Hours</v>
      </c>
      <c r="K908" s="82">
        <f>ROUND(TABLE_PIVOT[[#This Row],[Satisfaction Rating]],0)</f>
        <v>4</v>
      </c>
    </row>
    <row r="909" spans="1:11" x14ac:dyDescent="0.3">
      <c r="A909" s="8" t="s">
        <v>2535</v>
      </c>
      <c r="B909" s="8" t="s">
        <v>1629</v>
      </c>
      <c r="C909" s="8">
        <v>89</v>
      </c>
      <c r="D909" s="120" t="s">
        <v>1626</v>
      </c>
      <c r="E909" s="121">
        <v>45240</v>
      </c>
      <c r="F909" s="8">
        <v>88</v>
      </c>
      <c r="G909" s="8">
        <v>4.9000000000000004</v>
      </c>
      <c r="H909" s="82">
        <f>IF(MONTH(TABLE_PIVOT[[#This Row],[Date of Call]])&lt;=6,YEAR(TABLE_PIVOT[[#This Row],[Date of Call]]),YEAR(TABLE_PIVOT[[#This Row],[Date of Call]])+1)</f>
        <v>2024</v>
      </c>
      <c r="I909" s="82" t="str">
        <f>TEXT(TABLE_PIVOT[[#This Row],[Date of Call]],"DDDD")</f>
        <v>Friday</v>
      </c>
      <c r="J909" s="82" t="str" cm="1">
        <f t="array" ref="J909">_xlfn.IFS(TABLE_PIVOT[[#This Row],[Duration]]&lt;=10,"Under 10 Mins",TABLE_PIVOT[[#This Row],[Duration]]&lt;=30,"10 to 30 Mins",TABLE_PIVOT[[#This Row],[Duration]]&lt;=60,"30 to 60 Mins",TABLE_PIVOT[[#This Row],[Duration]]&lt;=120,"1 to 2 Hours",TRUE,"More Than 2 Hours")</f>
        <v>1 to 2 Hours</v>
      </c>
      <c r="K909" s="82">
        <f>ROUND(TABLE_PIVOT[[#This Row],[Satisfaction Rating]],0)</f>
        <v>5</v>
      </c>
    </row>
    <row r="910" spans="1:11" x14ac:dyDescent="0.3">
      <c r="A910" s="8" t="s">
        <v>2536</v>
      </c>
      <c r="B910" s="8" t="s">
        <v>1610</v>
      </c>
      <c r="C910" s="8">
        <v>95</v>
      </c>
      <c r="D910" s="120" t="s">
        <v>1616</v>
      </c>
      <c r="E910" s="121">
        <v>45240</v>
      </c>
      <c r="F910" s="8">
        <v>140</v>
      </c>
      <c r="G910" s="8">
        <v>3.9</v>
      </c>
      <c r="H910" s="82">
        <f>IF(MONTH(TABLE_PIVOT[[#This Row],[Date of Call]])&lt;=6,YEAR(TABLE_PIVOT[[#This Row],[Date of Call]]),YEAR(TABLE_PIVOT[[#This Row],[Date of Call]])+1)</f>
        <v>2024</v>
      </c>
      <c r="I910" s="82" t="str">
        <f>TEXT(TABLE_PIVOT[[#This Row],[Date of Call]],"DDDD")</f>
        <v>Friday</v>
      </c>
      <c r="J910" s="82" t="str" cm="1">
        <f t="array" ref="J910">_xlfn.IFS(TABLE_PIVOT[[#This Row],[Duration]]&lt;=10,"Under 10 Mins",TABLE_PIVOT[[#This Row],[Duration]]&lt;=30,"10 to 30 Mins",TABLE_PIVOT[[#This Row],[Duration]]&lt;=60,"30 to 60 Mins",TABLE_PIVOT[[#This Row],[Duration]]&lt;=120,"1 to 2 Hours",TRUE,"More Than 2 Hours")</f>
        <v>1 to 2 Hours</v>
      </c>
      <c r="K910" s="82">
        <f>ROUND(TABLE_PIVOT[[#This Row],[Satisfaction Rating]],0)</f>
        <v>4</v>
      </c>
    </row>
    <row r="911" spans="1:11" x14ac:dyDescent="0.3">
      <c r="A911" s="8" t="s">
        <v>2537</v>
      </c>
      <c r="B911" s="8" t="s">
        <v>1649</v>
      </c>
      <c r="C911" s="8">
        <v>84</v>
      </c>
      <c r="D911" s="120" t="s">
        <v>1626</v>
      </c>
      <c r="E911" s="121">
        <v>45241</v>
      </c>
      <c r="F911" s="8">
        <v>66</v>
      </c>
      <c r="G911" s="8">
        <v>4.7</v>
      </c>
      <c r="H911" s="82">
        <f>IF(MONTH(TABLE_PIVOT[[#This Row],[Date of Call]])&lt;=6,YEAR(TABLE_PIVOT[[#This Row],[Date of Call]]),YEAR(TABLE_PIVOT[[#This Row],[Date of Call]])+1)</f>
        <v>2024</v>
      </c>
      <c r="I911" s="82" t="str">
        <f>TEXT(TABLE_PIVOT[[#This Row],[Date of Call]],"DDDD")</f>
        <v>Saturday</v>
      </c>
      <c r="J911" s="82" t="str" cm="1">
        <f t="array" ref="J911">_xlfn.IFS(TABLE_PIVOT[[#This Row],[Duration]]&lt;=10,"Under 10 Mins",TABLE_PIVOT[[#This Row],[Duration]]&lt;=30,"10 to 30 Mins",TABLE_PIVOT[[#This Row],[Duration]]&lt;=60,"30 to 60 Mins",TABLE_PIVOT[[#This Row],[Duration]]&lt;=120,"1 to 2 Hours",TRUE,"More Than 2 Hours")</f>
        <v>1 to 2 Hours</v>
      </c>
      <c r="K911" s="82">
        <f>ROUND(TABLE_PIVOT[[#This Row],[Satisfaction Rating]],0)</f>
        <v>5</v>
      </c>
    </row>
    <row r="912" spans="1:11" x14ac:dyDescent="0.3">
      <c r="A912" s="8" t="s">
        <v>2538</v>
      </c>
      <c r="B912" s="8" t="s">
        <v>1635</v>
      </c>
      <c r="C912" s="8">
        <v>89</v>
      </c>
      <c r="D912" s="120" t="s">
        <v>1611</v>
      </c>
      <c r="E912" s="121">
        <v>45241</v>
      </c>
      <c r="F912" s="8">
        <v>23</v>
      </c>
      <c r="G912" s="8">
        <v>4.5</v>
      </c>
      <c r="H912" s="82">
        <f>IF(MONTH(TABLE_PIVOT[[#This Row],[Date of Call]])&lt;=6,YEAR(TABLE_PIVOT[[#This Row],[Date of Call]]),YEAR(TABLE_PIVOT[[#This Row],[Date of Call]])+1)</f>
        <v>2024</v>
      </c>
      <c r="I912" s="82" t="str">
        <f>TEXT(TABLE_PIVOT[[#This Row],[Date of Call]],"DDDD")</f>
        <v>Saturday</v>
      </c>
      <c r="J912" s="82" t="str" cm="1">
        <f t="array" ref="J912">_xlfn.IFS(TABLE_PIVOT[[#This Row],[Duration]]&lt;=10,"Under 10 Mins",TABLE_PIVOT[[#This Row],[Duration]]&lt;=30,"10 to 30 Mins",TABLE_PIVOT[[#This Row],[Duration]]&lt;=60,"30 to 60 Mins",TABLE_PIVOT[[#This Row],[Duration]]&lt;=120,"1 to 2 Hours",TRUE,"More Than 2 Hours")</f>
        <v>1 to 2 Hours</v>
      </c>
      <c r="K912" s="82">
        <f>ROUND(TABLE_PIVOT[[#This Row],[Satisfaction Rating]],0)</f>
        <v>5</v>
      </c>
    </row>
    <row r="913" spans="1:11" x14ac:dyDescent="0.3">
      <c r="A913" s="8" t="s">
        <v>2539</v>
      </c>
      <c r="B913" s="8" t="s">
        <v>1629</v>
      </c>
      <c r="C913" s="8">
        <v>146</v>
      </c>
      <c r="D913" s="120" t="s">
        <v>1611</v>
      </c>
      <c r="E913" s="121">
        <v>45242</v>
      </c>
      <c r="F913" s="8">
        <v>220</v>
      </c>
      <c r="G913" s="8">
        <v>4.5</v>
      </c>
      <c r="H913" s="82">
        <f>IF(MONTH(TABLE_PIVOT[[#This Row],[Date of Call]])&lt;=6,YEAR(TABLE_PIVOT[[#This Row],[Date of Call]]),YEAR(TABLE_PIVOT[[#This Row],[Date of Call]])+1)</f>
        <v>2024</v>
      </c>
      <c r="I913" s="82" t="str">
        <f>TEXT(TABLE_PIVOT[[#This Row],[Date of Call]],"DDDD")</f>
        <v>Sunday</v>
      </c>
      <c r="J913" s="82" t="str" cm="1">
        <f t="array" ref="J913">_xlfn.IFS(TABLE_PIVOT[[#This Row],[Duration]]&lt;=10,"Under 10 Mins",TABLE_PIVOT[[#This Row],[Duration]]&lt;=30,"10 to 30 Mins",TABLE_PIVOT[[#This Row],[Duration]]&lt;=60,"30 to 60 Mins",TABLE_PIVOT[[#This Row],[Duration]]&lt;=120,"1 to 2 Hours",TRUE,"More Than 2 Hours")</f>
        <v>More Than 2 Hours</v>
      </c>
      <c r="K913" s="82">
        <f>ROUND(TABLE_PIVOT[[#This Row],[Satisfaction Rating]],0)</f>
        <v>5</v>
      </c>
    </row>
    <row r="914" spans="1:11" x14ac:dyDescent="0.3">
      <c r="A914" s="8" t="s">
        <v>2540</v>
      </c>
      <c r="B914" s="8" t="s">
        <v>1633</v>
      </c>
      <c r="C914" s="8">
        <v>62</v>
      </c>
      <c r="D914" s="120" t="s">
        <v>1630</v>
      </c>
      <c r="E914" s="121">
        <v>45243</v>
      </c>
      <c r="F914" s="8">
        <v>175</v>
      </c>
      <c r="G914" s="8">
        <v>4.4000000000000004</v>
      </c>
      <c r="H914" s="82">
        <f>IF(MONTH(TABLE_PIVOT[[#This Row],[Date of Call]])&lt;=6,YEAR(TABLE_PIVOT[[#This Row],[Date of Call]]),YEAR(TABLE_PIVOT[[#This Row],[Date of Call]])+1)</f>
        <v>2024</v>
      </c>
      <c r="I914" s="82" t="str">
        <f>TEXT(TABLE_PIVOT[[#This Row],[Date of Call]],"DDDD")</f>
        <v>Monday</v>
      </c>
      <c r="J914" s="82" t="str" cm="1">
        <f t="array" ref="J914">_xlfn.IFS(TABLE_PIVOT[[#This Row],[Duration]]&lt;=10,"Under 10 Mins",TABLE_PIVOT[[#This Row],[Duration]]&lt;=30,"10 to 30 Mins",TABLE_PIVOT[[#This Row],[Duration]]&lt;=60,"30 to 60 Mins",TABLE_PIVOT[[#This Row],[Duration]]&lt;=120,"1 to 2 Hours",TRUE,"More Than 2 Hours")</f>
        <v>1 to 2 Hours</v>
      </c>
      <c r="K914" s="82">
        <f>ROUND(TABLE_PIVOT[[#This Row],[Satisfaction Rating]],0)</f>
        <v>4</v>
      </c>
    </row>
    <row r="915" spans="1:11" x14ac:dyDescent="0.3">
      <c r="A915" s="8" t="s">
        <v>2541</v>
      </c>
      <c r="B915" s="8" t="s">
        <v>1662</v>
      </c>
      <c r="C915" s="8">
        <v>82</v>
      </c>
      <c r="D915" s="120" t="s">
        <v>1611</v>
      </c>
      <c r="E915" s="121">
        <v>45243</v>
      </c>
      <c r="F915" s="8">
        <v>172</v>
      </c>
      <c r="G915" s="8">
        <v>4.0999999999999996</v>
      </c>
      <c r="H915" s="82">
        <f>IF(MONTH(TABLE_PIVOT[[#This Row],[Date of Call]])&lt;=6,YEAR(TABLE_PIVOT[[#This Row],[Date of Call]]),YEAR(TABLE_PIVOT[[#This Row],[Date of Call]])+1)</f>
        <v>2024</v>
      </c>
      <c r="I915" s="82" t="str">
        <f>TEXT(TABLE_PIVOT[[#This Row],[Date of Call]],"DDDD")</f>
        <v>Monday</v>
      </c>
      <c r="J915" s="82" t="str" cm="1">
        <f t="array" ref="J915">_xlfn.IFS(TABLE_PIVOT[[#This Row],[Duration]]&lt;=10,"Under 10 Mins",TABLE_PIVOT[[#This Row],[Duration]]&lt;=30,"10 to 30 Mins",TABLE_PIVOT[[#This Row],[Duration]]&lt;=60,"30 to 60 Mins",TABLE_PIVOT[[#This Row],[Duration]]&lt;=120,"1 to 2 Hours",TRUE,"More Than 2 Hours")</f>
        <v>1 to 2 Hours</v>
      </c>
      <c r="K915" s="82">
        <f>ROUND(TABLE_PIVOT[[#This Row],[Satisfaction Rating]],0)</f>
        <v>4</v>
      </c>
    </row>
    <row r="916" spans="1:11" x14ac:dyDescent="0.3">
      <c r="A916" s="8" t="s">
        <v>2542</v>
      </c>
      <c r="B916" s="8" t="s">
        <v>1641</v>
      </c>
      <c r="C916" s="8">
        <v>91</v>
      </c>
      <c r="D916" s="120" t="s">
        <v>1621</v>
      </c>
      <c r="E916" s="121">
        <v>45243</v>
      </c>
      <c r="F916" s="8">
        <v>108</v>
      </c>
      <c r="G916" s="8">
        <v>3.8</v>
      </c>
      <c r="H916" s="82">
        <f>IF(MONTH(TABLE_PIVOT[[#This Row],[Date of Call]])&lt;=6,YEAR(TABLE_PIVOT[[#This Row],[Date of Call]]),YEAR(TABLE_PIVOT[[#This Row],[Date of Call]])+1)</f>
        <v>2024</v>
      </c>
      <c r="I916" s="82" t="str">
        <f>TEXT(TABLE_PIVOT[[#This Row],[Date of Call]],"DDDD")</f>
        <v>Monday</v>
      </c>
      <c r="J916" s="82" t="str" cm="1">
        <f t="array" ref="J916">_xlfn.IFS(TABLE_PIVOT[[#This Row],[Duration]]&lt;=10,"Under 10 Mins",TABLE_PIVOT[[#This Row],[Duration]]&lt;=30,"10 to 30 Mins",TABLE_PIVOT[[#This Row],[Duration]]&lt;=60,"30 to 60 Mins",TABLE_PIVOT[[#This Row],[Duration]]&lt;=120,"1 to 2 Hours",TRUE,"More Than 2 Hours")</f>
        <v>1 to 2 Hours</v>
      </c>
      <c r="K916" s="82">
        <f>ROUND(TABLE_PIVOT[[#This Row],[Satisfaction Rating]],0)</f>
        <v>4</v>
      </c>
    </row>
    <row r="917" spans="1:11" x14ac:dyDescent="0.3">
      <c r="A917" s="8" t="s">
        <v>2543</v>
      </c>
      <c r="B917" s="8" t="s">
        <v>1635</v>
      </c>
      <c r="C917" s="8">
        <v>39</v>
      </c>
      <c r="D917" s="120" t="s">
        <v>1611</v>
      </c>
      <c r="E917" s="121">
        <v>45244</v>
      </c>
      <c r="F917" s="8">
        <v>43</v>
      </c>
      <c r="G917" s="8">
        <v>4.2</v>
      </c>
      <c r="H917" s="82">
        <f>IF(MONTH(TABLE_PIVOT[[#This Row],[Date of Call]])&lt;=6,YEAR(TABLE_PIVOT[[#This Row],[Date of Call]]),YEAR(TABLE_PIVOT[[#This Row],[Date of Call]])+1)</f>
        <v>2024</v>
      </c>
      <c r="I917" s="82" t="str">
        <f>TEXT(TABLE_PIVOT[[#This Row],[Date of Call]],"DDDD")</f>
        <v>Tuesday</v>
      </c>
      <c r="J917" s="82" t="str" cm="1">
        <f t="array" ref="J917">_xlfn.IFS(TABLE_PIVOT[[#This Row],[Duration]]&lt;=10,"Under 10 Mins",TABLE_PIVOT[[#This Row],[Duration]]&lt;=30,"10 to 30 Mins",TABLE_PIVOT[[#This Row],[Duration]]&lt;=60,"30 to 60 Mins",TABLE_PIVOT[[#This Row],[Duration]]&lt;=120,"1 to 2 Hours",TRUE,"More Than 2 Hours")</f>
        <v>30 to 60 Mins</v>
      </c>
      <c r="K917" s="82">
        <f>ROUND(TABLE_PIVOT[[#This Row],[Satisfaction Rating]],0)</f>
        <v>4</v>
      </c>
    </row>
    <row r="918" spans="1:11" x14ac:dyDescent="0.3">
      <c r="A918" s="8" t="s">
        <v>2544</v>
      </c>
      <c r="B918" s="8" t="s">
        <v>1629</v>
      </c>
      <c r="C918" s="8">
        <v>149</v>
      </c>
      <c r="D918" s="120" t="s">
        <v>1616</v>
      </c>
      <c r="E918" s="121">
        <v>45244</v>
      </c>
      <c r="F918" s="8">
        <v>44</v>
      </c>
      <c r="G918" s="8">
        <v>2.2000000000000002</v>
      </c>
      <c r="H918" s="82">
        <f>IF(MONTH(TABLE_PIVOT[[#This Row],[Date of Call]])&lt;=6,YEAR(TABLE_PIVOT[[#This Row],[Date of Call]]),YEAR(TABLE_PIVOT[[#This Row],[Date of Call]])+1)</f>
        <v>2024</v>
      </c>
      <c r="I918" s="82" t="str">
        <f>TEXT(TABLE_PIVOT[[#This Row],[Date of Call]],"DDDD")</f>
        <v>Tuesday</v>
      </c>
      <c r="J918" s="82" t="str" cm="1">
        <f t="array" ref="J918">_xlfn.IFS(TABLE_PIVOT[[#This Row],[Duration]]&lt;=10,"Under 10 Mins",TABLE_PIVOT[[#This Row],[Duration]]&lt;=30,"10 to 30 Mins",TABLE_PIVOT[[#This Row],[Duration]]&lt;=60,"30 to 60 Mins",TABLE_PIVOT[[#This Row],[Duration]]&lt;=120,"1 to 2 Hours",TRUE,"More Than 2 Hours")</f>
        <v>More Than 2 Hours</v>
      </c>
      <c r="K918" s="82">
        <f>ROUND(TABLE_PIVOT[[#This Row],[Satisfaction Rating]],0)</f>
        <v>2</v>
      </c>
    </row>
    <row r="919" spans="1:11" x14ac:dyDescent="0.3">
      <c r="A919" s="8" t="s">
        <v>2545</v>
      </c>
      <c r="B919" s="8" t="s">
        <v>1662</v>
      </c>
      <c r="C919" s="8">
        <v>138</v>
      </c>
      <c r="D919" s="120" t="s">
        <v>1630</v>
      </c>
      <c r="E919" s="121">
        <v>45244</v>
      </c>
      <c r="F919" s="8">
        <v>105</v>
      </c>
      <c r="G919" s="8">
        <v>3.9</v>
      </c>
      <c r="H919" s="82">
        <f>IF(MONTH(TABLE_PIVOT[[#This Row],[Date of Call]])&lt;=6,YEAR(TABLE_PIVOT[[#This Row],[Date of Call]]),YEAR(TABLE_PIVOT[[#This Row],[Date of Call]])+1)</f>
        <v>2024</v>
      </c>
      <c r="I919" s="82" t="str">
        <f>TEXT(TABLE_PIVOT[[#This Row],[Date of Call]],"DDDD")</f>
        <v>Tuesday</v>
      </c>
      <c r="J919" s="82" t="str" cm="1">
        <f t="array" ref="J919">_xlfn.IFS(TABLE_PIVOT[[#This Row],[Duration]]&lt;=10,"Under 10 Mins",TABLE_PIVOT[[#This Row],[Duration]]&lt;=30,"10 to 30 Mins",TABLE_PIVOT[[#This Row],[Duration]]&lt;=60,"30 to 60 Mins",TABLE_PIVOT[[#This Row],[Duration]]&lt;=120,"1 to 2 Hours",TRUE,"More Than 2 Hours")</f>
        <v>More Than 2 Hours</v>
      </c>
      <c r="K919" s="82">
        <f>ROUND(TABLE_PIVOT[[#This Row],[Satisfaction Rating]],0)</f>
        <v>4</v>
      </c>
    </row>
    <row r="920" spans="1:11" x14ac:dyDescent="0.3">
      <c r="A920" s="8" t="s">
        <v>2546</v>
      </c>
      <c r="B920" s="8" t="s">
        <v>1633</v>
      </c>
      <c r="C920" s="8">
        <v>113</v>
      </c>
      <c r="D920" s="120" t="s">
        <v>1616</v>
      </c>
      <c r="E920" s="121">
        <v>45245</v>
      </c>
      <c r="F920" s="8">
        <v>34</v>
      </c>
      <c r="G920" s="8">
        <v>3.9</v>
      </c>
      <c r="H920" s="82">
        <f>IF(MONTH(TABLE_PIVOT[[#This Row],[Date of Call]])&lt;=6,YEAR(TABLE_PIVOT[[#This Row],[Date of Call]]),YEAR(TABLE_PIVOT[[#This Row],[Date of Call]])+1)</f>
        <v>2024</v>
      </c>
      <c r="I920" s="82" t="str">
        <f>TEXT(TABLE_PIVOT[[#This Row],[Date of Call]],"DDDD")</f>
        <v>Wednesday</v>
      </c>
      <c r="J920" s="82" t="str" cm="1">
        <f t="array" ref="J920">_xlfn.IFS(TABLE_PIVOT[[#This Row],[Duration]]&lt;=10,"Under 10 Mins",TABLE_PIVOT[[#This Row],[Duration]]&lt;=30,"10 to 30 Mins",TABLE_PIVOT[[#This Row],[Duration]]&lt;=60,"30 to 60 Mins",TABLE_PIVOT[[#This Row],[Duration]]&lt;=120,"1 to 2 Hours",TRUE,"More Than 2 Hours")</f>
        <v>1 to 2 Hours</v>
      </c>
      <c r="K920" s="82">
        <f>ROUND(TABLE_PIVOT[[#This Row],[Satisfaction Rating]],0)</f>
        <v>4</v>
      </c>
    </row>
    <row r="921" spans="1:11" x14ac:dyDescent="0.3">
      <c r="A921" s="8" t="s">
        <v>2547</v>
      </c>
      <c r="B921" s="8" t="s">
        <v>1620</v>
      </c>
      <c r="C921" s="8">
        <v>88</v>
      </c>
      <c r="D921" s="120" t="s">
        <v>1611</v>
      </c>
      <c r="E921" s="121">
        <v>45245</v>
      </c>
      <c r="F921" s="8">
        <v>220</v>
      </c>
      <c r="G921" s="8">
        <v>4.0999999999999996</v>
      </c>
      <c r="H921" s="82">
        <f>IF(MONTH(TABLE_PIVOT[[#This Row],[Date of Call]])&lt;=6,YEAR(TABLE_PIVOT[[#This Row],[Date of Call]]),YEAR(TABLE_PIVOT[[#This Row],[Date of Call]])+1)</f>
        <v>2024</v>
      </c>
      <c r="I921" s="82" t="str">
        <f>TEXT(TABLE_PIVOT[[#This Row],[Date of Call]],"DDDD")</f>
        <v>Wednesday</v>
      </c>
      <c r="J921" s="82" t="str" cm="1">
        <f t="array" ref="J921">_xlfn.IFS(TABLE_PIVOT[[#This Row],[Duration]]&lt;=10,"Under 10 Mins",TABLE_PIVOT[[#This Row],[Duration]]&lt;=30,"10 to 30 Mins",TABLE_PIVOT[[#This Row],[Duration]]&lt;=60,"30 to 60 Mins",TABLE_PIVOT[[#This Row],[Duration]]&lt;=120,"1 to 2 Hours",TRUE,"More Than 2 Hours")</f>
        <v>1 to 2 Hours</v>
      </c>
      <c r="K921" s="82">
        <f>ROUND(TABLE_PIVOT[[#This Row],[Satisfaction Rating]],0)</f>
        <v>4</v>
      </c>
    </row>
    <row r="922" spans="1:11" x14ac:dyDescent="0.3">
      <c r="A922" s="8" t="s">
        <v>2548</v>
      </c>
      <c r="B922" s="8" t="s">
        <v>1610</v>
      </c>
      <c r="C922" s="8">
        <v>64</v>
      </c>
      <c r="D922" s="120" t="s">
        <v>1630</v>
      </c>
      <c r="E922" s="121">
        <v>45245</v>
      </c>
      <c r="F922" s="8">
        <v>225</v>
      </c>
      <c r="G922" s="8">
        <v>4.5999999999999996</v>
      </c>
      <c r="H922" s="82">
        <f>IF(MONTH(TABLE_PIVOT[[#This Row],[Date of Call]])&lt;=6,YEAR(TABLE_PIVOT[[#This Row],[Date of Call]]),YEAR(TABLE_PIVOT[[#This Row],[Date of Call]])+1)</f>
        <v>2024</v>
      </c>
      <c r="I922" s="82" t="str">
        <f>TEXT(TABLE_PIVOT[[#This Row],[Date of Call]],"DDDD")</f>
        <v>Wednesday</v>
      </c>
      <c r="J922" s="82" t="str" cm="1">
        <f t="array" ref="J922">_xlfn.IFS(TABLE_PIVOT[[#This Row],[Duration]]&lt;=10,"Under 10 Mins",TABLE_PIVOT[[#This Row],[Duration]]&lt;=30,"10 to 30 Mins",TABLE_PIVOT[[#This Row],[Duration]]&lt;=60,"30 to 60 Mins",TABLE_PIVOT[[#This Row],[Duration]]&lt;=120,"1 to 2 Hours",TRUE,"More Than 2 Hours")</f>
        <v>1 to 2 Hours</v>
      </c>
      <c r="K922" s="82">
        <f>ROUND(TABLE_PIVOT[[#This Row],[Satisfaction Rating]],0)</f>
        <v>5</v>
      </c>
    </row>
    <row r="923" spans="1:11" x14ac:dyDescent="0.3">
      <c r="A923" s="8" t="s">
        <v>2549</v>
      </c>
      <c r="B923" s="8" t="s">
        <v>1615</v>
      </c>
      <c r="C923" s="8">
        <v>53</v>
      </c>
      <c r="D923" s="120" t="s">
        <v>1630</v>
      </c>
      <c r="E923" s="121">
        <v>45246</v>
      </c>
      <c r="F923" s="8">
        <v>37</v>
      </c>
      <c r="G923" s="8">
        <v>4.0999999999999996</v>
      </c>
      <c r="H923" s="82">
        <f>IF(MONTH(TABLE_PIVOT[[#This Row],[Date of Call]])&lt;=6,YEAR(TABLE_PIVOT[[#This Row],[Date of Call]]),YEAR(TABLE_PIVOT[[#This Row],[Date of Call]])+1)</f>
        <v>2024</v>
      </c>
      <c r="I923" s="82" t="str">
        <f>TEXT(TABLE_PIVOT[[#This Row],[Date of Call]],"DDDD")</f>
        <v>Thursday</v>
      </c>
      <c r="J923" s="82" t="str" cm="1">
        <f t="array" ref="J923">_xlfn.IFS(TABLE_PIVOT[[#This Row],[Duration]]&lt;=10,"Under 10 Mins",TABLE_PIVOT[[#This Row],[Duration]]&lt;=30,"10 to 30 Mins",TABLE_PIVOT[[#This Row],[Duration]]&lt;=60,"30 to 60 Mins",TABLE_PIVOT[[#This Row],[Duration]]&lt;=120,"1 to 2 Hours",TRUE,"More Than 2 Hours")</f>
        <v>30 to 60 Mins</v>
      </c>
      <c r="K923" s="82">
        <f>ROUND(TABLE_PIVOT[[#This Row],[Satisfaction Rating]],0)</f>
        <v>4</v>
      </c>
    </row>
    <row r="924" spans="1:11" x14ac:dyDescent="0.3">
      <c r="A924" s="8" t="s">
        <v>2550</v>
      </c>
      <c r="B924" s="8" t="s">
        <v>1652</v>
      </c>
      <c r="C924" s="8">
        <v>63</v>
      </c>
      <c r="D924" s="120" t="s">
        <v>1616</v>
      </c>
      <c r="E924" s="121">
        <v>45246</v>
      </c>
      <c r="F924" s="8">
        <v>44</v>
      </c>
      <c r="G924" s="8">
        <v>5</v>
      </c>
      <c r="H924" s="82">
        <f>IF(MONTH(TABLE_PIVOT[[#This Row],[Date of Call]])&lt;=6,YEAR(TABLE_PIVOT[[#This Row],[Date of Call]]),YEAR(TABLE_PIVOT[[#This Row],[Date of Call]])+1)</f>
        <v>2024</v>
      </c>
      <c r="I924" s="82" t="str">
        <f>TEXT(TABLE_PIVOT[[#This Row],[Date of Call]],"DDDD")</f>
        <v>Thursday</v>
      </c>
      <c r="J924" s="82" t="str" cm="1">
        <f t="array" ref="J924">_xlfn.IFS(TABLE_PIVOT[[#This Row],[Duration]]&lt;=10,"Under 10 Mins",TABLE_PIVOT[[#This Row],[Duration]]&lt;=30,"10 to 30 Mins",TABLE_PIVOT[[#This Row],[Duration]]&lt;=60,"30 to 60 Mins",TABLE_PIVOT[[#This Row],[Duration]]&lt;=120,"1 to 2 Hours",TRUE,"More Than 2 Hours")</f>
        <v>1 to 2 Hours</v>
      </c>
      <c r="K924" s="82">
        <f>ROUND(TABLE_PIVOT[[#This Row],[Satisfaction Rating]],0)</f>
        <v>5</v>
      </c>
    </row>
    <row r="925" spans="1:11" x14ac:dyDescent="0.3">
      <c r="A925" s="8" t="s">
        <v>2551</v>
      </c>
      <c r="B925" s="8" t="s">
        <v>1624</v>
      </c>
      <c r="C925" s="8">
        <v>54</v>
      </c>
      <c r="D925" s="120" t="s">
        <v>1616</v>
      </c>
      <c r="E925" s="121">
        <v>45247</v>
      </c>
      <c r="F925" s="8">
        <v>35</v>
      </c>
      <c r="G925" s="8">
        <v>2.8</v>
      </c>
      <c r="H925" s="82">
        <f>IF(MONTH(TABLE_PIVOT[[#This Row],[Date of Call]])&lt;=6,YEAR(TABLE_PIVOT[[#This Row],[Date of Call]]),YEAR(TABLE_PIVOT[[#This Row],[Date of Call]])+1)</f>
        <v>2024</v>
      </c>
      <c r="I925" s="82" t="str">
        <f>TEXT(TABLE_PIVOT[[#This Row],[Date of Call]],"DDDD")</f>
        <v>Friday</v>
      </c>
      <c r="J925" s="82" t="str" cm="1">
        <f t="array" ref="J925">_xlfn.IFS(TABLE_PIVOT[[#This Row],[Duration]]&lt;=10,"Under 10 Mins",TABLE_PIVOT[[#This Row],[Duration]]&lt;=30,"10 to 30 Mins",TABLE_PIVOT[[#This Row],[Duration]]&lt;=60,"30 to 60 Mins",TABLE_PIVOT[[#This Row],[Duration]]&lt;=120,"1 to 2 Hours",TRUE,"More Than 2 Hours")</f>
        <v>30 to 60 Mins</v>
      </c>
      <c r="K925" s="82">
        <f>ROUND(TABLE_PIVOT[[#This Row],[Satisfaction Rating]],0)</f>
        <v>3</v>
      </c>
    </row>
    <row r="926" spans="1:11" x14ac:dyDescent="0.3">
      <c r="A926" s="8" t="s">
        <v>2552</v>
      </c>
      <c r="B926" s="8" t="s">
        <v>1652</v>
      </c>
      <c r="C926" s="8">
        <v>54</v>
      </c>
      <c r="D926" s="120" t="s">
        <v>1611</v>
      </c>
      <c r="E926" s="121">
        <v>45247</v>
      </c>
      <c r="F926" s="8">
        <v>145</v>
      </c>
      <c r="G926" s="8">
        <v>2.7</v>
      </c>
      <c r="H926" s="82">
        <f>IF(MONTH(TABLE_PIVOT[[#This Row],[Date of Call]])&lt;=6,YEAR(TABLE_PIVOT[[#This Row],[Date of Call]]),YEAR(TABLE_PIVOT[[#This Row],[Date of Call]])+1)</f>
        <v>2024</v>
      </c>
      <c r="I926" s="82" t="str">
        <f>TEXT(TABLE_PIVOT[[#This Row],[Date of Call]],"DDDD")</f>
        <v>Friday</v>
      </c>
      <c r="J926" s="82" t="str" cm="1">
        <f t="array" ref="J926">_xlfn.IFS(TABLE_PIVOT[[#This Row],[Duration]]&lt;=10,"Under 10 Mins",TABLE_PIVOT[[#This Row],[Duration]]&lt;=30,"10 to 30 Mins",TABLE_PIVOT[[#This Row],[Duration]]&lt;=60,"30 to 60 Mins",TABLE_PIVOT[[#This Row],[Duration]]&lt;=120,"1 to 2 Hours",TRUE,"More Than 2 Hours")</f>
        <v>30 to 60 Mins</v>
      </c>
      <c r="K926" s="82">
        <f>ROUND(TABLE_PIVOT[[#This Row],[Satisfaction Rating]],0)</f>
        <v>3</v>
      </c>
    </row>
    <row r="927" spans="1:11" x14ac:dyDescent="0.3">
      <c r="A927" s="8" t="s">
        <v>2553</v>
      </c>
      <c r="B927" s="8" t="s">
        <v>1629</v>
      </c>
      <c r="C927" s="8">
        <v>71</v>
      </c>
      <c r="D927" s="120" t="s">
        <v>1630</v>
      </c>
      <c r="E927" s="121">
        <v>45247</v>
      </c>
      <c r="F927" s="8">
        <v>64</v>
      </c>
      <c r="G927" s="8">
        <v>3.9</v>
      </c>
      <c r="H927" s="82">
        <f>IF(MONTH(TABLE_PIVOT[[#This Row],[Date of Call]])&lt;=6,YEAR(TABLE_PIVOT[[#This Row],[Date of Call]]),YEAR(TABLE_PIVOT[[#This Row],[Date of Call]])+1)</f>
        <v>2024</v>
      </c>
      <c r="I927" s="82" t="str">
        <f>TEXT(TABLE_PIVOT[[#This Row],[Date of Call]],"DDDD")</f>
        <v>Friday</v>
      </c>
      <c r="J927" s="82" t="str" cm="1">
        <f t="array" ref="J927">_xlfn.IFS(TABLE_PIVOT[[#This Row],[Duration]]&lt;=10,"Under 10 Mins",TABLE_PIVOT[[#This Row],[Duration]]&lt;=30,"10 to 30 Mins",TABLE_PIVOT[[#This Row],[Duration]]&lt;=60,"30 to 60 Mins",TABLE_PIVOT[[#This Row],[Duration]]&lt;=120,"1 to 2 Hours",TRUE,"More Than 2 Hours")</f>
        <v>1 to 2 Hours</v>
      </c>
      <c r="K927" s="82">
        <f>ROUND(TABLE_PIVOT[[#This Row],[Satisfaction Rating]],0)</f>
        <v>4</v>
      </c>
    </row>
    <row r="928" spans="1:11" x14ac:dyDescent="0.3">
      <c r="A928" s="8" t="s">
        <v>2554</v>
      </c>
      <c r="B928" s="8" t="s">
        <v>1652</v>
      </c>
      <c r="C928" s="8">
        <v>93</v>
      </c>
      <c r="D928" s="120" t="s">
        <v>1611</v>
      </c>
      <c r="E928" s="121">
        <v>45248</v>
      </c>
      <c r="F928" s="8">
        <v>185</v>
      </c>
      <c r="G928" s="8">
        <v>4.3</v>
      </c>
      <c r="H928" s="82">
        <f>IF(MONTH(TABLE_PIVOT[[#This Row],[Date of Call]])&lt;=6,YEAR(TABLE_PIVOT[[#This Row],[Date of Call]]),YEAR(TABLE_PIVOT[[#This Row],[Date of Call]])+1)</f>
        <v>2024</v>
      </c>
      <c r="I928" s="82" t="str">
        <f>TEXT(TABLE_PIVOT[[#This Row],[Date of Call]],"DDDD")</f>
        <v>Saturday</v>
      </c>
      <c r="J928" s="82" t="str" cm="1">
        <f t="array" ref="J928">_xlfn.IFS(TABLE_PIVOT[[#This Row],[Duration]]&lt;=10,"Under 10 Mins",TABLE_PIVOT[[#This Row],[Duration]]&lt;=30,"10 to 30 Mins",TABLE_PIVOT[[#This Row],[Duration]]&lt;=60,"30 to 60 Mins",TABLE_PIVOT[[#This Row],[Duration]]&lt;=120,"1 to 2 Hours",TRUE,"More Than 2 Hours")</f>
        <v>1 to 2 Hours</v>
      </c>
      <c r="K928" s="82">
        <f>ROUND(TABLE_PIVOT[[#This Row],[Satisfaction Rating]],0)</f>
        <v>4</v>
      </c>
    </row>
    <row r="929" spans="1:11" x14ac:dyDescent="0.3">
      <c r="A929" s="8" t="s">
        <v>2555</v>
      </c>
      <c r="B929" s="8" t="s">
        <v>1618</v>
      </c>
      <c r="C929" s="8">
        <v>96</v>
      </c>
      <c r="D929" s="120" t="s">
        <v>1616</v>
      </c>
      <c r="E929" s="121">
        <v>45248</v>
      </c>
      <c r="F929" s="8">
        <v>215</v>
      </c>
      <c r="G929" s="8">
        <v>2.5</v>
      </c>
      <c r="H929" s="82">
        <f>IF(MONTH(TABLE_PIVOT[[#This Row],[Date of Call]])&lt;=6,YEAR(TABLE_PIVOT[[#This Row],[Date of Call]]),YEAR(TABLE_PIVOT[[#This Row],[Date of Call]])+1)</f>
        <v>2024</v>
      </c>
      <c r="I929" s="82" t="str">
        <f>TEXT(TABLE_PIVOT[[#This Row],[Date of Call]],"DDDD")</f>
        <v>Saturday</v>
      </c>
      <c r="J929" s="82" t="str" cm="1">
        <f t="array" ref="J929">_xlfn.IFS(TABLE_PIVOT[[#This Row],[Duration]]&lt;=10,"Under 10 Mins",TABLE_PIVOT[[#This Row],[Duration]]&lt;=30,"10 to 30 Mins",TABLE_PIVOT[[#This Row],[Duration]]&lt;=60,"30 to 60 Mins",TABLE_PIVOT[[#This Row],[Duration]]&lt;=120,"1 to 2 Hours",TRUE,"More Than 2 Hours")</f>
        <v>1 to 2 Hours</v>
      </c>
      <c r="K929" s="82">
        <f>ROUND(TABLE_PIVOT[[#This Row],[Satisfaction Rating]],0)</f>
        <v>3</v>
      </c>
    </row>
    <row r="930" spans="1:11" x14ac:dyDescent="0.3">
      <c r="A930" s="8" t="s">
        <v>2556</v>
      </c>
      <c r="B930" s="8" t="s">
        <v>1635</v>
      </c>
      <c r="C930" s="8">
        <v>31</v>
      </c>
      <c r="D930" s="120" t="s">
        <v>1621</v>
      </c>
      <c r="E930" s="121">
        <v>45248</v>
      </c>
      <c r="F930" s="8">
        <v>88</v>
      </c>
      <c r="G930" s="8">
        <v>3.4</v>
      </c>
      <c r="H930" s="82">
        <f>IF(MONTH(TABLE_PIVOT[[#This Row],[Date of Call]])&lt;=6,YEAR(TABLE_PIVOT[[#This Row],[Date of Call]]),YEAR(TABLE_PIVOT[[#This Row],[Date of Call]])+1)</f>
        <v>2024</v>
      </c>
      <c r="I930" s="82" t="str">
        <f>TEXT(TABLE_PIVOT[[#This Row],[Date of Call]],"DDDD")</f>
        <v>Saturday</v>
      </c>
      <c r="J930" s="82" t="str" cm="1">
        <f t="array" ref="J930">_xlfn.IFS(TABLE_PIVOT[[#This Row],[Duration]]&lt;=10,"Under 10 Mins",TABLE_PIVOT[[#This Row],[Duration]]&lt;=30,"10 to 30 Mins",TABLE_PIVOT[[#This Row],[Duration]]&lt;=60,"30 to 60 Mins",TABLE_PIVOT[[#This Row],[Duration]]&lt;=120,"1 to 2 Hours",TRUE,"More Than 2 Hours")</f>
        <v>30 to 60 Mins</v>
      </c>
      <c r="K930" s="82">
        <f>ROUND(TABLE_PIVOT[[#This Row],[Satisfaction Rating]],0)</f>
        <v>3</v>
      </c>
    </row>
    <row r="931" spans="1:11" x14ac:dyDescent="0.3">
      <c r="A931" s="8" t="s">
        <v>2557</v>
      </c>
      <c r="B931" s="8" t="s">
        <v>1652</v>
      </c>
      <c r="C931" s="8">
        <v>107</v>
      </c>
      <c r="D931" s="120" t="s">
        <v>1630</v>
      </c>
      <c r="E931" s="121">
        <v>45248</v>
      </c>
      <c r="F931" s="8">
        <v>23</v>
      </c>
      <c r="G931" s="8">
        <v>3.4</v>
      </c>
      <c r="H931" s="82">
        <f>IF(MONTH(TABLE_PIVOT[[#This Row],[Date of Call]])&lt;=6,YEAR(TABLE_PIVOT[[#This Row],[Date of Call]]),YEAR(TABLE_PIVOT[[#This Row],[Date of Call]])+1)</f>
        <v>2024</v>
      </c>
      <c r="I931" s="82" t="str">
        <f>TEXT(TABLE_PIVOT[[#This Row],[Date of Call]],"DDDD")</f>
        <v>Saturday</v>
      </c>
      <c r="J931" s="82" t="str" cm="1">
        <f t="array" ref="J931">_xlfn.IFS(TABLE_PIVOT[[#This Row],[Duration]]&lt;=10,"Under 10 Mins",TABLE_PIVOT[[#This Row],[Duration]]&lt;=30,"10 to 30 Mins",TABLE_PIVOT[[#This Row],[Duration]]&lt;=60,"30 to 60 Mins",TABLE_PIVOT[[#This Row],[Duration]]&lt;=120,"1 to 2 Hours",TRUE,"More Than 2 Hours")</f>
        <v>1 to 2 Hours</v>
      </c>
      <c r="K931" s="82">
        <f>ROUND(TABLE_PIVOT[[#This Row],[Satisfaction Rating]],0)</f>
        <v>3</v>
      </c>
    </row>
    <row r="932" spans="1:11" x14ac:dyDescent="0.3">
      <c r="A932" s="8" t="s">
        <v>2558</v>
      </c>
      <c r="B932" s="8" t="s">
        <v>1615</v>
      </c>
      <c r="C932" s="8">
        <v>50</v>
      </c>
      <c r="D932" s="120" t="s">
        <v>1621</v>
      </c>
      <c r="E932" s="121">
        <v>45249</v>
      </c>
      <c r="F932" s="8">
        <v>180</v>
      </c>
      <c r="G932" s="8">
        <v>1.8</v>
      </c>
      <c r="H932" s="82">
        <f>IF(MONTH(TABLE_PIVOT[[#This Row],[Date of Call]])&lt;=6,YEAR(TABLE_PIVOT[[#This Row],[Date of Call]]),YEAR(TABLE_PIVOT[[#This Row],[Date of Call]])+1)</f>
        <v>2024</v>
      </c>
      <c r="I932" s="82" t="str">
        <f>TEXT(TABLE_PIVOT[[#This Row],[Date of Call]],"DDDD")</f>
        <v>Sunday</v>
      </c>
      <c r="J932" s="82" t="str" cm="1">
        <f t="array" ref="J932">_xlfn.IFS(TABLE_PIVOT[[#This Row],[Duration]]&lt;=10,"Under 10 Mins",TABLE_PIVOT[[#This Row],[Duration]]&lt;=30,"10 to 30 Mins",TABLE_PIVOT[[#This Row],[Duration]]&lt;=60,"30 to 60 Mins",TABLE_PIVOT[[#This Row],[Duration]]&lt;=120,"1 to 2 Hours",TRUE,"More Than 2 Hours")</f>
        <v>30 to 60 Mins</v>
      </c>
      <c r="K932" s="82">
        <f>ROUND(TABLE_PIVOT[[#This Row],[Satisfaction Rating]],0)</f>
        <v>2</v>
      </c>
    </row>
    <row r="933" spans="1:11" x14ac:dyDescent="0.3">
      <c r="A933" s="8" t="s">
        <v>2559</v>
      </c>
      <c r="B933" s="8" t="s">
        <v>1662</v>
      </c>
      <c r="C933" s="8">
        <v>69</v>
      </c>
      <c r="D933" s="120" t="s">
        <v>1630</v>
      </c>
      <c r="E933" s="121">
        <v>45250</v>
      </c>
      <c r="F933" s="8">
        <v>225</v>
      </c>
      <c r="G933" s="8">
        <v>3.7</v>
      </c>
      <c r="H933" s="82">
        <f>IF(MONTH(TABLE_PIVOT[[#This Row],[Date of Call]])&lt;=6,YEAR(TABLE_PIVOT[[#This Row],[Date of Call]]),YEAR(TABLE_PIVOT[[#This Row],[Date of Call]])+1)</f>
        <v>2024</v>
      </c>
      <c r="I933" s="82" t="str">
        <f>TEXT(TABLE_PIVOT[[#This Row],[Date of Call]],"DDDD")</f>
        <v>Monday</v>
      </c>
      <c r="J933" s="82" t="str" cm="1">
        <f t="array" ref="J933">_xlfn.IFS(TABLE_PIVOT[[#This Row],[Duration]]&lt;=10,"Under 10 Mins",TABLE_PIVOT[[#This Row],[Duration]]&lt;=30,"10 to 30 Mins",TABLE_PIVOT[[#This Row],[Duration]]&lt;=60,"30 to 60 Mins",TABLE_PIVOT[[#This Row],[Duration]]&lt;=120,"1 to 2 Hours",TRUE,"More Than 2 Hours")</f>
        <v>1 to 2 Hours</v>
      </c>
      <c r="K933" s="82">
        <f>ROUND(TABLE_PIVOT[[#This Row],[Satisfaction Rating]],0)</f>
        <v>4</v>
      </c>
    </row>
    <row r="934" spans="1:11" x14ac:dyDescent="0.3">
      <c r="A934" s="8" t="s">
        <v>2560</v>
      </c>
      <c r="B934" s="8" t="s">
        <v>1620</v>
      </c>
      <c r="C934" s="8">
        <v>26</v>
      </c>
      <c r="D934" s="120" t="s">
        <v>1616</v>
      </c>
      <c r="E934" s="121">
        <v>45251</v>
      </c>
      <c r="F934" s="8">
        <v>74</v>
      </c>
      <c r="G934" s="8">
        <v>4.0999999999999996</v>
      </c>
      <c r="H934" s="82">
        <f>IF(MONTH(TABLE_PIVOT[[#This Row],[Date of Call]])&lt;=6,YEAR(TABLE_PIVOT[[#This Row],[Date of Call]]),YEAR(TABLE_PIVOT[[#This Row],[Date of Call]])+1)</f>
        <v>2024</v>
      </c>
      <c r="I934" s="82" t="str">
        <f>TEXT(TABLE_PIVOT[[#This Row],[Date of Call]],"DDDD")</f>
        <v>Tuesday</v>
      </c>
      <c r="J934" s="82" t="str" cm="1">
        <f t="array" ref="J934">_xlfn.IFS(TABLE_PIVOT[[#This Row],[Duration]]&lt;=10,"Under 10 Mins",TABLE_PIVOT[[#This Row],[Duration]]&lt;=30,"10 to 30 Mins",TABLE_PIVOT[[#This Row],[Duration]]&lt;=60,"30 to 60 Mins",TABLE_PIVOT[[#This Row],[Duration]]&lt;=120,"1 to 2 Hours",TRUE,"More Than 2 Hours")</f>
        <v>10 to 30 Mins</v>
      </c>
      <c r="K934" s="82">
        <f>ROUND(TABLE_PIVOT[[#This Row],[Satisfaction Rating]],0)</f>
        <v>4</v>
      </c>
    </row>
    <row r="935" spans="1:11" x14ac:dyDescent="0.3">
      <c r="A935" s="8" t="s">
        <v>2561</v>
      </c>
      <c r="B935" s="8" t="s">
        <v>1618</v>
      </c>
      <c r="C935" s="8">
        <v>158</v>
      </c>
      <c r="D935" s="120" t="s">
        <v>1630</v>
      </c>
      <c r="E935" s="121">
        <v>45251</v>
      </c>
      <c r="F935" s="8">
        <v>36</v>
      </c>
      <c r="G935" s="8">
        <v>3</v>
      </c>
      <c r="H935" s="82">
        <f>IF(MONTH(TABLE_PIVOT[[#This Row],[Date of Call]])&lt;=6,YEAR(TABLE_PIVOT[[#This Row],[Date of Call]]),YEAR(TABLE_PIVOT[[#This Row],[Date of Call]])+1)</f>
        <v>2024</v>
      </c>
      <c r="I935" s="82" t="str">
        <f>TEXT(TABLE_PIVOT[[#This Row],[Date of Call]],"DDDD")</f>
        <v>Tuesday</v>
      </c>
      <c r="J935" s="82" t="str" cm="1">
        <f t="array" ref="J935">_xlfn.IFS(TABLE_PIVOT[[#This Row],[Duration]]&lt;=10,"Under 10 Mins",TABLE_PIVOT[[#This Row],[Duration]]&lt;=30,"10 to 30 Mins",TABLE_PIVOT[[#This Row],[Duration]]&lt;=60,"30 to 60 Mins",TABLE_PIVOT[[#This Row],[Duration]]&lt;=120,"1 to 2 Hours",TRUE,"More Than 2 Hours")</f>
        <v>More Than 2 Hours</v>
      </c>
      <c r="K935" s="82">
        <f>ROUND(TABLE_PIVOT[[#This Row],[Satisfaction Rating]],0)</f>
        <v>3</v>
      </c>
    </row>
    <row r="936" spans="1:11" x14ac:dyDescent="0.3">
      <c r="A936" s="8" t="s">
        <v>2562</v>
      </c>
      <c r="B936" s="8" t="s">
        <v>1624</v>
      </c>
      <c r="C936" s="8">
        <v>99</v>
      </c>
      <c r="D936" s="120" t="s">
        <v>1630</v>
      </c>
      <c r="E936" s="121">
        <v>45253</v>
      </c>
      <c r="F936" s="8">
        <v>116</v>
      </c>
      <c r="G936" s="8">
        <v>3.9</v>
      </c>
      <c r="H936" s="82">
        <f>IF(MONTH(TABLE_PIVOT[[#This Row],[Date of Call]])&lt;=6,YEAR(TABLE_PIVOT[[#This Row],[Date of Call]]),YEAR(TABLE_PIVOT[[#This Row],[Date of Call]])+1)</f>
        <v>2024</v>
      </c>
      <c r="I936" s="82" t="str">
        <f>TEXT(TABLE_PIVOT[[#This Row],[Date of Call]],"DDDD")</f>
        <v>Thursday</v>
      </c>
      <c r="J936" s="82" t="str" cm="1">
        <f t="array" ref="J936">_xlfn.IFS(TABLE_PIVOT[[#This Row],[Duration]]&lt;=10,"Under 10 Mins",TABLE_PIVOT[[#This Row],[Duration]]&lt;=30,"10 to 30 Mins",TABLE_PIVOT[[#This Row],[Duration]]&lt;=60,"30 to 60 Mins",TABLE_PIVOT[[#This Row],[Duration]]&lt;=120,"1 to 2 Hours",TRUE,"More Than 2 Hours")</f>
        <v>1 to 2 Hours</v>
      </c>
      <c r="K936" s="82">
        <f>ROUND(TABLE_PIVOT[[#This Row],[Satisfaction Rating]],0)</f>
        <v>4</v>
      </c>
    </row>
    <row r="937" spans="1:11" x14ac:dyDescent="0.3">
      <c r="A937" s="8" t="s">
        <v>2563</v>
      </c>
      <c r="B937" s="8" t="s">
        <v>1618</v>
      </c>
      <c r="C937" s="8">
        <v>78</v>
      </c>
      <c r="D937" s="120" t="s">
        <v>1621</v>
      </c>
      <c r="E937" s="121">
        <v>45253</v>
      </c>
      <c r="F937" s="8">
        <v>140</v>
      </c>
      <c r="G937" s="8">
        <v>4</v>
      </c>
      <c r="H937" s="82">
        <f>IF(MONTH(TABLE_PIVOT[[#This Row],[Date of Call]])&lt;=6,YEAR(TABLE_PIVOT[[#This Row],[Date of Call]]),YEAR(TABLE_PIVOT[[#This Row],[Date of Call]])+1)</f>
        <v>2024</v>
      </c>
      <c r="I937" s="82" t="str">
        <f>TEXT(TABLE_PIVOT[[#This Row],[Date of Call]],"DDDD")</f>
        <v>Thursday</v>
      </c>
      <c r="J937" s="82" t="str" cm="1">
        <f t="array" ref="J937">_xlfn.IFS(TABLE_PIVOT[[#This Row],[Duration]]&lt;=10,"Under 10 Mins",TABLE_PIVOT[[#This Row],[Duration]]&lt;=30,"10 to 30 Mins",TABLE_PIVOT[[#This Row],[Duration]]&lt;=60,"30 to 60 Mins",TABLE_PIVOT[[#This Row],[Duration]]&lt;=120,"1 to 2 Hours",TRUE,"More Than 2 Hours")</f>
        <v>1 to 2 Hours</v>
      </c>
      <c r="K937" s="82">
        <f>ROUND(TABLE_PIVOT[[#This Row],[Satisfaction Rating]],0)</f>
        <v>4</v>
      </c>
    </row>
    <row r="938" spans="1:11" x14ac:dyDescent="0.3">
      <c r="A938" s="8" t="s">
        <v>2564</v>
      </c>
      <c r="B938" s="8" t="s">
        <v>1618</v>
      </c>
      <c r="C938" s="8">
        <v>102</v>
      </c>
      <c r="D938" s="120" t="s">
        <v>1616</v>
      </c>
      <c r="E938" s="121">
        <v>45254</v>
      </c>
      <c r="F938" s="8">
        <v>104</v>
      </c>
      <c r="G938" s="8">
        <v>4.5</v>
      </c>
      <c r="H938" s="82">
        <f>IF(MONTH(TABLE_PIVOT[[#This Row],[Date of Call]])&lt;=6,YEAR(TABLE_PIVOT[[#This Row],[Date of Call]]),YEAR(TABLE_PIVOT[[#This Row],[Date of Call]])+1)</f>
        <v>2024</v>
      </c>
      <c r="I938" s="82" t="str">
        <f>TEXT(TABLE_PIVOT[[#This Row],[Date of Call]],"DDDD")</f>
        <v>Friday</v>
      </c>
      <c r="J938" s="82" t="str" cm="1">
        <f t="array" ref="J938">_xlfn.IFS(TABLE_PIVOT[[#This Row],[Duration]]&lt;=10,"Under 10 Mins",TABLE_PIVOT[[#This Row],[Duration]]&lt;=30,"10 to 30 Mins",TABLE_PIVOT[[#This Row],[Duration]]&lt;=60,"30 to 60 Mins",TABLE_PIVOT[[#This Row],[Duration]]&lt;=120,"1 to 2 Hours",TRUE,"More Than 2 Hours")</f>
        <v>1 to 2 Hours</v>
      </c>
      <c r="K938" s="82">
        <f>ROUND(TABLE_PIVOT[[#This Row],[Satisfaction Rating]],0)</f>
        <v>5</v>
      </c>
    </row>
    <row r="939" spans="1:11" x14ac:dyDescent="0.3">
      <c r="A939" s="8" t="s">
        <v>2565</v>
      </c>
      <c r="B939" s="8" t="s">
        <v>1624</v>
      </c>
      <c r="C939" s="8">
        <v>158</v>
      </c>
      <c r="D939" s="120" t="s">
        <v>1626</v>
      </c>
      <c r="E939" s="121">
        <v>45254</v>
      </c>
      <c r="F939" s="8">
        <v>148</v>
      </c>
      <c r="G939" s="8">
        <v>4</v>
      </c>
      <c r="H939" s="82">
        <f>IF(MONTH(TABLE_PIVOT[[#This Row],[Date of Call]])&lt;=6,YEAR(TABLE_PIVOT[[#This Row],[Date of Call]]),YEAR(TABLE_PIVOT[[#This Row],[Date of Call]])+1)</f>
        <v>2024</v>
      </c>
      <c r="I939" s="82" t="str">
        <f>TEXT(TABLE_PIVOT[[#This Row],[Date of Call]],"DDDD")</f>
        <v>Friday</v>
      </c>
      <c r="J939" s="82" t="str" cm="1">
        <f t="array" ref="J939">_xlfn.IFS(TABLE_PIVOT[[#This Row],[Duration]]&lt;=10,"Under 10 Mins",TABLE_PIVOT[[#This Row],[Duration]]&lt;=30,"10 to 30 Mins",TABLE_PIVOT[[#This Row],[Duration]]&lt;=60,"30 to 60 Mins",TABLE_PIVOT[[#This Row],[Duration]]&lt;=120,"1 to 2 Hours",TRUE,"More Than 2 Hours")</f>
        <v>More Than 2 Hours</v>
      </c>
      <c r="K939" s="82">
        <f>ROUND(TABLE_PIVOT[[#This Row],[Satisfaction Rating]],0)</f>
        <v>4</v>
      </c>
    </row>
    <row r="940" spans="1:11" x14ac:dyDescent="0.3">
      <c r="A940" s="8" t="s">
        <v>2566</v>
      </c>
      <c r="B940" s="8" t="s">
        <v>1635</v>
      </c>
      <c r="C940" s="8">
        <v>56</v>
      </c>
      <c r="D940" s="120" t="s">
        <v>1630</v>
      </c>
      <c r="E940" s="121">
        <v>45254</v>
      </c>
      <c r="F940" s="8">
        <v>205</v>
      </c>
      <c r="G940" s="8">
        <v>4.3</v>
      </c>
      <c r="H940" s="82">
        <f>IF(MONTH(TABLE_PIVOT[[#This Row],[Date of Call]])&lt;=6,YEAR(TABLE_PIVOT[[#This Row],[Date of Call]]),YEAR(TABLE_PIVOT[[#This Row],[Date of Call]])+1)</f>
        <v>2024</v>
      </c>
      <c r="I940" s="82" t="str">
        <f>TEXT(TABLE_PIVOT[[#This Row],[Date of Call]],"DDDD")</f>
        <v>Friday</v>
      </c>
      <c r="J940" s="82" t="str" cm="1">
        <f t="array" ref="J940">_xlfn.IFS(TABLE_PIVOT[[#This Row],[Duration]]&lt;=10,"Under 10 Mins",TABLE_PIVOT[[#This Row],[Duration]]&lt;=30,"10 to 30 Mins",TABLE_PIVOT[[#This Row],[Duration]]&lt;=60,"30 to 60 Mins",TABLE_PIVOT[[#This Row],[Duration]]&lt;=120,"1 to 2 Hours",TRUE,"More Than 2 Hours")</f>
        <v>30 to 60 Mins</v>
      </c>
      <c r="K940" s="82">
        <f>ROUND(TABLE_PIVOT[[#This Row],[Satisfaction Rating]],0)</f>
        <v>4</v>
      </c>
    </row>
    <row r="941" spans="1:11" x14ac:dyDescent="0.3">
      <c r="A941" s="8" t="s">
        <v>2567</v>
      </c>
      <c r="B941" s="8" t="s">
        <v>1613</v>
      </c>
      <c r="C941" s="8">
        <v>17</v>
      </c>
      <c r="D941" s="120" t="s">
        <v>1611</v>
      </c>
      <c r="E941" s="121">
        <v>45254</v>
      </c>
      <c r="F941" s="8">
        <v>210</v>
      </c>
      <c r="G941" s="8">
        <v>4.8</v>
      </c>
      <c r="H941" s="82">
        <f>IF(MONTH(TABLE_PIVOT[[#This Row],[Date of Call]])&lt;=6,YEAR(TABLE_PIVOT[[#This Row],[Date of Call]]),YEAR(TABLE_PIVOT[[#This Row],[Date of Call]])+1)</f>
        <v>2024</v>
      </c>
      <c r="I941" s="82" t="str">
        <f>TEXT(TABLE_PIVOT[[#This Row],[Date of Call]],"DDDD")</f>
        <v>Friday</v>
      </c>
      <c r="J941" s="82" t="str" cm="1">
        <f t="array" ref="J941">_xlfn.IFS(TABLE_PIVOT[[#This Row],[Duration]]&lt;=10,"Under 10 Mins",TABLE_PIVOT[[#This Row],[Duration]]&lt;=30,"10 to 30 Mins",TABLE_PIVOT[[#This Row],[Duration]]&lt;=60,"30 to 60 Mins",TABLE_PIVOT[[#This Row],[Duration]]&lt;=120,"1 to 2 Hours",TRUE,"More Than 2 Hours")</f>
        <v>10 to 30 Mins</v>
      </c>
      <c r="K941" s="82">
        <f>ROUND(TABLE_PIVOT[[#This Row],[Satisfaction Rating]],0)</f>
        <v>5</v>
      </c>
    </row>
    <row r="942" spans="1:11" x14ac:dyDescent="0.3">
      <c r="A942" s="8" t="s">
        <v>2568</v>
      </c>
      <c r="B942" s="8" t="s">
        <v>1620</v>
      </c>
      <c r="C942" s="8">
        <v>104</v>
      </c>
      <c r="D942" s="120" t="s">
        <v>1626</v>
      </c>
      <c r="E942" s="121">
        <v>45256</v>
      </c>
      <c r="F942" s="8">
        <v>41</v>
      </c>
      <c r="G942" s="8">
        <v>4.7</v>
      </c>
      <c r="H942" s="82">
        <f>IF(MONTH(TABLE_PIVOT[[#This Row],[Date of Call]])&lt;=6,YEAR(TABLE_PIVOT[[#This Row],[Date of Call]]),YEAR(TABLE_PIVOT[[#This Row],[Date of Call]])+1)</f>
        <v>2024</v>
      </c>
      <c r="I942" s="82" t="str">
        <f>TEXT(TABLE_PIVOT[[#This Row],[Date of Call]],"DDDD")</f>
        <v>Sunday</v>
      </c>
      <c r="J942" s="82" t="str" cm="1">
        <f t="array" ref="J942">_xlfn.IFS(TABLE_PIVOT[[#This Row],[Duration]]&lt;=10,"Under 10 Mins",TABLE_PIVOT[[#This Row],[Duration]]&lt;=30,"10 to 30 Mins",TABLE_PIVOT[[#This Row],[Duration]]&lt;=60,"30 to 60 Mins",TABLE_PIVOT[[#This Row],[Duration]]&lt;=120,"1 to 2 Hours",TRUE,"More Than 2 Hours")</f>
        <v>1 to 2 Hours</v>
      </c>
      <c r="K942" s="82">
        <f>ROUND(TABLE_PIVOT[[#This Row],[Satisfaction Rating]],0)</f>
        <v>5</v>
      </c>
    </row>
    <row r="943" spans="1:11" x14ac:dyDescent="0.3">
      <c r="A943" s="8" t="s">
        <v>2569</v>
      </c>
      <c r="B943" s="8" t="s">
        <v>1649</v>
      </c>
      <c r="C943" s="8">
        <v>96</v>
      </c>
      <c r="D943" s="120" t="s">
        <v>1621</v>
      </c>
      <c r="E943" s="121">
        <v>45256</v>
      </c>
      <c r="F943" s="8">
        <v>136</v>
      </c>
      <c r="G943" s="8">
        <v>5</v>
      </c>
      <c r="H943" s="82">
        <f>IF(MONTH(TABLE_PIVOT[[#This Row],[Date of Call]])&lt;=6,YEAR(TABLE_PIVOT[[#This Row],[Date of Call]]),YEAR(TABLE_PIVOT[[#This Row],[Date of Call]])+1)</f>
        <v>2024</v>
      </c>
      <c r="I943" s="82" t="str">
        <f>TEXT(TABLE_PIVOT[[#This Row],[Date of Call]],"DDDD")</f>
        <v>Sunday</v>
      </c>
      <c r="J943" s="82" t="str" cm="1">
        <f t="array" ref="J943">_xlfn.IFS(TABLE_PIVOT[[#This Row],[Duration]]&lt;=10,"Under 10 Mins",TABLE_PIVOT[[#This Row],[Duration]]&lt;=30,"10 to 30 Mins",TABLE_PIVOT[[#This Row],[Duration]]&lt;=60,"30 to 60 Mins",TABLE_PIVOT[[#This Row],[Duration]]&lt;=120,"1 to 2 Hours",TRUE,"More Than 2 Hours")</f>
        <v>1 to 2 Hours</v>
      </c>
      <c r="K943" s="82">
        <f>ROUND(TABLE_PIVOT[[#This Row],[Satisfaction Rating]],0)</f>
        <v>5</v>
      </c>
    </row>
    <row r="944" spans="1:11" x14ac:dyDescent="0.3">
      <c r="A944" s="8" t="s">
        <v>2570</v>
      </c>
      <c r="B944" s="8" t="s">
        <v>1641</v>
      </c>
      <c r="C944" s="8">
        <v>83</v>
      </c>
      <c r="D944" s="120" t="s">
        <v>1616</v>
      </c>
      <c r="E944" s="121">
        <v>45257</v>
      </c>
      <c r="F944" s="8">
        <v>126</v>
      </c>
      <c r="G944" s="8">
        <v>1.5</v>
      </c>
      <c r="H944" s="82">
        <f>IF(MONTH(TABLE_PIVOT[[#This Row],[Date of Call]])&lt;=6,YEAR(TABLE_PIVOT[[#This Row],[Date of Call]]),YEAR(TABLE_PIVOT[[#This Row],[Date of Call]])+1)</f>
        <v>2024</v>
      </c>
      <c r="I944" s="82" t="str">
        <f>TEXT(TABLE_PIVOT[[#This Row],[Date of Call]],"DDDD")</f>
        <v>Monday</v>
      </c>
      <c r="J944" s="82" t="str" cm="1">
        <f t="array" ref="J944">_xlfn.IFS(TABLE_PIVOT[[#This Row],[Duration]]&lt;=10,"Under 10 Mins",TABLE_PIVOT[[#This Row],[Duration]]&lt;=30,"10 to 30 Mins",TABLE_PIVOT[[#This Row],[Duration]]&lt;=60,"30 to 60 Mins",TABLE_PIVOT[[#This Row],[Duration]]&lt;=120,"1 to 2 Hours",TRUE,"More Than 2 Hours")</f>
        <v>1 to 2 Hours</v>
      </c>
      <c r="K944" s="82">
        <f>ROUND(TABLE_PIVOT[[#This Row],[Satisfaction Rating]],0)</f>
        <v>2</v>
      </c>
    </row>
    <row r="945" spans="1:11" x14ac:dyDescent="0.3">
      <c r="A945" s="8" t="s">
        <v>2571</v>
      </c>
      <c r="B945" s="8" t="s">
        <v>1615</v>
      </c>
      <c r="C945" s="8">
        <v>80</v>
      </c>
      <c r="D945" s="120" t="s">
        <v>1611</v>
      </c>
      <c r="E945" s="121">
        <v>45258</v>
      </c>
      <c r="F945" s="8">
        <v>148</v>
      </c>
      <c r="G945" s="8">
        <v>4.0999999999999996</v>
      </c>
      <c r="H945" s="82">
        <f>IF(MONTH(TABLE_PIVOT[[#This Row],[Date of Call]])&lt;=6,YEAR(TABLE_PIVOT[[#This Row],[Date of Call]]),YEAR(TABLE_PIVOT[[#This Row],[Date of Call]])+1)</f>
        <v>2024</v>
      </c>
      <c r="I945" s="82" t="str">
        <f>TEXT(TABLE_PIVOT[[#This Row],[Date of Call]],"DDDD")</f>
        <v>Tuesday</v>
      </c>
      <c r="J945" s="82" t="str" cm="1">
        <f t="array" ref="J945">_xlfn.IFS(TABLE_PIVOT[[#This Row],[Duration]]&lt;=10,"Under 10 Mins",TABLE_PIVOT[[#This Row],[Duration]]&lt;=30,"10 to 30 Mins",TABLE_PIVOT[[#This Row],[Duration]]&lt;=60,"30 to 60 Mins",TABLE_PIVOT[[#This Row],[Duration]]&lt;=120,"1 to 2 Hours",TRUE,"More Than 2 Hours")</f>
        <v>1 to 2 Hours</v>
      </c>
      <c r="K945" s="82">
        <f>ROUND(TABLE_PIVOT[[#This Row],[Satisfaction Rating]],0)</f>
        <v>4</v>
      </c>
    </row>
    <row r="946" spans="1:11" x14ac:dyDescent="0.3">
      <c r="A946" s="8" t="s">
        <v>2572</v>
      </c>
      <c r="B946" s="8" t="s">
        <v>1641</v>
      </c>
      <c r="C946" s="8">
        <v>152</v>
      </c>
      <c r="D946" s="120" t="s">
        <v>1616</v>
      </c>
      <c r="E946" s="121">
        <v>45258</v>
      </c>
      <c r="F946" s="8">
        <v>125</v>
      </c>
      <c r="G946" s="8">
        <v>3.9</v>
      </c>
      <c r="H946" s="82">
        <f>IF(MONTH(TABLE_PIVOT[[#This Row],[Date of Call]])&lt;=6,YEAR(TABLE_PIVOT[[#This Row],[Date of Call]]),YEAR(TABLE_PIVOT[[#This Row],[Date of Call]])+1)</f>
        <v>2024</v>
      </c>
      <c r="I946" s="82" t="str">
        <f>TEXT(TABLE_PIVOT[[#This Row],[Date of Call]],"DDDD")</f>
        <v>Tuesday</v>
      </c>
      <c r="J946" s="82" t="str" cm="1">
        <f t="array" ref="J946">_xlfn.IFS(TABLE_PIVOT[[#This Row],[Duration]]&lt;=10,"Under 10 Mins",TABLE_PIVOT[[#This Row],[Duration]]&lt;=30,"10 to 30 Mins",TABLE_PIVOT[[#This Row],[Duration]]&lt;=60,"30 to 60 Mins",TABLE_PIVOT[[#This Row],[Duration]]&lt;=120,"1 to 2 Hours",TRUE,"More Than 2 Hours")</f>
        <v>More Than 2 Hours</v>
      </c>
      <c r="K946" s="82">
        <f>ROUND(TABLE_PIVOT[[#This Row],[Satisfaction Rating]],0)</f>
        <v>4</v>
      </c>
    </row>
    <row r="947" spans="1:11" x14ac:dyDescent="0.3">
      <c r="A947" s="8" t="s">
        <v>2573</v>
      </c>
      <c r="B947" s="8" t="s">
        <v>1629</v>
      </c>
      <c r="C947" s="8">
        <v>34</v>
      </c>
      <c r="D947" s="120" t="s">
        <v>1621</v>
      </c>
      <c r="E947" s="121">
        <v>45258</v>
      </c>
      <c r="F947" s="8">
        <v>25</v>
      </c>
      <c r="G947" s="8">
        <v>4.0999999999999996</v>
      </c>
      <c r="H947" s="82">
        <f>IF(MONTH(TABLE_PIVOT[[#This Row],[Date of Call]])&lt;=6,YEAR(TABLE_PIVOT[[#This Row],[Date of Call]]),YEAR(TABLE_PIVOT[[#This Row],[Date of Call]])+1)</f>
        <v>2024</v>
      </c>
      <c r="I947" s="82" t="str">
        <f>TEXT(TABLE_PIVOT[[#This Row],[Date of Call]],"DDDD")</f>
        <v>Tuesday</v>
      </c>
      <c r="J947" s="82" t="str" cm="1">
        <f t="array" ref="J947">_xlfn.IFS(TABLE_PIVOT[[#This Row],[Duration]]&lt;=10,"Under 10 Mins",TABLE_PIVOT[[#This Row],[Duration]]&lt;=30,"10 to 30 Mins",TABLE_PIVOT[[#This Row],[Duration]]&lt;=60,"30 to 60 Mins",TABLE_PIVOT[[#This Row],[Duration]]&lt;=120,"1 to 2 Hours",TRUE,"More Than 2 Hours")</f>
        <v>30 to 60 Mins</v>
      </c>
      <c r="K947" s="82">
        <f>ROUND(TABLE_PIVOT[[#This Row],[Satisfaction Rating]],0)</f>
        <v>4</v>
      </c>
    </row>
    <row r="948" spans="1:11" x14ac:dyDescent="0.3">
      <c r="A948" s="8" t="s">
        <v>2574</v>
      </c>
      <c r="B948" s="8" t="s">
        <v>1633</v>
      </c>
      <c r="C948" s="8">
        <v>2</v>
      </c>
      <c r="D948" s="120" t="s">
        <v>1630</v>
      </c>
      <c r="E948" s="121">
        <v>45259</v>
      </c>
      <c r="F948" s="8">
        <v>62</v>
      </c>
      <c r="G948" s="8">
        <v>2.8</v>
      </c>
      <c r="H948" s="82">
        <f>IF(MONTH(TABLE_PIVOT[[#This Row],[Date of Call]])&lt;=6,YEAR(TABLE_PIVOT[[#This Row],[Date of Call]]),YEAR(TABLE_PIVOT[[#This Row],[Date of Call]])+1)</f>
        <v>2024</v>
      </c>
      <c r="I948" s="82" t="str">
        <f>TEXT(TABLE_PIVOT[[#This Row],[Date of Call]],"DDDD")</f>
        <v>Wednesday</v>
      </c>
      <c r="J948" s="82" t="str" cm="1">
        <f t="array" ref="J948">_xlfn.IFS(TABLE_PIVOT[[#This Row],[Duration]]&lt;=10,"Under 10 Mins",TABLE_PIVOT[[#This Row],[Duration]]&lt;=30,"10 to 30 Mins",TABLE_PIVOT[[#This Row],[Duration]]&lt;=60,"30 to 60 Mins",TABLE_PIVOT[[#This Row],[Duration]]&lt;=120,"1 to 2 Hours",TRUE,"More Than 2 Hours")</f>
        <v>Under 10 Mins</v>
      </c>
      <c r="K948" s="82">
        <f>ROUND(TABLE_PIVOT[[#This Row],[Satisfaction Rating]],0)</f>
        <v>3</v>
      </c>
    </row>
    <row r="949" spans="1:11" x14ac:dyDescent="0.3">
      <c r="A949" s="8" t="s">
        <v>2575</v>
      </c>
      <c r="B949" s="8" t="s">
        <v>1615</v>
      </c>
      <c r="C949" s="8">
        <v>140</v>
      </c>
      <c r="D949" s="120" t="s">
        <v>1621</v>
      </c>
      <c r="E949" s="121">
        <v>45260</v>
      </c>
      <c r="F949" s="8">
        <v>90</v>
      </c>
      <c r="G949" s="8">
        <v>4.5999999999999996</v>
      </c>
      <c r="H949" s="82">
        <f>IF(MONTH(TABLE_PIVOT[[#This Row],[Date of Call]])&lt;=6,YEAR(TABLE_PIVOT[[#This Row],[Date of Call]]),YEAR(TABLE_PIVOT[[#This Row],[Date of Call]])+1)</f>
        <v>2024</v>
      </c>
      <c r="I949" s="82" t="str">
        <f>TEXT(TABLE_PIVOT[[#This Row],[Date of Call]],"DDDD")</f>
        <v>Thursday</v>
      </c>
      <c r="J949" s="82" t="str" cm="1">
        <f t="array" ref="J949">_xlfn.IFS(TABLE_PIVOT[[#This Row],[Duration]]&lt;=10,"Under 10 Mins",TABLE_PIVOT[[#This Row],[Duration]]&lt;=30,"10 to 30 Mins",TABLE_PIVOT[[#This Row],[Duration]]&lt;=60,"30 to 60 Mins",TABLE_PIVOT[[#This Row],[Duration]]&lt;=120,"1 to 2 Hours",TRUE,"More Than 2 Hours")</f>
        <v>More Than 2 Hours</v>
      </c>
      <c r="K949" s="82">
        <f>ROUND(TABLE_PIVOT[[#This Row],[Satisfaction Rating]],0)</f>
        <v>5</v>
      </c>
    </row>
    <row r="950" spans="1:11" x14ac:dyDescent="0.3">
      <c r="A950" s="8" t="s">
        <v>2576</v>
      </c>
      <c r="B950" s="8" t="s">
        <v>1613</v>
      </c>
      <c r="C950" s="8">
        <v>126</v>
      </c>
      <c r="D950" s="120" t="s">
        <v>1626</v>
      </c>
      <c r="E950" s="121">
        <v>45261</v>
      </c>
      <c r="F950" s="8">
        <v>33</v>
      </c>
      <c r="G950" s="8">
        <v>4.8</v>
      </c>
      <c r="H950" s="82">
        <f>IF(MONTH(TABLE_PIVOT[[#This Row],[Date of Call]])&lt;=6,YEAR(TABLE_PIVOT[[#This Row],[Date of Call]]),YEAR(TABLE_PIVOT[[#This Row],[Date of Call]])+1)</f>
        <v>2024</v>
      </c>
      <c r="I950" s="82" t="str">
        <f>TEXT(TABLE_PIVOT[[#This Row],[Date of Call]],"DDDD")</f>
        <v>Friday</v>
      </c>
      <c r="J950" s="82" t="str" cm="1">
        <f t="array" ref="J950">_xlfn.IFS(TABLE_PIVOT[[#This Row],[Duration]]&lt;=10,"Under 10 Mins",TABLE_PIVOT[[#This Row],[Duration]]&lt;=30,"10 to 30 Mins",TABLE_PIVOT[[#This Row],[Duration]]&lt;=60,"30 to 60 Mins",TABLE_PIVOT[[#This Row],[Duration]]&lt;=120,"1 to 2 Hours",TRUE,"More Than 2 Hours")</f>
        <v>More Than 2 Hours</v>
      </c>
      <c r="K950" s="82">
        <f>ROUND(TABLE_PIVOT[[#This Row],[Satisfaction Rating]],0)</f>
        <v>5</v>
      </c>
    </row>
    <row r="951" spans="1:11" x14ac:dyDescent="0.3">
      <c r="A951" s="8" t="s">
        <v>2577</v>
      </c>
      <c r="B951" s="8" t="s">
        <v>1618</v>
      </c>
      <c r="C951" s="8">
        <v>79</v>
      </c>
      <c r="D951" s="120" t="s">
        <v>1630</v>
      </c>
      <c r="E951" s="121">
        <v>45261</v>
      </c>
      <c r="F951" s="8">
        <v>115</v>
      </c>
      <c r="G951" s="8">
        <v>2.2999999999999998</v>
      </c>
      <c r="H951" s="82">
        <f>IF(MONTH(TABLE_PIVOT[[#This Row],[Date of Call]])&lt;=6,YEAR(TABLE_PIVOT[[#This Row],[Date of Call]]),YEAR(TABLE_PIVOT[[#This Row],[Date of Call]])+1)</f>
        <v>2024</v>
      </c>
      <c r="I951" s="82" t="str">
        <f>TEXT(TABLE_PIVOT[[#This Row],[Date of Call]],"DDDD")</f>
        <v>Friday</v>
      </c>
      <c r="J951" s="82" t="str" cm="1">
        <f t="array" ref="J951">_xlfn.IFS(TABLE_PIVOT[[#This Row],[Duration]]&lt;=10,"Under 10 Mins",TABLE_PIVOT[[#This Row],[Duration]]&lt;=30,"10 to 30 Mins",TABLE_PIVOT[[#This Row],[Duration]]&lt;=60,"30 to 60 Mins",TABLE_PIVOT[[#This Row],[Duration]]&lt;=120,"1 to 2 Hours",TRUE,"More Than 2 Hours")</f>
        <v>1 to 2 Hours</v>
      </c>
      <c r="K951" s="82">
        <f>ROUND(TABLE_PIVOT[[#This Row],[Satisfaction Rating]],0)</f>
        <v>2</v>
      </c>
    </row>
    <row r="952" spans="1:11" x14ac:dyDescent="0.3">
      <c r="A952" s="8" t="s">
        <v>2578</v>
      </c>
      <c r="B952" s="8" t="s">
        <v>1613</v>
      </c>
      <c r="C952" s="8">
        <v>133</v>
      </c>
      <c r="D952" s="120" t="s">
        <v>1626</v>
      </c>
      <c r="E952" s="121">
        <v>45261</v>
      </c>
      <c r="F952" s="8">
        <v>45</v>
      </c>
      <c r="G952" s="8">
        <v>2.6</v>
      </c>
      <c r="H952" s="82">
        <f>IF(MONTH(TABLE_PIVOT[[#This Row],[Date of Call]])&lt;=6,YEAR(TABLE_PIVOT[[#This Row],[Date of Call]]),YEAR(TABLE_PIVOT[[#This Row],[Date of Call]])+1)</f>
        <v>2024</v>
      </c>
      <c r="I952" s="82" t="str">
        <f>TEXT(TABLE_PIVOT[[#This Row],[Date of Call]],"DDDD")</f>
        <v>Friday</v>
      </c>
      <c r="J952" s="82" t="str" cm="1">
        <f t="array" ref="J952">_xlfn.IFS(TABLE_PIVOT[[#This Row],[Duration]]&lt;=10,"Under 10 Mins",TABLE_PIVOT[[#This Row],[Duration]]&lt;=30,"10 to 30 Mins",TABLE_PIVOT[[#This Row],[Duration]]&lt;=60,"30 to 60 Mins",TABLE_PIVOT[[#This Row],[Duration]]&lt;=120,"1 to 2 Hours",TRUE,"More Than 2 Hours")</f>
        <v>More Than 2 Hours</v>
      </c>
      <c r="K952" s="82">
        <f>ROUND(TABLE_PIVOT[[#This Row],[Satisfaction Rating]],0)</f>
        <v>3</v>
      </c>
    </row>
    <row r="953" spans="1:11" x14ac:dyDescent="0.3">
      <c r="A953" s="8" t="s">
        <v>2579</v>
      </c>
      <c r="B953" s="8" t="s">
        <v>1629</v>
      </c>
      <c r="C953" s="8">
        <v>97</v>
      </c>
      <c r="D953" s="120" t="s">
        <v>1611</v>
      </c>
      <c r="E953" s="121">
        <v>45261</v>
      </c>
      <c r="F953" s="8">
        <v>114</v>
      </c>
      <c r="G953" s="8">
        <v>4.8</v>
      </c>
      <c r="H953" s="82">
        <f>IF(MONTH(TABLE_PIVOT[[#This Row],[Date of Call]])&lt;=6,YEAR(TABLE_PIVOT[[#This Row],[Date of Call]]),YEAR(TABLE_PIVOT[[#This Row],[Date of Call]])+1)</f>
        <v>2024</v>
      </c>
      <c r="I953" s="82" t="str">
        <f>TEXT(TABLE_PIVOT[[#This Row],[Date of Call]],"DDDD")</f>
        <v>Friday</v>
      </c>
      <c r="J953" s="82" t="str" cm="1">
        <f t="array" ref="J953">_xlfn.IFS(TABLE_PIVOT[[#This Row],[Duration]]&lt;=10,"Under 10 Mins",TABLE_PIVOT[[#This Row],[Duration]]&lt;=30,"10 to 30 Mins",TABLE_PIVOT[[#This Row],[Duration]]&lt;=60,"30 to 60 Mins",TABLE_PIVOT[[#This Row],[Duration]]&lt;=120,"1 to 2 Hours",TRUE,"More Than 2 Hours")</f>
        <v>1 to 2 Hours</v>
      </c>
      <c r="K953" s="82">
        <f>ROUND(TABLE_PIVOT[[#This Row],[Satisfaction Rating]],0)</f>
        <v>5</v>
      </c>
    </row>
    <row r="954" spans="1:11" x14ac:dyDescent="0.3">
      <c r="A954" s="8" t="s">
        <v>2580</v>
      </c>
      <c r="B954" s="8" t="s">
        <v>1618</v>
      </c>
      <c r="C954" s="8">
        <v>102</v>
      </c>
      <c r="D954" s="120" t="s">
        <v>1616</v>
      </c>
      <c r="E954" s="121">
        <v>45262</v>
      </c>
      <c r="F954" s="8">
        <v>72</v>
      </c>
      <c r="G954" s="8">
        <v>3.7</v>
      </c>
      <c r="H954" s="82">
        <f>IF(MONTH(TABLE_PIVOT[[#This Row],[Date of Call]])&lt;=6,YEAR(TABLE_PIVOT[[#This Row],[Date of Call]]),YEAR(TABLE_PIVOT[[#This Row],[Date of Call]])+1)</f>
        <v>2024</v>
      </c>
      <c r="I954" s="82" t="str">
        <f>TEXT(TABLE_PIVOT[[#This Row],[Date of Call]],"DDDD")</f>
        <v>Saturday</v>
      </c>
      <c r="J954" s="82" t="str" cm="1">
        <f t="array" ref="J954">_xlfn.IFS(TABLE_PIVOT[[#This Row],[Duration]]&lt;=10,"Under 10 Mins",TABLE_PIVOT[[#This Row],[Duration]]&lt;=30,"10 to 30 Mins",TABLE_PIVOT[[#This Row],[Duration]]&lt;=60,"30 to 60 Mins",TABLE_PIVOT[[#This Row],[Duration]]&lt;=120,"1 to 2 Hours",TRUE,"More Than 2 Hours")</f>
        <v>1 to 2 Hours</v>
      </c>
      <c r="K954" s="82">
        <f>ROUND(TABLE_PIVOT[[#This Row],[Satisfaction Rating]],0)</f>
        <v>4</v>
      </c>
    </row>
    <row r="955" spans="1:11" x14ac:dyDescent="0.3">
      <c r="A955" s="8" t="s">
        <v>2581</v>
      </c>
      <c r="B955" s="8" t="s">
        <v>1644</v>
      </c>
      <c r="C955" s="8">
        <v>62</v>
      </c>
      <c r="D955" s="120" t="s">
        <v>1611</v>
      </c>
      <c r="E955" s="121">
        <v>45262</v>
      </c>
      <c r="F955" s="8">
        <v>205</v>
      </c>
      <c r="G955" s="8">
        <v>4.2</v>
      </c>
      <c r="H955" s="82">
        <f>IF(MONTH(TABLE_PIVOT[[#This Row],[Date of Call]])&lt;=6,YEAR(TABLE_PIVOT[[#This Row],[Date of Call]]),YEAR(TABLE_PIVOT[[#This Row],[Date of Call]])+1)</f>
        <v>2024</v>
      </c>
      <c r="I955" s="82" t="str">
        <f>TEXT(TABLE_PIVOT[[#This Row],[Date of Call]],"DDDD")</f>
        <v>Saturday</v>
      </c>
      <c r="J955" s="82" t="str" cm="1">
        <f t="array" ref="J955">_xlfn.IFS(TABLE_PIVOT[[#This Row],[Duration]]&lt;=10,"Under 10 Mins",TABLE_PIVOT[[#This Row],[Duration]]&lt;=30,"10 to 30 Mins",TABLE_PIVOT[[#This Row],[Duration]]&lt;=60,"30 to 60 Mins",TABLE_PIVOT[[#This Row],[Duration]]&lt;=120,"1 to 2 Hours",TRUE,"More Than 2 Hours")</f>
        <v>1 to 2 Hours</v>
      </c>
      <c r="K955" s="82">
        <f>ROUND(TABLE_PIVOT[[#This Row],[Satisfaction Rating]],0)</f>
        <v>4</v>
      </c>
    </row>
    <row r="956" spans="1:11" x14ac:dyDescent="0.3">
      <c r="A956" s="8" t="s">
        <v>2582</v>
      </c>
      <c r="B956" s="8" t="s">
        <v>1613</v>
      </c>
      <c r="C956" s="8">
        <v>149</v>
      </c>
      <c r="D956" s="120" t="s">
        <v>1616</v>
      </c>
      <c r="E956" s="121">
        <v>45263</v>
      </c>
      <c r="F956" s="8">
        <v>42</v>
      </c>
      <c r="G956" s="8">
        <v>3.3</v>
      </c>
      <c r="H956" s="82">
        <f>IF(MONTH(TABLE_PIVOT[[#This Row],[Date of Call]])&lt;=6,YEAR(TABLE_PIVOT[[#This Row],[Date of Call]]),YEAR(TABLE_PIVOT[[#This Row],[Date of Call]])+1)</f>
        <v>2024</v>
      </c>
      <c r="I956" s="82" t="str">
        <f>TEXT(TABLE_PIVOT[[#This Row],[Date of Call]],"DDDD")</f>
        <v>Sunday</v>
      </c>
      <c r="J956" s="82" t="str" cm="1">
        <f t="array" ref="J956">_xlfn.IFS(TABLE_PIVOT[[#This Row],[Duration]]&lt;=10,"Under 10 Mins",TABLE_PIVOT[[#This Row],[Duration]]&lt;=30,"10 to 30 Mins",TABLE_PIVOT[[#This Row],[Duration]]&lt;=60,"30 to 60 Mins",TABLE_PIVOT[[#This Row],[Duration]]&lt;=120,"1 to 2 Hours",TRUE,"More Than 2 Hours")</f>
        <v>More Than 2 Hours</v>
      </c>
      <c r="K956" s="82">
        <f>ROUND(TABLE_PIVOT[[#This Row],[Satisfaction Rating]],0)</f>
        <v>3</v>
      </c>
    </row>
    <row r="957" spans="1:11" x14ac:dyDescent="0.3">
      <c r="A957" s="8" t="s">
        <v>2583</v>
      </c>
      <c r="B957" s="8" t="s">
        <v>1633</v>
      </c>
      <c r="C957" s="8">
        <v>133</v>
      </c>
      <c r="D957" s="120" t="s">
        <v>1611</v>
      </c>
      <c r="E957" s="121">
        <v>45263</v>
      </c>
      <c r="F957" s="8">
        <v>96</v>
      </c>
      <c r="G957" s="8">
        <v>4.3</v>
      </c>
      <c r="H957" s="82">
        <f>IF(MONTH(TABLE_PIVOT[[#This Row],[Date of Call]])&lt;=6,YEAR(TABLE_PIVOT[[#This Row],[Date of Call]]),YEAR(TABLE_PIVOT[[#This Row],[Date of Call]])+1)</f>
        <v>2024</v>
      </c>
      <c r="I957" s="82" t="str">
        <f>TEXT(TABLE_PIVOT[[#This Row],[Date of Call]],"DDDD")</f>
        <v>Sunday</v>
      </c>
      <c r="J957" s="82" t="str" cm="1">
        <f t="array" ref="J957">_xlfn.IFS(TABLE_PIVOT[[#This Row],[Duration]]&lt;=10,"Under 10 Mins",TABLE_PIVOT[[#This Row],[Duration]]&lt;=30,"10 to 30 Mins",TABLE_PIVOT[[#This Row],[Duration]]&lt;=60,"30 to 60 Mins",TABLE_PIVOT[[#This Row],[Duration]]&lt;=120,"1 to 2 Hours",TRUE,"More Than 2 Hours")</f>
        <v>More Than 2 Hours</v>
      </c>
      <c r="K957" s="82">
        <f>ROUND(TABLE_PIVOT[[#This Row],[Satisfaction Rating]],0)</f>
        <v>4</v>
      </c>
    </row>
    <row r="958" spans="1:11" x14ac:dyDescent="0.3">
      <c r="A958" s="8" t="s">
        <v>2584</v>
      </c>
      <c r="B958" s="8" t="s">
        <v>1618</v>
      </c>
      <c r="C958" s="8">
        <v>51</v>
      </c>
      <c r="D958" s="120" t="s">
        <v>1630</v>
      </c>
      <c r="E958" s="121">
        <v>45263</v>
      </c>
      <c r="F958" s="8">
        <v>64</v>
      </c>
      <c r="G958" s="8">
        <v>3.7</v>
      </c>
      <c r="H958" s="82">
        <f>IF(MONTH(TABLE_PIVOT[[#This Row],[Date of Call]])&lt;=6,YEAR(TABLE_PIVOT[[#This Row],[Date of Call]]),YEAR(TABLE_PIVOT[[#This Row],[Date of Call]])+1)</f>
        <v>2024</v>
      </c>
      <c r="I958" s="82" t="str">
        <f>TEXT(TABLE_PIVOT[[#This Row],[Date of Call]],"DDDD")</f>
        <v>Sunday</v>
      </c>
      <c r="J958" s="82" t="str" cm="1">
        <f t="array" ref="J958">_xlfn.IFS(TABLE_PIVOT[[#This Row],[Duration]]&lt;=10,"Under 10 Mins",TABLE_PIVOT[[#This Row],[Duration]]&lt;=30,"10 to 30 Mins",TABLE_PIVOT[[#This Row],[Duration]]&lt;=60,"30 to 60 Mins",TABLE_PIVOT[[#This Row],[Duration]]&lt;=120,"1 to 2 Hours",TRUE,"More Than 2 Hours")</f>
        <v>30 to 60 Mins</v>
      </c>
      <c r="K958" s="82">
        <f>ROUND(TABLE_PIVOT[[#This Row],[Satisfaction Rating]],0)</f>
        <v>4</v>
      </c>
    </row>
    <row r="959" spans="1:11" x14ac:dyDescent="0.3">
      <c r="A959" s="8" t="s">
        <v>2585</v>
      </c>
      <c r="B959" s="8" t="s">
        <v>1644</v>
      </c>
      <c r="C959" s="8">
        <v>110</v>
      </c>
      <c r="D959" s="120" t="s">
        <v>1611</v>
      </c>
      <c r="E959" s="121">
        <v>45264</v>
      </c>
      <c r="F959" s="8">
        <v>72</v>
      </c>
      <c r="G959" s="8">
        <v>3.7</v>
      </c>
      <c r="H959" s="82">
        <f>IF(MONTH(TABLE_PIVOT[[#This Row],[Date of Call]])&lt;=6,YEAR(TABLE_PIVOT[[#This Row],[Date of Call]]),YEAR(TABLE_PIVOT[[#This Row],[Date of Call]])+1)</f>
        <v>2024</v>
      </c>
      <c r="I959" s="82" t="str">
        <f>TEXT(TABLE_PIVOT[[#This Row],[Date of Call]],"DDDD")</f>
        <v>Monday</v>
      </c>
      <c r="J959" s="82" t="str" cm="1">
        <f t="array" ref="J959">_xlfn.IFS(TABLE_PIVOT[[#This Row],[Duration]]&lt;=10,"Under 10 Mins",TABLE_PIVOT[[#This Row],[Duration]]&lt;=30,"10 to 30 Mins",TABLE_PIVOT[[#This Row],[Duration]]&lt;=60,"30 to 60 Mins",TABLE_PIVOT[[#This Row],[Duration]]&lt;=120,"1 to 2 Hours",TRUE,"More Than 2 Hours")</f>
        <v>1 to 2 Hours</v>
      </c>
      <c r="K959" s="82">
        <f>ROUND(TABLE_PIVOT[[#This Row],[Satisfaction Rating]],0)</f>
        <v>4</v>
      </c>
    </row>
    <row r="960" spans="1:11" x14ac:dyDescent="0.3">
      <c r="A960" s="8" t="s">
        <v>2586</v>
      </c>
      <c r="B960" s="8" t="s">
        <v>1629</v>
      </c>
      <c r="C960" s="8">
        <v>38</v>
      </c>
      <c r="D960" s="120" t="s">
        <v>1626</v>
      </c>
      <c r="E960" s="121">
        <v>45265</v>
      </c>
      <c r="F960" s="8">
        <v>27</v>
      </c>
      <c r="G960" s="8">
        <v>3.1</v>
      </c>
      <c r="H960" s="82">
        <f>IF(MONTH(TABLE_PIVOT[[#This Row],[Date of Call]])&lt;=6,YEAR(TABLE_PIVOT[[#This Row],[Date of Call]]),YEAR(TABLE_PIVOT[[#This Row],[Date of Call]])+1)</f>
        <v>2024</v>
      </c>
      <c r="I960" s="82" t="str">
        <f>TEXT(TABLE_PIVOT[[#This Row],[Date of Call]],"DDDD")</f>
        <v>Tuesday</v>
      </c>
      <c r="J960" s="82" t="str" cm="1">
        <f t="array" ref="J960">_xlfn.IFS(TABLE_PIVOT[[#This Row],[Duration]]&lt;=10,"Under 10 Mins",TABLE_PIVOT[[#This Row],[Duration]]&lt;=30,"10 to 30 Mins",TABLE_PIVOT[[#This Row],[Duration]]&lt;=60,"30 to 60 Mins",TABLE_PIVOT[[#This Row],[Duration]]&lt;=120,"1 to 2 Hours",TRUE,"More Than 2 Hours")</f>
        <v>30 to 60 Mins</v>
      </c>
      <c r="K960" s="82">
        <f>ROUND(TABLE_PIVOT[[#This Row],[Satisfaction Rating]],0)</f>
        <v>3</v>
      </c>
    </row>
    <row r="961" spans="1:11" x14ac:dyDescent="0.3">
      <c r="A961" s="8" t="s">
        <v>2587</v>
      </c>
      <c r="B961" s="8" t="s">
        <v>1633</v>
      </c>
      <c r="C961" s="8">
        <v>78</v>
      </c>
      <c r="D961" s="120" t="s">
        <v>1626</v>
      </c>
      <c r="E961" s="121">
        <v>45267</v>
      </c>
      <c r="F961" s="8">
        <v>200</v>
      </c>
      <c r="G961" s="8">
        <v>2.4</v>
      </c>
      <c r="H961" s="82">
        <f>IF(MONTH(TABLE_PIVOT[[#This Row],[Date of Call]])&lt;=6,YEAR(TABLE_PIVOT[[#This Row],[Date of Call]]),YEAR(TABLE_PIVOT[[#This Row],[Date of Call]])+1)</f>
        <v>2024</v>
      </c>
      <c r="I961" s="82" t="str">
        <f>TEXT(TABLE_PIVOT[[#This Row],[Date of Call]],"DDDD")</f>
        <v>Thursday</v>
      </c>
      <c r="J961" s="82" t="str" cm="1">
        <f t="array" ref="J961">_xlfn.IFS(TABLE_PIVOT[[#This Row],[Duration]]&lt;=10,"Under 10 Mins",TABLE_PIVOT[[#This Row],[Duration]]&lt;=30,"10 to 30 Mins",TABLE_PIVOT[[#This Row],[Duration]]&lt;=60,"30 to 60 Mins",TABLE_PIVOT[[#This Row],[Duration]]&lt;=120,"1 to 2 Hours",TRUE,"More Than 2 Hours")</f>
        <v>1 to 2 Hours</v>
      </c>
      <c r="K961" s="82">
        <f>ROUND(TABLE_PIVOT[[#This Row],[Satisfaction Rating]],0)</f>
        <v>2</v>
      </c>
    </row>
    <row r="962" spans="1:11" x14ac:dyDescent="0.3">
      <c r="A962" s="8" t="s">
        <v>2588</v>
      </c>
      <c r="B962" s="8" t="s">
        <v>1629</v>
      </c>
      <c r="C962" s="8">
        <v>25</v>
      </c>
      <c r="D962" s="120" t="s">
        <v>1616</v>
      </c>
      <c r="E962" s="121">
        <v>45268</v>
      </c>
      <c r="F962" s="8">
        <v>93</v>
      </c>
      <c r="G962" s="8">
        <v>3.5</v>
      </c>
      <c r="H962" s="82">
        <f>IF(MONTH(TABLE_PIVOT[[#This Row],[Date of Call]])&lt;=6,YEAR(TABLE_PIVOT[[#This Row],[Date of Call]]),YEAR(TABLE_PIVOT[[#This Row],[Date of Call]])+1)</f>
        <v>2024</v>
      </c>
      <c r="I962" s="82" t="str">
        <f>TEXT(TABLE_PIVOT[[#This Row],[Date of Call]],"DDDD")</f>
        <v>Friday</v>
      </c>
      <c r="J962" s="82" t="str" cm="1">
        <f t="array" ref="J962">_xlfn.IFS(TABLE_PIVOT[[#This Row],[Duration]]&lt;=10,"Under 10 Mins",TABLE_PIVOT[[#This Row],[Duration]]&lt;=30,"10 to 30 Mins",TABLE_PIVOT[[#This Row],[Duration]]&lt;=60,"30 to 60 Mins",TABLE_PIVOT[[#This Row],[Duration]]&lt;=120,"1 to 2 Hours",TRUE,"More Than 2 Hours")</f>
        <v>10 to 30 Mins</v>
      </c>
      <c r="K962" s="82">
        <f>ROUND(TABLE_PIVOT[[#This Row],[Satisfaction Rating]],0)</f>
        <v>4</v>
      </c>
    </row>
    <row r="963" spans="1:11" x14ac:dyDescent="0.3">
      <c r="A963" s="8" t="s">
        <v>2589</v>
      </c>
      <c r="B963" s="8" t="s">
        <v>1652</v>
      </c>
      <c r="C963" s="8">
        <v>50</v>
      </c>
      <c r="D963" s="120" t="s">
        <v>1630</v>
      </c>
      <c r="E963" s="121">
        <v>45268</v>
      </c>
      <c r="F963" s="8">
        <v>54</v>
      </c>
      <c r="G963" s="8">
        <v>4.3</v>
      </c>
      <c r="H963" s="82">
        <f>IF(MONTH(TABLE_PIVOT[[#This Row],[Date of Call]])&lt;=6,YEAR(TABLE_PIVOT[[#This Row],[Date of Call]]),YEAR(TABLE_PIVOT[[#This Row],[Date of Call]])+1)</f>
        <v>2024</v>
      </c>
      <c r="I963" s="82" t="str">
        <f>TEXT(TABLE_PIVOT[[#This Row],[Date of Call]],"DDDD")</f>
        <v>Friday</v>
      </c>
      <c r="J963" s="82" t="str" cm="1">
        <f t="array" ref="J963">_xlfn.IFS(TABLE_PIVOT[[#This Row],[Duration]]&lt;=10,"Under 10 Mins",TABLE_PIVOT[[#This Row],[Duration]]&lt;=30,"10 to 30 Mins",TABLE_PIVOT[[#This Row],[Duration]]&lt;=60,"30 to 60 Mins",TABLE_PIVOT[[#This Row],[Duration]]&lt;=120,"1 to 2 Hours",TRUE,"More Than 2 Hours")</f>
        <v>30 to 60 Mins</v>
      </c>
      <c r="K963" s="82">
        <f>ROUND(TABLE_PIVOT[[#This Row],[Satisfaction Rating]],0)</f>
        <v>4</v>
      </c>
    </row>
    <row r="964" spans="1:11" x14ac:dyDescent="0.3">
      <c r="A964" s="8" t="s">
        <v>2590</v>
      </c>
      <c r="B964" s="8" t="s">
        <v>1629</v>
      </c>
      <c r="C964" s="8">
        <v>103</v>
      </c>
      <c r="D964" s="120" t="s">
        <v>1616</v>
      </c>
      <c r="E964" s="121">
        <v>45269</v>
      </c>
      <c r="F964" s="8">
        <v>72</v>
      </c>
      <c r="G964" s="8">
        <v>3.4</v>
      </c>
      <c r="H964" s="82">
        <f>IF(MONTH(TABLE_PIVOT[[#This Row],[Date of Call]])&lt;=6,YEAR(TABLE_PIVOT[[#This Row],[Date of Call]]),YEAR(TABLE_PIVOT[[#This Row],[Date of Call]])+1)</f>
        <v>2024</v>
      </c>
      <c r="I964" s="82" t="str">
        <f>TEXT(TABLE_PIVOT[[#This Row],[Date of Call]],"DDDD")</f>
        <v>Saturday</v>
      </c>
      <c r="J964" s="82" t="str" cm="1">
        <f t="array" ref="J964">_xlfn.IFS(TABLE_PIVOT[[#This Row],[Duration]]&lt;=10,"Under 10 Mins",TABLE_PIVOT[[#This Row],[Duration]]&lt;=30,"10 to 30 Mins",TABLE_PIVOT[[#This Row],[Duration]]&lt;=60,"30 to 60 Mins",TABLE_PIVOT[[#This Row],[Duration]]&lt;=120,"1 to 2 Hours",TRUE,"More Than 2 Hours")</f>
        <v>1 to 2 Hours</v>
      </c>
      <c r="K964" s="82">
        <f>ROUND(TABLE_PIVOT[[#This Row],[Satisfaction Rating]],0)</f>
        <v>3</v>
      </c>
    </row>
    <row r="965" spans="1:11" x14ac:dyDescent="0.3">
      <c r="A965" s="8" t="s">
        <v>2591</v>
      </c>
      <c r="B965" s="8" t="s">
        <v>1641</v>
      </c>
      <c r="C965" s="8">
        <v>63</v>
      </c>
      <c r="D965" s="120" t="s">
        <v>1621</v>
      </c>
      <c r="E965" s="121">
        <v>45269</v>
      </c>
      <c r="F965" s="8">
        <v>82</v>
      </c>
      <c r="G965" s="8">
        <v>3.7</v>
      </c>
      <c r="H965" s="82">
        <f>IF(MONTH(TABLE_PIVOT[[#This Row],[Date of Call]])&lt;=6,YEAR(TABLE_PIVOT[[#This Row],[Date of Call]]),YEAR(TABLE_PIVOT[[#This Row],[Date of Call]])+1)</f>
        <v>2024</v>
      </c>
      <c r="I965" s="82" t="str">
        <f>TEXT(TABLE_PIVOT[[#This Row],[Date of Call]],"DDDD")</f>
        <v>Saturday</v>
      </c>
      <c r="J965" s="82" t="str" cm="1">
        <f t="array" ref="J965">_xlfn.IFS(TABLE_PIVOT[[#This Row],[Duration]]&lt;=10,"Under 10 Mins",TABLE_PIVOT[[#This Row],[Duration]]&lt;=30,"10 to 30 Mins",TABLE_PIVOT[[#This Row],[Duration]]&lt;=60,"30 to 60 Mins",TABLE_PIVOT[[#This Row],[Duration]]&lt;=120,"1 to 2 Hours",TRUE,"More Than 2 Hours")</f>
        <v>1 to 2 Hours</v>
      </c>
      <c r="K965" s="82">
        <f>ROUND(TABLE_PIVOT[[#This Row],[Satisfaction Rating]],0)</f>
        <v>4</v>
      </c>
    </row>
    <row r="966" spans="1:11" x14ac:dyDescent="0.3">
      <c r="A966" s="8" t="s">
        <v>2592</v>
      </c>
      <c r="B966" s="8" t="s">
        <v>1652</v>
      </c>
      <c r="C966" s="8">
        <v>96</v>
      </c>
      <c r="D966" s="120" t="s">
        <v>1630</v>
      </c>
      <c r="E966" s="121">
        <v>45273</v>
      </c>
      <c r="F966" s="8">
        <v>164</v>
      </c>
      <c r="G966" s="8">
        <v>4.8</v>
      </c>
      <c r="H966" s="82">
        <f>IF(MONTH(TABLE_PIVOT[[#This Row],[Date of Call]])&lt;=6,YEAR(TABLE_PIVOT[[#This Row],[Date of Call]]),YEAR(TABLE_PIVOT[[#This Row],[Date of Call]])+1)</f>
        <v>2024</v>
      </c>
      <c r="I966" s="82" t="str">
        <f>TEXT(TABLE_PIVOT[[#This Row],[Date of Call]],"DDDD")</f>
        <v>Wednesday</v>
      </c>
      <c r="J966" s="82" t="str" cm="1">
        <f t="array" ref="J966">_xlfn.IFS(TABLE_PIVOT[[#This Row],[Duration]]&lt;=10,"Under 10 Mins",TABLE_PIVOT[[#This Row],[Duration]]&lt;=30,"10 to 30 Mins",TABLE_PIVOT[[#This Row],[Duration]]&lt;=60,"30 to 60 Mins",TABLE_PIVOT[[#This Row],[Duration]]&lt;=120,"1 to 2 Hours",TRUE,"More Than 2 Hours")</f>
        <v>1 to 2 Hours</v>
      </c>
      <c r="K966" s="82">
        <f>ROUND(TABLE_PIVOT[[#This Row],[Satisfaction Rating]],0)</f>
        <v>5</v>
      </c>
    </row>
    <row r="967" spans="1:11" x14ac:dyDescent="0.3">
      <c r="A967" s="8" t="s">
        <v>2593</v>
      </c>
      <c r="B967" s="8" t="s">
        <v>1615</v>
      </c>
      <c r="C967" s="8">
        <v>94</v>
      </c>
      <c r="D967" s="120" t="s">
        <v>1616</v>
      </c>
      <c r="E967" s="121">
        <v>45273</v>
      </c>
      <c r="F967" s="8">
        <v>78</v>
      </c>
      <c r="G967" s="8">
        <v>3.3</v>
      </c>
      <c r="H967" s="82">
        <f>IF(MONTH(TABLE_PIVOT[[#This Row],[Date of Call]])&lt;=6,YEAR(TABLE_PIVOT[[#This Row],[Date of Call]]),YEAR(TABLE_PIVOT[[#This Row],[Date of Call]])+1)</f>
        <v>2024</v>
      </c>
      <c r="I967" s="82" t="str">
        <f>TEXT(TABLE_PIVOT[[#This Row],[Date of Call]],"DDDD")</f>
        <v>Wednesday</v>
      </c>
      <c r="J967" s="82" t="str" cm="1">
        <f t="array" ref="J967">_xlfn.IFS(TABLE_PIVOT[[#This Row],[Duration]]&lt;=10,"Under 10 Mins",TABLE_PIVOT[[#This Row],[Duration]]&lt;=30,"10 to 30 Mins",TABLE_PIVOT[[#This Row],[Duration]]&lt;=60,"30 to 60 Mins",TABLE_PIVOT[[#This Row],[Duration]]&lt;=120,"1 to 2 Hours",TRUE,"More Than 2 Hours")</f>
        <v>1 to 2 Hours</v>
      </c>
      <c r="K967" s="82">
        <f>ROUND(TABLE_PIVOT[[#This Row],[Satisfaction Rating]],0)</f>
        <v>3</v>
      </c>
    </row>
    <row r="968" spans="1:11" x14ac:dyDescent="0.3">
      <c r="A968" s="8" t="s">
        <v>2594</v>
      </c>
      <c r="B968" s="8" t="s">
        <v>1644</v>
      </c>
      <c r="C968" s="8">
        <v>46</v>
      </c>
      <c r="D968" s="120" t="s">
        <v>1626</v>
      </c>
      <c r="E968" s="121">
        <v>45274</v>
      </c>
      <c r="F968" s="8">
        <v>135</v>
      </c>
      <c r="G968" s="8">
        <v>4.2</v>
      </c>
      <c r="H968" s="82">
        <f>IF(MONTH(TABLE_PIVOT[[#This Row],[Date of Call]])&lt;=6,YEAR(TABLE_PIVOT[[#This Row],[Date of Call]]),YEAR(TABLE_PIVOT[[#This Row],[Date of Call]])+1)</f>
        <v>2024</v>
      </c>
      <c r="I968" s="82" t="str">
        <f>TEXT(TABLE_PIVOT[[#This Row],[Date of Call]],"DDDD")</f>
        <v>Thursday</v>
      </c>
      <c r="J968" s="82" t="str" cm="1">
        <f t="array" ref="J968">_xlfn.IFS(TABLE_PIVOT[[#This Row],[Duration]]&lt;=10,"Under 10 Mins",TABLE_PIVOT[[#This Row],[Duration]]&lt;=30,"10 to 30 Mins",TABLE_PIVOT[[#This Row],[Duration]]&lt;=60,"30 to 60 Mins",TABLE_PIVOT[[#This Row],[Duration]]&lt;=120,"1 to 2 Hours",TRUE,"More Than 2 Hours")</f>
        <v>30 to 60 Mins</v>
      </c>
      <c r="K968" s="82">
        <f>ROUND(TABLE_PIVOT[[#This Row],[Satisfaction Rating]],0)</f>
        <v>4</v>
      </c>
    </row>
    <row r="969" spans="1:11" x14ac:dyDescent="0.3">
      <c r="A969" s="8" t="s">
        <v>2595</v>
      </c>
      <c r="B969" s="8" t="s">
        <v>1682</v>
      </c>
      <c r="C969" s="8">
        <v>127</v>
      </c>
      <c r="D969" s="120" t="s">
        <v>1630</v>
      </c>
      <c r="E969" s="121">
        <v>45275</v>
      </c>
      <c r="F969" s="8">
        <v>145</v>
      </c>
      <c r="G969" s="8">
        <v>2.6</v>
      </c>
      <c r="H969" s="82">
        <f>IF(MONTH(TABLE_PIVOT[[#This Row],[Date of Call]])&lt;=6,YEAR(TABLE_PIVOT[[#This Row],[Date of Call]]),YEAR(TABLE_PIVOT[[#This Row],[Date of Call]])+1)</f>
        <v>2024</v>
      </c>
      <c r="I969" s="82" t="str">
        <f>TEXT(TABLE_PIVOT[[#This Row],[Date of Call]],"DDDD")</f>
        <v>Friday</v>
      </c>
      <c r="J969" s="82" t="str" cm="1">
        <f t="array" ref="J969">_xlfn.IFS(TABLE_PIVOT[[#This Row],[Duration]]&lt;=10,"Under 10 Mins",TABLE_PIVOT[[#This Row],[Duration]]&lt;=30,"10 to 30 Mins",TABLE_PIVOT[[#This Row],[Duration]]&lt;=60,"30 to 60 Mins",TABLE_PIVOT[[#This Row],[Duration]]&lt;=120,"1 to 2 Hours",TRUE,"More Than 2 Hours")</f>
        <v>More Than 2 Hours</v>
      </c>
      <c r="K969" s="82">
        <f>ROUND(TABLE_PIVOT[[#This Row],[Satisfaction Rating]],0)</f>
        <v>3</v>
      </c>
    </row>
    <row r="970" spans="1:11" x14ac:dyDescent="0.3">
      <c r="A970" s="8" t="s">
        <v>2596</v>
      </c>
      <c r="B970" s="8" t="s">
        <v>1624</v>
      </c>
      <c r="C970" s="8">
        <v>96</v>
      </c>
      <c r="D970" s="120" t="s">
        <v>1626</v>
      </c>
      <c r="E970" s="121">
        <v>45275</v>
      </c>
      <c r="F970" s="8">
        <v>115</v>
      </c>
      <c r="G970" s="8">
        <v>4.9000000000000004</v>
      </c>
      <c r="H970" s="82">
        <f>IF(MONTH(TABLE_PIVOT[[#This Row],[Date of Call]])&lt;=6,YEAR(TABLE_PIVOT[[#This Row],[Date of Call]]),YEAR(TABLE_PIVOT[[#This Row],[Date of Call]])+1)</f>
        <v>2024</v>
      </c>
      <c r="I970" s="82" t="str">
        <f>TEXT(TABLE_PIVOT[[#This Row],[Date of Call]],"DDDD")</f>
        <v>Friday</v>
      </c>
      <c r="J970" s="82" t="str" cm="1">
        <f t="array" ref="J970">_xlfn.IFS(TABLE_PIVOT[[#This Row],[Duration]]&lt;=10,"Under 10 Mins",TABLE_PIVOT[[#This Row],[Duration]]&lt;=30,"10 to 30 Mins",TABLE_PIVOT[[#This Row],[Duration]]&lt;=60,"30 to 60 Mins",TABLE_PIVOT[[#This Row],[Duration]]&lt;=120,"1 to 2 Hours",TRUE,"More Than 2 Hours")</f>
        <v>1 to 2 Hours</v>
      </c>
      <c r="K970" s="82">
        <f>ROUND(TABLE_PIVOT[[#This Row],[Satisfaction Rating]],0)</f>
        <v>5</v>
      </c>
    </row>
    <row r="971" spans="1:11" x14ac:dyDescent="0.3">
      <c r="A971" s="8" t="s">
        <v>2597</v>
      </c>
      <c r="B971" s="8" t="s">
        <v>1662</v>
      </c>
      <c r="C971" s="8">
        <v>151</v>
      </c>
      <c r="D971" s="120" t="s">
        <v>1616</v>
      </c>
      <c r="E971" s="121">
        <v>45275</v>
      </c>
      <c r="F971" s="8">
        <v>117</v>
      </c>
      <c r="G971" s="8">
        <v>2</v>
      </c>
      <c r="H971" s="82">
        <f>IF(MONTH(TABLE_PIVOT[[#This Row],[Date of Call]])&lt;=6,YEAR(TABLE_PIVOT[[#This Row],[Date of Call]]),YEAR(TABLE_PIVOT[[#This Row],[Date of Call]])+1)</f>
        <v>2024</v>
      </c>
      <c r="I971" s="82" t="str">
        <f>TEXT(TABLE_PIVOT[[#This Row],[Date of Call]],"DDDD")</f>
        <v>Friday</v>
      </c>
      <c r="J971" s="82" t="str" cm="1">
        <f t="array" ref="J971">_xlfn.IFS(TABLE_PIVOT[[#This Row],[Duration]]&lt;=10,"Under 10 Mins",TABLE_PIVOT[[#This Row],[Duration]]&lt;=30,"10 to 30 Mins",TABLE_PIVOT[[#This Row],[Duration]]&lt;=60,"30 to 60 Mins",TABLE_PIVOT[[#This Row],[Duration]]&lt;=120,"1 to 2 Hours",TRUE,"More Than 2 Hours")</f>
        <v>More Than 2 Hours</v>
      </c>
      <c r="K971" s="82">
        <f>ROUND(TABLE_PIVOT[[#This Row],[Satisfaction Rating]],0)</f>
        <v>2</v>
      </c>
    </row>
    <row r="972" spans="1:11" x14ac:dyDescent="0.3">
      <c r="A972" s="8" t="s">
        <v>2598</v>
      </c>
      <c r="B972" s="8" t="s">
        <v>1682</v>
      </c>
      <c r="C972" s="8">
        <v>158</v>
      </c>
      <c r="D972" s="120" t="s">
        <v>1611</v>
      </c>
      <c r="E972" s="121">
        <v>45276</v>
      </c>
      <c r="F972" s="8">
        <v>36</v>
      </c>
      <c r="G972" s="8">
        <v>4.7</v>
      </c>
      <c r="H972" s="82">
        <f>IF(MONTH(TABLE_PIVOT[[#This Row],[Date of Call]])&lt;=6,YEAR(TABLE_PIVOT[[#This Row],[Date of Call]]),YEAR(TABLE_PIVOT[[#This Row],[Date of Call]])+1)</f>
        <v>2024</v>
      </c>
      <c r="I972" s="82" t="str">
        <f>TEXT(TABLE_PIVOT[[#This Row],[Date of Call]],"DDDD")</f>
        <v>Saturday</v>
      </c>
      <c r="J972" s="82" t="str" cm="1">
        <f t="array" ref="J972">_xlfn.IFS(TABLE_PIVOT[[#This Row],[Duration]]&lt;=10,"Under 10 Mins",TABLE_PIVOT[[#This Row],[Duration]]&lt;=30,"10 to 30 Mins",TABLE_PIVOT[[#This Row],[Duration]]&lt;=60,"30 to 60 Mins",TABLE_PIVOT[[#This Row],[Duration]]&lt;=120,"1 to 2 Hours",TRUE,"More Than 2 Hours")</f>
        <v>More Than 2 Hours</v>
      </c>
      <c r="K972" s="82">
        <f>ROUND(TABLE_PIVOT[[#This Row],[Satisfaction Rating]],0)</f>
        <v>5</v>
      </c>
    </row>
    <row r="973" spans="1:11" x14ac:dyDescent="0.3">
      <c r="A973" s="8" t="s">
        <v>2599</v>
      </c>
      <c r="B973" s="8" t="s">
        <v>1615</v>
      </c>
      <c r="C973" s="8">
        <v>45</v>
      </c>
      <c r="D973" s="120" t="s">
        <v>1611</v>
      </c>
      <c r="E973" s="121">
        <v>45276</v>
      </c>
      <c r="F973" s="8">
        <v>84</v>
      </c>
      <c r="G973" s="8">
        <v>2.8</v>
      </c>
      <c r="H973" s="82">
        <f>IF(MONTH(TABLE_PIVOT[[#This Row],[Date of Call]])&lt;=6,YEAR(TABLE_PIVOT[[#This Row],[Date of Call]]),YEAR(TABLE_PIVOT[[#This Row],[Date of Call]])+1)</f>
        <v>2024</v>
      </c>
      <c r="I973" s="82" t="str">
        <f>TEXT(TABLE_PIVOT[[#This Row],[Date of Call]],"DDDD")</f>
        <v>Saturday</v>
      </c>
      <c r="J973" s="82" t="str" cm="1">
        <f t="array" ref="J973">_xlfn.IFS(TABLE_PIVOT[[#This Row],[Duration]]&lt;=10,"Under 10 Mins",TABLE_PIVOT[[#This Row],[Duration]]&lt;=30,"10 to 30 Mins",TABLE_PIVOT[[#This Row],[Duration]]&lt;=60,"30 to 60 Mins",TABLE_PIVOT[[#This Row],[Duration]]&lt;=120,"1 to 2 Hours",TRUE,"More Than 2 Hours")</f>
        <v>30 to 60 Mins</v>
      </c>
      <c r="K973" s="82">
        <f>ROUND(TABLE_PIVOT[[#This Row],[Satisfaction Rating]],0)</f>
        <v>3</v>
      </c>
    </row>
    <row r="974" spans="1:11" x14ac:dyDescent="0.3">
      <c r="A974" s="8" t="s">
        <v>2600</v>
      </c>
      <c r="B974" s="8" t="s">
        <v>1635</v>
      </c>
      <c r="C974" s="8">
        <v>141</v>
      </c>
      <c r="D974" s="120" t="s">
        <v>1611</v>
      </c>
      <c r="E974" s="121">
        <v>45276</v>
      </c>
      <c r="F974" s="8">
        <v>66</v>
      </c>
      <c r="G974" s="8">
        <v>3.2</v>
      </c>
      <c r="H974" s="82">
        <f>IF(MONTH(TABLE_PIVOT[[#This Row],[Date of Call]])&lt;=6,YEAR(TABLE_PIVOT[[#This Row],[Date of Call]]),YEAR(TABLE_PIVOT[[#This Row],[Date of Call]])+1)</f>
        <v>2024</v>
      </c>
      <c r="I974" s="82" t="str">
        <f>TEXT(TABLE_PIVOT[[#This Row],[Date of Call]],"DDDD")</f>
        <v>Saturday</v>
      </c>
      <c r="J974" s="82" t="str" cm="1">
        <f t="array" ref="J974">_xlfn.IFS(TABLE_PIVOT[[#This Row],[Duration]]&lt;=10,"Under 10 Mins",TABLE_PIVOT[[#This Row],[Duration]]&lt;=30,"10 to 30 Mins",TABLE_PIVOT[[#This Row],[Duration]]&lt;=60,"30 to 60 Mins",TABLE_PIVOT[[#This Row],[Duration]]&lt;=120,"1 to 2 Hours",TRUE,"More Than 2 Hours")</f>
        <v>More Than 2 Hours</v>
      </c>
      <c r="K974" s="82">
        <f>ROUND(TABLE_PIVOT[[#This Row],[Satisfaction Rating]],0)</f>
        <v>3</v>
      </c>
    </row>
    <row r="975" spans="1:11" x14ac:dyDescent="0.3">
      <c r="A975" s="8" t="s">
        <v>2601</v>
      </c>
      <c r="B975" s="8" t="s">
        <v>1629</v>
      </c>
      <c r="C975" s="8">
        <v>147</v>
      </c>
      <c r="D975" s="120" t="s">
        <v>1626</v>
      </c>
      <c r="E975" s="121">
        <v>45276</v>
      </c>
      <c r="F975" s="8">
        <v>76</v>
      </c>
      <c r="G975" s="8">
        <v>4.7</v>
      </c>
      <c r="H975" s="82">
        <f>IF(MONTH(TABLE_PIVOT[[#This Row],[Date of Call]])&lt;=6,YEAR(TABLE_PIVOT[[#This Row],[Date of Call]]),YEAR(TABLE_PIVOT[[#This Row],[Date of Call]])+1)</f>
        <v>2024</v>
      </c>
      <c r="I975" s="82" t="str">
        <f>TEXT(TABLE_PIVOT[[#This Row],[Date of Call]],"DDDD")</f>
        <v>Saturday</v>
      </c>
      <c r="J975" s="82" t="str" cm="1">
        <f t="array" ref="J975">_xlfn.IFS(TABLE_PIVOT[[#This Row],[Duration]]&lt;=10,"Under 10 Mins",TABLE_PIVOT[[#This Row],[Duration]]&lt;=30,"10 to 30 Mins",TABLE_PIVOT[[#This Row],[Duration]]&lt;=60,"30 to 60 Mins",TABLE_PIVOT[[#This Row],[Duration]]&lt;=120,"1 to 2 Hours",TRUE,"More Than 2 Hours")</f>
        <v>More Than 2 Hours</v>
      </c>
      <c r="K975" s="82">
        <f>ROUND(TABLE_PIVOT[[#This Row],[Satisfaction Rating]],0)</f>
        <v>5</v>
      </c>
    </row>
    <row r="976" spans="1:11" x14ac:dyDescent="0.3">
      <c r="A976" s="8" t="s">
        <v>2602</v>
      </c>
      <c r="B976" s="8" t="s">
        <v>1649</v>
      </c>
      <c r="C976" s="8">
        <v>126</v>
      </c>
      <c r="D976" s="120" t="s">
        <v>1626</v>
      </c>
      <c r="E976" s="121">
        <v>45276</v>
      </c>
      <c r="F976" s="8">
        <v>185</v>
      </c>
      <c r="G976" s="8">
        <v>4.8</v>
      </c>
      <c r="H976" s="82">
        <f>IF(MONTH(TABLE_PIVOT[[#This Row],[Date of Call]])&lt;=6,YEAR(TABLE_PIVOT[[#This Row],[Date of Call]]),YEAR(TABLE_PIVOT[[#This Row],[Date of Call]])+1)</f>
        <v>2024</v>
      </c>
      <c r="I976" s="82" t="str">
        <f>TEXT(TABLE_PIVOT[[#This Row],[Date of Call]],"DDDD")</f>
        <v>Saturday</v>
      </c>
      <c r="J976" s="82" t="str" cm="1">
        <f t="array" ref="J976">_xlfn.IFS(TABLE_PIVOT[[#This Row],[Duration]]&lt;=10,"Under 10 Mins",TABLE_PIVOT[[#This Row],[Duration]]&lt;=30,"10 to 30 Mins",TABLE_PIVOT[[#This Row],[Duration]]&lt;=60,"30 to 60 Mins",TABLE_PIVOT[[#This Row],[Duration]]&lt;=120,"1 to 2 Hours",TRUE,"More Than 2 Hours")</f>
        <v>More Than 2 Hours</v>
      </c>
      <c r="K976" s="82">
        <f>ROUND(TABLE_PIVOT[[#This Row],[Satisfaction Rating]],0)</f>
        <v>5</v>
      </c>
    </row>
    <row r="977" spans="1:11" x14ac:dyDescent="0.3">
      <c r="A977" s="8" t="s">
        <v>2603</v>
      </c>
      <c r="B977" s="8" t="s">
        <v>1615</v>
      </c>
      <c r="C977" s="8">
        <v>126</v>
      </c>
      <c r="D977" s="120" t="s">
        <v>1621</v>
      </c>
      <c r="E977" s="121">
        <v>45277</v>
      </c>
      <c r="F977" s="8">
        <v>80</v>
      </c>
      <c r="G977" s="8">
        <v>4.7</v>
      </c>
      <c r="H977" s="82">
        <f>IF(MONTH(TABLE_PIVOT[[#This Row],[Date of Call]])&lt;=6,YEAR(TABLE_PIVOT[[#This Row],[Date of Call]]),YEAR(TABLE_PIVOT[[#This Row],[Date of Call]])+1)</f>
        <v>2024</v>
      </c>
      <c r="I977" s="82" t="str">
        <f>TEXT(TABLE_PIVOT[[#This Row],[Date of Call]],"DDDD")</f>
        <v>Sunday</v>
      </c>
      <c r="J977" s="82" t="str" cm="1">
        <f t="array" ref="J977">_xlfn.IFS(TABLE_PIVOT[[#This Row],[Duration]]&lt;=10,"Under 10 Mins",TABLE_PIVOT[[#This Row],[Duration]]&lt;=30,"10 to 30 Mins",TABLE_PIVOT[[#This Row],[Duration]]&lt;=60,"30 to 60 Mins",TABLE_PIVOT[[#This Row],[Duration]]&lt;=120,"1 to 2 Hours",TRUE,"More Than 2 Hours")</f>
        <v>More Than 2 Hours</v>
      </c>
      <c r="K977" s="82">
        <f>ROUND(TABLE_PIVOT[[#This Row],[Satisfaction Rating]],0)</f>
        <v>5</v>
      </c>
    </row>
    <row r="978" spans="1:11" x14ac:dyDescent="0.3">
      <c r="A978" s="8" t="s">
        <v>2604</v>
      </c>
      <c r="B978" s="8" t="s">
        <v>1633</v>
      </c>
      <c r="C978" s="8">
        <v>32</v>
      </c>
      <c r="D978" s="120" t="s">
        <v>1626</v>
      </c>
      <c r="E978" s="121">
        <v>45277</v>
      </c>
      <c r="F978" s="8">
        <v>148</v>
      </c>
      <c r="G978" s="8">
        <v>4</v>
      </c>
      <c r="H978" s="82">
        <f>IF(MONTH(TABLE_PIVOT[[#This Row],[Date of Call]])&lt;=6,YEAR(TABLE_PIVOT[[#This Row],[Date of Call]]),YEAR(TABLE_PIVOT[[#This Row],[Date of Call]])+1)</f>
        <v>2024</v>
      </c>
      <c r="I978" s="82" t="str">
        <f>TEXT(TABLE_PIVOT[[#This Row],[Date of Call]],"DDDD")</f>
        <v>Sunday</v>
      </c>
      <c r="J978" s="82" t="str" cm="1">
        <f t="array" ref="J978">_xlfn.IFS(TABLE_PIVOT[[#This Row],[Duration]]&lt;=10,"Under 10 Mins",TABLE_PIVOT[[#This Row],[Duration]]&lt;=30,"10 to 30 Mins",TABLE_PIVOT[[#This Row],[Duration]]&lt;=60,"30 to 60 Mins",TABLE_PIVOT[[#This Row],[Duration]]&lt;=120,"1 to 2 Hours",TRUE,"More Than 2 Hours")</f>
        <v>30 to 60 Mins</v>
      </c>
      <c r="K978" s="82">
        <f>ROUND(TABLE_PIVOT[[#This Row],[Satisfaction Rating]],0)</f>
        <v>4</v>
      </c>
    </row>
    <row r="979" spans="1:11" x14ac:dyDescent="0.3">
      <c r="A979" s="8" t="s">
        <v>2605</v>
      </c>
      <c r="B979" s="8" t="s">
        <v>1615</v>
      </c>
      <c r="C979" s="8">
        <v>84</v>
      </c>
      <c r="D979" s="120" t="s">
        <v>1630</v>
      </c>
      <c r="E979" s="121">
        <v>45279</v>
      </c>
      <c r="F979" s="8">
        <v>180</v>
      </c>
      <c r="G979" s="8">
        <v>4.9000000000000004</v>
      </c>
      <c r="H979" s="82">
        <f>IF(MONTH(TABLE_PIVOT[[#This Row],[Date of Call]])&lt;=6,YEAR(TABLE_PIVOT[[#This Row],[Date of Call]]),YEAR(TABLE_PIVOT[[#This Row],[Date of Call]])+1)</f>
        <v>2024</v>
      </c>
      <c r="I979" s="82" t="str">
        <f>TEXT(TABLE_PIVOT[[#This Row],[Date of Call]],"DDDD")</f>
        <v>Tuesday</v>
      </c>
      <c r="J979" s="82" t="str" cm="1">
        <f t="array" ref="J979">_xlfn.IFS(TABLE_PIVOT[[#This Row],[Duration]]&lt;=10,"Under 10 Mins",TABLE_PIVOT[[#This Row],[Duration]]&lt;=30,"10 to 30 Mins",TABLE_PIVOT[[#This Row],[Duration]]&lt;=60,"30 to 60 Mins",TABLE_PIVOT[[#This Row],[Duration]]&lt;=120,"1 to 2 Hours",TRUE,"More Than 2 Hours")</f>
        <v>1 to 2 Hours</v>
      </c>
      <c r="K979" s="82">
        <f>ROUND(TABLE_PIVOT[[#This Row],[Satisfaction Rating]],0)</f>
        <v>5</v>
      </c>
    </row>
    <row r="980" spans="1:11" x14ac:dyDescent="0.3">
      <c r="A980" s="8" t="s">
        <v>2606</v>
      </c>
      <c r="B980" s="8" t="s">
        <v>1641</v>
      </c>
      <c r="C980" s="8">
        <v>120</v>
      </c>
      <c r="D980" s="120" t="s">
        <v>1621</v>
      </c>
      <c r="E980" s="121">
        <v>45280</v>
      </c>
      <c r="F980" s="8">
        <v>190</v>
      </c>
      <c r="G980" s="8">
        <v>3.7</v>
      </c>
      <c r="H980" s="82">
        <f>IF(MONTH(TABLE_PIVOT[[#This Row],[Date of Call]])&lt;=6,YEAR(TABLE_PIVOT[[#This Row],[Date of Call]]),YEAR(TABLE_PIVOT[[#This Row],[Date of Call]])+1)</f>
        <v>2024</v>
      </c>
      <c r="I980" s="82" t="str">
        <f>TEXT(TABLE_PIVOT[[#This Row],[Date of Call]],"DDDD")</f>
        <v>Wednesday</v>
      </c>
      <c r="J980" s="82" t="str" cm="1">
        <f t="array" ref="J980">_xlfn.IFS(TABLE_PIVOT[[#This Row],[Duration]]&lt;=10,"Under 10 Mins",TABLE_PIVOT[[#This Row],[Duration]]&lt;=30,"10 to 30 Mins",TABLE_PIVOT[[#This Row],[Duration]]&lt;=60,"30 to 60 Mins",TABLE_PIVOT[[#This Row],[Duration]]&lt;=120,"1 to 2 Hours",TRUE,"More Than 2 Hours")</f>
        <v>1 to 2 Hours</v>
      </c>
      <c r="K980" s="82">
        <f>ROUND(TABLE_PIVOT[[#This Row],[Satisfaction Rating]],0)</f>
        <v>4</v>
      </c>
    </row>
    <row r="981" spans="1:11" x14ac:dyDescent="0.3">
      <c r="A981" s="8" t="s">
        <v>2607</v>
      </c>
      <c r="B981" s="8" t="s">
        <v>1620</v>
      </c>
      <c r="C981" s="8">
        <v>93</v>
      </c>
      <c r="D981" s="120" t="s">
        <v>1626</v>
      </c>
      <c r="E981" s="121">
        <v>45280</v>
      </c>
      <c r="F981" s="8">
        <v>38</v>
      </c>
      <c r="G981" s="8">
        <v>4.5</v>
      </c>
      <c r="H981" s="82">
        <f>IF(MONTH(TABLE_PIVOT[[#This Row],[Date of Call]])&lt;=6,YEAR(TABLE_PIVOT[[#This Row],[Date of Call]]),YEAR(TABLE_PIVOT[[#This Row],[Date of Call]])+1)</f>
        <v>2024</v>
      </c>
      <c r="I981" s="82" t="str">
        <f>TEXT(TABLE_PIVOT[[#This Row],[Date of Call]],"DDDD")</f>
        <v>Wednesday</v>
      </c>
      <c r="J981" s="82" t="str" cm="1">
        <f t="array" ref="J981">_xlfn.IFS(TABLE_PIVOT[[#This Row],[Duration]]&lt;=10,"Under 10 Mins",TABLE_PIVOT[[#This Row],[Duration]]&lt;=30,"10 to 30 Mins",TABLE_PIVOT[[#This Row],[Duration]]&lt;=60,"30 to 60 Mins",TABLE_PIVOT[[#This Row],[Duration]]&lt;=120,"1 to 2 Hours",TRUE,"More Than 2 Hours")</f>
        <v>1 to 2 Hours</v>
      </c>
      <c r="K981" s="82">
        <f>ROUND(TABLE_PIVOT[[#This Row],[Satisfaction Rating]],0)</f>
        <v>5</v>
      </c>
    </row>
    <row r="982" spans="1:11" x14ac:dyDescent="0.3">
      <c r="A982" s="8" t="s">
        <v>2608</v>
      </c>
      <c r="B982" s="8" t="s">
        <v>1624</v>
      </c>
      <c r="C982" s="8">
        <v>76</v>
      </c>
      <c r="D982" s="120" t="s">
        <v>1616</v>
      </c>
      <c r="E982" s="121">
        <v>45281</v>
      </c>
      <c r="F982" s="8">
        <v>82</v>
      </c>
      <c r="G982" s="8">
        <v>2.1</v>
      </c>
      <c r="H982" s="82">
        <f>IF(MONTH(TABLE_PIVOT[[#This Row],[Date of Call]])&lt;=6,YEAR(TABLE_PIVOT[[#This Row],[Date of Call]]),YEAR(TABLE_PIVOT[[#This Row],[Date of Call]])+1)</f>
        <v>2024</v>
      </c>
      <c r="I982" s="82" t="str">
        <f>TEXT(TABLE_PIVOT[[#This Row],[Date of Call]],"DDDD")</f>
        <v>Thursday</v>
      </c>
      <c r="J982" s="82" t="str" cm="1">
        <f t="array" ref="J982">_xlfn.IFS(TABLE_PIVOT[[#This Row],[Duration]]&lt;=10,"Under 10 Mins",TABLE_PIVOT[[#This Row],[Duration]]&lt;=30,"10 to 30 Mins",TABLE_PIVOT[[#This Row],[Duration]]&lt;=60,"30 to 60 Mins",TABLE_PIVOT[[#This Row],[Duration]]&lt;=120,"1 to 2 Hours",TRUE,"More Than 2 Hours")</f>
        <v>1 to 2 Hours</v>
      </c>
      <c r="K982" s="82">
        <f>ROUND(TABLE_PIVOT[[#This Row],[Satisfaction Rating]],0)</f>
        <v>2</v>
      </c>
    </row>
    <row r="983" spans="1:11" x14ac:dyDescent="0.3">
      <c r="A983" s="8" t="s">
        <v>2609</v>
      </c>
      <c r="B983" s="8" t="s">
        <v>1682</v>
      </c>
      <c r="C983" s="8">
        <v>89</v>
      </c>
      <c r="D983" s="120" t="s">
        <v>1626</v>
      </c>
      <c r="E983" s="121">
        <v>45284</v>
      </c>
      <c r="F983" s="8">
        <v>88</v>
      </c>
      <c r="G983" s="8">
        <v>2.8</v>
      </c>
      <c r="H983" s="82">
        <f>IF(MONTH(TABLE_PIVOT[[#This Row],[Date of Call]])&lt;=6,YEAR(TABLE_PIVOT[[#This Row],[Date of Call]]),YEAR(TABLE_PIVOT[[#This Row],[Date of Call]])+1)</f>
        <v>2024</v>
      </c>
      <c r="I983" s="82" t="str">
        <f>TEXT(TABLE_PIVOT[[#This Row],[Date of Call]],"DDDD")</f>
        <v>Sunday</v>
      </c>
      <c r="J983" s="82" t="str" cm="1">
        <f t="array" ref="J983">_xlfn.IFS(TABLE_PIVOT[[#This Row],[Duration]]&lt;=10,"Under 10 Mins",TABLE_PIVOT[[#This Row],[Duration]]&lt;=30,"10 to 30 Mins",TABLE_PIVOT[[#This Row],[Duration]]&lt;=60,"30 to 60 Mins",TABLE_PIVOT[[#This Row],[Duration]]&lt;=120,"1 to 2 Hours",TRUE,"More Than 2 Hours")</f>
        <v>1 to 2 Hours</v>
      </c>
      <c r="K983" s="82">
        <f>ROUND(TABLE_PIVOT[[#This Row],[Satisfaction Rating]],0)</f>
        <v>3</v>
      </c>
    </row>
    <row r="984" spans="1:11" x14ac:dyDescent="0.3">
      <c r="A984" s="8" t="s">
        <v>2610</v>
      </c>
      <c r="B984" s="8" t="s">
        <v>1618</v>
      </c>
      <c r="C984" s="8">
        <v>91</v>
      </c>
      <c r="D984" s="120" t="s">
        <v>1630</v>
      </c>
      <c r="E984" s="121">
        <v>45284</v>
      </c>
      <c r="F984" s="8">
        <v>42</v>
      </c>
      <c r="G984" s="8">
        <v>4.0999999999999996</v>
      </c>
      <c r="H984" s="82">
        <f>IF(MONTH(TABLE_PIVOT[[#This Row],[Date of Call]])&lt;=6,YEAR(TABLE_PIVOT[[#This Row],[Date of Call]]),YEAR(TABLE_PIVOT[[#This Row],[Date of Call]])+1)</f>
        <v>2024</v>
      </c>
      <c r="I984" s="82" t="str">
        <f>TEXT(TABLE_PIVOT[[#This Row],[Date of Call]],"DDDD")</f>
        <v>Sunday</v>
      </c>
      <c r="J984" s="82" t="str" cm="1">
        <f t="array" ref="J984">_xlfn.IFS(TABLE_PIVOT[[#This Row],[Duration]]&lt;=10,"Under 10 Mins",TABLE_PIVOT[[#This Row],[Duration]]&lt;=30,"10 to 30 Mins",TABLE_PIVOT[[#This Row],[Duration]]&lt;=60,"30 to 60 Mins",TABLE_PIVOT[[#This Row],[Duration]]&lt;=120,"1 to 2 Hours",TRUE,"More Than 2 Hours")</f>
        <v>1 to 2 Hours</v>
      </c>
      <c r="K984" s="82">
        <f>ROUND(TABLE_PIVOT[[#This Row],[Satisfaction Rating]],0)</f>
        <v>4</v>
      </c>
    </row>
    <row r="985" spans="1:11" x14ac:dyDescent="0.3">
      <c r="A985" s="8" t="s">
        <v>2611</v>
      </c>
      <c r="B985" s="8" t="s">
        <v>1644</v>
      </c>
      <c r="C985" s="8">
        <v>7</v>
      </c>
      <c r="D985" s="120" t="s">
        <v>1611</v>
      </c>
      <c r="E985" s="121">
        <v>45285</v>
      </c>
      <c r="F985" s="8">
        <v>64</v>
      </c>
      <c r="G985" s="8">
        <v>3.3</v>
      </c>
      <c r="H985" s="82">
        <f>IF(MONTH(TABLE_PIVOT[[#This Row],[Date of Call]])&lt;=6,YEAR(TABLE_PIVOT[[#This Row],[Date of Call]]),YEAR(TABLE_PIVOT[[#This Row],[Date of Call]])+1)</f>
        <v>2024</v>
      </c>
      <c r="I985" s="82" t="str">
        <f>TEXT(TABLE_PIVOT[[#This Row],[Date of Call]],"DDDD")</f>
        <v>Monday</v>
      </c>
      <c r="J985" s="82" t="str" cm="1">
        <f t="array" ref="J985">_xlfn.IFS(TABLE_PIVOT[[#This Row],[Duration]]&lt;=10,"Under 10 Mins",TABLE_PIVOT[[#This Row],[Duration]]&lt;=30,"10 to 30 Mins",TABLE_PIVOT[[#This Row],[Duration]]&lt;=60,"30 to 60 Mins",TABLE_PIVOT[[#This Row],[Duration]]&lt;=120,"1 to 2 Hours",TRUE,"More Than 2 Hours")</f>
        <v>Under 10 Mins</v>
      </c>
      <c r="K985" s="82">
        <f>ROUND(TABLE_PIVOT[[#This Row],[Satisfaction Rating]],0)</f>
        <v>3</v>
      </c>
    </row>
    <row r="986" spans="1:11" x14ac:dyDescent="0.3">
      <c r="A986" s="8" t="s">
        <v>2612</v>
      </c>
      <c r="B986" s="8" t="s">
        <v>1633</v>
      </c>
      <c r="C986" s="8">
        <v>140</v>
      </c>
      <c r="D986" s="120" t="s">
        <v>1611</v>
      </c>
      <c r="E986" s="121">
        <v>45285</v>
      </c>
      <c r="F986" s="8">
        <v>105</v>
      </c>
      <c r="G986" s="8">
        <v>1.7</v>
      </c>
      <c r="H986" s="82">
        <f>IF(MONTH(TABLE_PIVOT[[#This Row],[Date of Call]])&lt;=6,YEAR(TABLE_PIVOT[[#This Row],[Date of Call]]),YEAR(TABLE_PIVOT[[#This Row],[Date of Call]])+1)</f>
        <v>2024</v>
      </c>
      <c r="I986" s="82" t="str">
        <f>TEXT(TABLE_PIVOT[[#This Row],[Date of Call]],"DDDD")</f>
        <v>Monday</v>
      </c>
      <c r="J986" s="82" t="str" cm="1">
        <f t="array" ref="J986">_xlfn.IFS(TABLE_PIVOT[[#This Row],[Duration]]&lt;=10,"Under 10 Mins",TABLE_PIVOT[[#This Row],[Duration]]&lt;=30,"10 to 30 Mins",TABLE_PIVOT[[#This Row],[Duration]]&lt;=60,"30 to 60 Mins",TABLE_PIVOT[[#This Row],[Duration]]&lt;=120,"1 to 2 Hours",TRUE,"More Than 2 Hours")</f>
        <v>More Than 2 Hours</v>
      </c>
      <c r="K986" s="82">
        <f>ROUND(TABLE_PIVOT[[#This Row],[Satisfaction Rating]],0)</f>
        <v>2</v>
      </c>
    </row>
    <row r="987" spans="1:11" x14ac:dyDescent="0.3">
      <c r="A987" s="8" t="s">
        <v>2613</v>
      </c>
      <c r="B987" s="8" t="s">
        <v>1613</v>
      </c>
      <c r="C987" s="8">
        <v>58</v>
      </c>
      <c r="D987" s="120" t="s">
        <v>1621</v>
      </c>
      <c r="E987" s="121">
        <v>45285</v>
      </c>
      <c r="F987" s="8">
        <v>25</v>
      </c>
      <c r="G987" s="8">
        <v>3.6</v>
      </c>
      <c r="H987" s="82">
        <f>IF(MONTH(TABLE_PIVOT[[#This Row],[Date of Call]])&lt;=6,YEAR(TABLE_PIVOT[[#This Row],[Date of Call]]),YEAR(TABLE_PIVOT[[#This Row],[Date of Call]])+1)</f>
        <v>2024</v>
      </c>
      <c r="I987" s="82" t="str">
        <f>TEXT(TABLE_PIVOT[[#This Row],[Date of Call]],"DDDD")</f>
        <v>Monday</v>
      </c>
      <c r="J987" s="82" t="str" cm="1">
        <f t="array" ref="J987">_xlfn.IFS(TABLE_PIVOT[[#This Row],[Duration]]&lt;=10,"Under 10 Mins",TABLE_PIVOT[[#This Row],[Duration]]&lt;=30,"10 to 30 Mins",TABLE_PIVOT[[#This Row],[Duration]]&lt;=60,"30 to 60 Mins",TABLE_PIVOT[[#This Row],[Duration]]&lt;=120,"1 to 2 Hours",TRUE,"More Than 2 Hours")</f>
        <v>30 to 60 Mins</v>
      </c>
      <c r="K987" s="82">
        <f>ROUND(TABLE_PIVOT[[#This Row],[Satisfaction Rating]],0)</f>
        <v>4</v>
      </c>
    </row>
    <row r="988" spans="1:11" x14ac:dyDescent="0.3">
      <c r="A988" s="8" t="s">
        <v>2614</v>
      </c>
      <c r="B988" s="8" t="s">
        <v>1610</v>
      </c>
      <c r="C988" s="8">
        <v>90</v>
      </c>
      <c r="D988" s="120" t="s">
        <v>1616</v>
      </c>
      <c r="E988" s="121">
        <v>45286</v>
      </c>
      <c r="F988" s="8">
        <v>176</v>
      </c>
      <c r="G988" s="8">
        <v>3.6</v>
      </c>
      <c r="H988" s="82">
        <f>IF(MONTH(TABLE_PIVOT[[#This Row],[Date of Call]])&lt;=6,YEAR(TABLE_PIVOT[[#This Row],[Date of Call]]),YEAR(TABLE_PIVOT[[#This Row],[Date of Call]])+1)</f>
        <v>2024</v>
      </c>
      <c r="I988" s="82" t="str">
        <f>TEXT(TABLE_PIVOT[[#This Row],[Date of Call]],"DDDD")</f>
        <v>Tuesday</v>
      </c>
      <c r="J988" s="82" t="str" cm="1">
        <f t="array" ref="J988">_xlfn.IFS(TABLE_PIVOT[[#This Row],[Duration]]&lt;=10,"Under 10 Mins",TABLE_PIVOT[[#This Row],[Duration]]&lt;=30,"10 to 30 Mins",TABLE_PIVOT[[#This Row],[Duration]]&lt;=60,"30 to 60 Mins",TABLE_PIVOT[[#This Row],[Duration]]&lt;=120,"1 to 2 Hours",TRUE,"More Than 2 Hours")</f>
        <v>1 to 2 Hours</v>
      </c>
      <c r="K988" s="82">
        <f>ROUND(TABLE_PIVOT[[#This Row],[Satisfaction Rating]],0)</f>
        <v>4</v>
      </c>
    </row>
    <row r="989" spans="1:11" x14ac:dyDescent="0.3">
      <c r="A989" s="8" t="s">
        <v>2615</v>
      </c>
      <c r="B989" s="8" t="s">
        <v>1610</v>
      </c>
      <c r="C989" s="8">
        <v>106</v>
      </c>
      <c r="D989" s="120" t="s">
        <v>1626</v>
      </c>
      <c r="E989" s="121">
        <v>45287</v>
      </c>
      <c r="F989" s="8">
        <v>46</v>
      </c>
      <c r="G989" s="8">
        <v>4.5999999999999996</v>
      </c>
      <c r="H989" s="82">
        <f>IF(MONTH(TABLE_PIVOT[[#This Row],[Date of Call]])&lt;=6,YEAR(TABLE_PIVOT[[#This Row],[Date of Call]]),YEAR(TABLE_PIVOT[[#This Row],[Date of Call]])+1)</f>
        <v>2024</v>
      </c>
      <c r="I989" s="82" t="str">
        <f>TEXT(TABLE_PIVOT[[#This Row],[Date of Call]],"DDDD")</f>
        <v>Wednesday</v>
      </c>
      <c r="J989" s="82" t="str" cm="1">
        <f t="array" ref="J989">_xlfn.IFS(TABLE_PIVOT[[#This Row],[Duration]]&lt;=10,"Under 10 Mins",TABLE_PIVOT[[#This Row],[Duration]]&lt;=30,"10 to 30 Mins",TABLE_PIVOT[[#This Row],[Duration]]&lt;=60,"30 to 60 Mins",TABLE_PIVOT[[#This Row],[Duration]]&lt;=120,"1 to 2 Hours",TRUE,"More Than 2 Hours")</f>
        <v>1 to 2 Hours</v>
      </c>
      <c r="K989" s="82">
        <f>ROUND(TABLE_PIVOT[[#This Row],[Satisfaction Rating]],0)</f>
        <v>5</v>
      </c>
    </row>
    <row r="990" spans="1:11" x14ac:dyDescent="0.3">
      <c r="A990" s="8" t="s">
        <v>2616</v>
      </c>
      <c r="B990" s="8" t="s">
        <v>1641</v>
      </c>
      <c r="C990" s="8">
        <v>72</v>
      </c>
      <c r="D990" s="120" t="s">
        <v>1611</v>
      </c>
      <c r="E990" s="121">
        <v>45287</v>
      </c>
      <c r="F990" s="8">
        <v>164</v>
      </c>
      <c r="G990" s="8">
        <v>4.8</v>
      </c>
      <c r="H990" s="82">
        <f>IF(MONTH(TABLE_PIVOT[[#This Row],[Date of Call]])&lt;=6,YEAR(TABLE_PIVOT[[#This Row],[Date of Call]]),YEAR(TABLE_PIVOT[[#This Row],[Date of Call]])+1)</f>
        <v>2024</v>
      </c>
      <c r="I990" s="82" t="str">
        <f>TEXT(TABLE_PIVOT[[#This Row],[Date of Call]],"DDDD")</f>
        <v>Wednesday</v>
      </c>
      <c r="J990" s="82" t="str" cm="1">
        <f t="array" ref="J990">_xlfn.IFS(TABLE_PIVOT[[#This Row],[Duration]]&lt;=10,"Under 10 Mins",TABLE_PIVOT[[#This Row],[Duration]]&lt;=30,"10 to 30 Mins",TABLE_PIVOT[[#This Row],[Duration]]&lt;=60,"30 to 60 Mins",TABLE_PIVOT[[#This Row],[Duration]]&lt;=120,"1 to 2 Hours",TRUE,"More Than 2 Hours")</f>
        <v>1 to 2 Hours</v>
      </c>
      <c r="K990" s="82">
        <f>ROUND(TABLE_PIVOT[[#This Row],[Satisfaction Rating]],0)</f>
        <v>5</v>
      </c>
    </row>
    <row r="991" spans="1:11" x14ac:dyDescent="0.3">
      <c r="A991" s="8" t="s">
        <v>2617</v>
      </c>
      <c r="B991" s="8" t="s">
        <v>1644</v>
      </c>
      <c r="C991" s="8">
        <v>124</v>
      </c>
      <c r="D991" s="120" t="s">
        <v>1611</v>
      </c>
      <c r="E991" s="121">
        <v>45288</v>
      </c>
      <c r="F991" s="8">
        <v>64</v>
      </c>
      <c r="G991" s="8">
        <v>4.5</v>
      </c>
      <c r="H991" s="82">
        <f>IF(MONTH(TABLE_PIVOT[[#This Row],[Date of Call]])&lt;=6,YEAR(TABLE_PIVOT[[#This Row],[Date of Call]]),YEAR(TABLE_PIVOT[[#This Row],[Date of Call]])+1)</f>
        <v>2024</v>
      </c>
      <c r="I991" s="82" t="str">
        <f>TEXT(TABLE_PIVOT[[#This Row],[Date of Call]],"DDDD")</f>
        <v>Thursday</v>
      </c>
      <c r="J991" s="82" t="str" cm="1">
        <f t="array" ref="J991">_xlfn.IFS(TABLE_PIVOT[[#This Row],[Duration]]&lt;=10,"Under 10 Mins",TABLE_PIVOT[[#This Row],[Duration]]&lt;=30,"10 to 30 Mins",TABLE_PIVOT[[#This Row],[Duration]]&lt;=60,"30 to 60 Mins",TABLE_PIVOT[[#This Row],[Duration]]&lt;=120,"1 to 2 Hours",TRUE,"More Than 2 Hours")</f>
        <v>More Than 2 Hours</v>
      </c>
      <c r="K991" s="82">
        <f>ROUND(TABLE_PIVOT[[#This Row],[Satisfaction Rating]],0)</f>
        <v>5</v>
      </c>
    </row>
    <row r="992" spans="1:11" x14ac:dyDescent="0.3">
      <c r="A992" s="8" t="s">
        <v>2618</v>
      </c>
      <c r="B992" s="8" t="s">
        <v>1635</v>
      </c>
      <c r="C992" s="8">
        <v>86</v>
      </c>
      <c r="D992" s="120" t="s">
        <v>1630</v>
      </c>
      <c r="E992" s="121">
        <v>45288</v>
      </c>
      <c r="F992" s="8">
        <v>205</v>
      </c>
      <c r="G992" s="8">
        <v>4.5</v>
      </c>
      <c r="H992" s="82">
        <f>IF(MONTH(TABLE_PIVOT[[#This Row],[Date of Call]])&lt;=6,YEAR(TABLE_PIVOT[[#This Row],[Date of Call]]),YEAR(TABLE_PIVOT[[#This Row],[Date of Call]])+1)</f>
        <v>2024</v>
      </c>
      <c r="I992" s="82" t="str">
        <f>TEXT(TABLE_PIVOT[[#This Row],[Date of Call]],"DDDD")</f>
        <v>Thursday</v>
      </c>
      <c r="J992" s="82" t="str" cm="1">
        <f t="array" ref="J992">_xlfn.IFS(TABLE_PIVOT[[#This Row],[Duration]]&lt;=10,"Under 10 Mins",TABLE_PIVOT[[#This Row],[Duration]]&lt;=30,"10 to 30 Mins",TABLE_PIVOT[[#This Row],[Duration]]&lt;=60,"30 to 60 Mins",TABLE_PIVOT[[#This Row],[Duration]]&lt;=120,"1 to 2 Hours",TRUE,"More Than 2 Hours")</f>
        <v>1 to 2 Hours</v>
      </c>
      <c r="K992" s="82">
        <f>ROUND(TABLE_PIVOT[[#This Row],[Satisfaction Rating]],0)</f>
        <v>5</v>
      </c>
    </row>
    <row r="993" spans="1:11" x14ac:dyDescent="0.3">
      <c r="A993" s="8" t="s">
        <v>2619</v>
      </c>
      <c r="B993" s="8" t="s">
        <v>1615</v>
      </c>
      <c r="C993" s="8">
        <v>164</v>
      </c>
      <c r="D993" s="120" t="s">
        <v>1630</v>
      </c>
      <c r="E993" s="121">
        <v>45289</v>
      </c>
      <c r="F993" s="8">
        <v>100</v>
      </c>
      <c r="G993" s="8">
        <v>4.5999999999999996</v>
      </c>
      <c r="H993" s="82">
        <f>IF(MONTH(TABLE_PIVOT[[#This Row],[Date of Call]])&lt;=6,YEAR(TABLE_PIVOT[[#This Row],[Date of Call]]),YEAR(TABLE_PIVOT[[#This Row],[Date of Call]])+1)</f>
        <v>2024</v>
      </c>
      <c r="I993" s="82" t="str">
        <f>TEXT(TABLE_PIVOT[[#This Row],[Date of Call]],"DDDD")</f>
        <v>Friday</v>
      </c>
      <c r="J993" s="82" t="str" cm="1">
        <f t="array" ref="J993">_xlfn.IFS(TABLE_PIVOT[[#This Row],[Duration]]&lt;=10,"Under 10 Mins",TABLE_PIVOT[[#This Row],[Duration]]&lt;=30,"10 to 30 Mins",TABLE_PIVOT[[#This Row],[Duration]]&lt;=60,"30 to 60 Mins",TABLE_PIVOT[[#This Row],[Duration]]&lt;=120,"1 to 2 Hours",TRUE,"More Than 2 Hours")</f>
        <v>More Than 2 Hours</v>
      </c>
      <c r="K993" s="82">
        <f>ROUND(TABLE_PIVOT[[#This Row],[Satisfaction Rating]],0)</f>
        <v>5</v>
      </c>
    </row>
    <row r="994" spans="1:11" x14ac:dyDescent="0.3">
      <c r="A994" s="8" t="s">
        <v>2620</v>
      </c>
      <c r="B994" s="8" t="s">
        <v>1620</v>
      </c>
      <c r="C994" s="8">
        <v>40</v>
      </c>
      <c r="D994" s="120" t="s">
        <v>1616</v>
      </c>
      <c r="E994" s="121">
        <v>45289</v>
      </c>
      <c r="F994" s="8">
        <v>111</v>
      </c>
      <c r="G994" s="8">
        <v>4.5999999999999996</v>
      </c>
      <c r="H994" s="82">
        <f>IF(MONTH(TABLE_PIVOT[[#This Row],[Date of Call]])&lt;=6,YEAR(TABLE_PIVOT[[#This Row],[Date of Call]]),YEAR(TABLE_PIVOT[[#This Row],[Date of Call]])+1)</f>
        <v>2024</v>
      </c>
      <c r="I994" s="82" t="str">
        <f>TEXT(TABLE_PIVOT[[#This Row],[Date of Call]],"DDDD")</f>
        <v>Friday</v>
      </c>
      <c r="J994" s="82" t="str" cm="1">
        <f t="array" ref="J994">_xlfn.IFS(TABLE_PIVOT[[#This Row],[Duration]]&lt;=10,"Under 10 Mins",TABLE_PIVOT[[#This Row],[Duration]]&lt;=30,"10 to 30 Mins",TABLE_PIVOT[[#This Row],[Duration]]&lt;=60,"30 to 60 Mins",TABLE_PIVOT[[#This Row],[Duration]]&lt;=120,"1 to 2 Hours",TRUE,"More Than 2 Hours")</f>
        <v>30 to 60 Mins</v>
      </c>
      <c r="K994" s="82">
        <f>ROUND(TABLE_PIVOT[[#This Row],[Satisfaction Rating]],0)</f>
        <v>5</v>
      </c>
    </row>
    <row r="995" spans="1:11" x14ac:dyDescent="0.3">
      <c r="A995" s="8" t="s">
        <v>2621</v>
      </c>
      <c r="B995" s="8" t="s">
        <v>1618</v>
      </c>
      <c r="C995" s="8">
        <v>76</v>
      </c>
      <c r="D995" s="120" t="s">
        <v>1621</v>
      </c>
      <c r="E995" s="121">
        <v>45289</v>
      </c>
      <c r="F995" s="8">
        <v>80</v>
      </c>
      <c r="G995" s="8">
        <v>3.5</v>
      </c>
      <c r="H995" s="82">
        <f>IF(MONTH(TABLE_PIVOT[[#This Row],[Date of Call]])&lt;=6,YEAR(TABLE_PIVOT[[#This Row],[Date of Call]]),YEAR(TABLE_PIVOT[[#This Row],[Date of Call]])+1)</f>
        <v>2024</v>
      </c>
      <c r="I995" s="82" t="str">
        <f>TEXT(TABLE_PIVOT[[#This Row],[Date of Call]],"DDDD")</f>
        <v>Friday</v>
      </c>
      <c r="J995" s="82" t="str" cm="1">
        <f t="array" ref="J995">_xlfn.IFS(TABLE_PIVOT[[#This Row],[Duration]]&lt;=10,"Under 10 Mins",TABLE_PIVOT[[#This Row],[Duration]]&lt;=30,"10 to 30 Mins",TABLE_PIVOT[[#This Row],[Duration]]&lt;=60,"30 to 60 Mins",TABLE_PIVOT[[#This Row],[Duration]]&lt;=120,"1 to 2 Hours",TRUE,"More Than 2 Hours")</f>
        <v>1 to 2 Hours</v>
      </c>
      <c r="K995" s="82">
        <f>ROUND(TABLE_PIVOT[[#This Row],[Satisfaction Rating]],0)</f>
        <v>4</v>
      </c>
    </row>
    <row r="996" spans="1:11" x14ac:dyDescent="0.3">
      <c r="A996" s="8" t="s">
        <v>2622</v>
      </c>
      <c r="B996" s="8" t="s">
        <v>1644</v>
      </c>
      <c r="C996" s="8">
        <v>95</v>
      </c>
      <c r="D996" s="120" t="s">
        <v>1626</v>
      </c>
      <c r="E996" s="121">
        <v>45289</v>
      </c>
      <c r="F996" s="8">
        <v>50</v>
      </c>
      <c r="G996" s="8">
        <v>2.9</v>
      </c>
      <c r="H996" s="82">
        <f>IF(MONTH(TABLE_PIVOT[[#This Row],[Date of Call]])&lt;=6,YEAR(TABLE_PIVOT[[#This Row],[Date of Call]]),YEAR(TABLE_PIVOT[[#This Row],[Date of Call]])+1)</f>
        <v>2024</v>
      </c>
      <c r="I996" s="82" t="str">
        <f>TEXT(TABLE_PIVOT[[#This Row],[Date of Call]],"DDDD")</f>
        <v>Friday</v>
      </c>
      <c r="J996" s="82" t="str" cm="1">
        <f t="array" ref="J996">_xlfn.IFS(TABLE_PIVOT[[#This Row],[Duration]]&lt;=10,"Under 10 Mins",TABLE_PIVOT[[#This Row],[Duration]]&lt;=30,"10 to 30 Mins",TABLE_PIVOT[[#This Row],[Duration]]&lt;=60,"30 to 60 Mins",TABLE_PIVOT[[#This Row],[Duration]]&lt;=120,"1 to 2 Hours",TRUE,"More Than 2 Hours")</f>
        <v>1 to 2 Hours</v>
      </c>
      <c r="K996" s="82">
        <f>ROUND(TABLE_PIVOT[[#This Row],[Satisfaction Rating]],0)</f>
        <v>3</v>
      </c>
    </row>
    <row r="997" spans="1:11" x14ac:dyDescent="0.3">
      <c r="A997" s="8" t="s">
        <v>2623</v>
      </c>
      <c r="B997" s="8" t="s">
        <v>1618</v>
      </c>
      <c r="C997" s="8">
        <v>113</v>
      </c>
      <c r="D997" s="120" t="s">
        <v>1611</v>
      </c>
      <c r="E997" s="121">
        <v>45290</v>
      </c>
      <c r="F997" s="8">
        <v>165</v>
      </c>
      <c r="G997" s="8">
        <v>4.7</v>
      </c>
      <c r="H997" s="82">
        <f>IF(MONTH(TABLE_PIVOT[[#This Row],[Date of Call]])&lt;=6,YEAR(TABLE_PIVOT[[#This Row],[Date of Call]]),YEAR(TABLE_PIVOT[[#This Row],[Date of Call]])+1)</f>
        <v>2024</v>
      </c>
      <c r="I997" s="82" t="str">
        <f>TEXT(TABLE_PIVOT[[#This Row],[Date of Call]],"DDDD")</f>
        <v>Saturday</v>
      </c>
      <c r="J997" s="82" t="str" cm="1">
        <f t="array" ref="J997">_xlfn.IFS(TABLE_PIVOT[[#This Row],[Duration]]&lt;=10,"Under 10 Mins",TABLE_PIVOT[[#This Row],[Duration]]&lt;=30,"10 to 30 Mins",TABLE_PIVOT[[#This Row],[Duration]]&lt;=60,"30 to 60 Mins",TABLE_PIVOT[[#This Row],[Duration]]&lt;=120,"1 to 2 Hours",TRUE,"More Than 2 Hours")</f>
        <v>1 to 2 Hours</v>
      </c>
      <c r="K997" s="82">
        <f>ROUND(TABLE_PIVOT[[#This Row],[Satisfaction Rating]],0)</f>
        <v>5</v>
      </c>
    </row>
    <row r="998" spans="1:11" x14ac:dyDescent="0.3">
      <c r="A998" s="8" t="s">
        <v>2624</v>
      </c>
      <c r="B998" s="8" t="s">
        <v>1635</v>
      </c>
      <c r="C998" s="8">
        <v>81</v>
      </c>
      <c r="D998" s="120" t="s">
        <v>1611</v>
      </c>
      <c r="E998" s="121">
        <v>45290</v>
      </c>
      <c r="F998" s="8">
        <v>28</v>
      </c>
      <c r="G998" s="8">
        <v>3.9</v>
      </c>
      <c r="H998" s="82">
        <f>IF(MONTH(TABLE_PIVOT[[#This Row],[Date of Call]])&lt;=6,YEAR(TABLE_PIVOT[[#This Row],[Date of Call]]),YEAR(TABLE_PIVOT[[#This Row],[Date of Call]])+1)</f>
        <v>2024</v>
      </c>
      <c r="I998" s="82" t="str">
        <f>TEXT(TABLE_PIVOT[[#This Row],[Date of Call]],"DDDD")</f>
        <v>Saturday</v>
      </c>
      <c r="J998" s="82" t="str" cm="1">
        <f t="array" ref="J998">_xlfn.IFS(TABLE_PIVOT[[#This Row],[Duration]]&lt;=10,"Under 10 Mins",TABLE_PIVOT[[#This Row],[Duration]]&lt;=30,"10 to 30 Mins",TABLE_PIVOT[[#This Row],[Duration]]&lt;=60,"30 to 60 Mins",TABLE_PIVOT[[#This Row],[Duration]]&lt;=120,"1 to 2 Hours",TRUE,"More Than 2 Hours")</f>
        <v>1 to 2 Hours</v>
      </c>
      <c r="K998" s="82">
        <f>ROUND(TABLE_PIVOT[[#This Row],[Satisfaction Rating]],0)</f>
        <v>4</v>
      </c>
    </row>
    <row r="999" spans="1:11" x14ac:dyDescent="0.3">
      <c r="A999" s="8" t="s">
        <v>2625</v>
      </c>
      <c r="B999" s="8" t="s">
        <v>1624</v>
      </c>
      <c r="C999" s="8">
        <v>127</v>
      </c>
      <c r="D999" s="120" t="s">
        <v>1626</v>
      </c>
      <c r="E999" s="121">
        <v>45290</v>
      </c>
      <c r="F999" s="8">
        <v>215</v>
      </c>
      <c r="G999" s="8">
        <v>3.8</v>
      </c>
      <c r="H999" s="82">
        <f>IF(MONTH(TABLE_PIVOT[[#This Row],[Date of Call]])&lt;=6,YEAR(TABLE_PIVOT[[#This Row],[Date of Call]]),YEAR(TABLE_PIVOT[[#This Row],[Date of Call]])+1)</f>
        <v>2024</v>
      </c>
      <c r="I999" s="82" t="str">
        <f>TEXT(TABLE_PIVOT[[#This Row],[Date of Call]],"DDDD")</f>
        <v>Saturday</v>
      </c>
      <c r="J999" s="82" t="str" cm="1">
        <f t="array" ref="J999">_xlfn.IFS(TABLE_PIVOT[[#This Row],[Duration]]&lt;=10,"Under 10 Mins",TABLE_PIVOT[[#This Row],[Duration]]&lt;=30,"10 to 30 Mins",TABLE_PIVOT[[#This Row],[Duration]]&lt;=60,"30 to 60 Mins",TABLE_PIVOT[[#This Row],[Duration]]&lt;=120,"1 to 2 Hours",TRUE,"More Than 2 Hours")</f>
        <v>More Than 2 Hours</v>
      </c>
      <c r="K999" s="82">
        <f>ROUND(TABLE_PIVOT[[#This Row],[Satisfaction Rating]],0)</f>
        <v>4</v>
      </c>
    </row>
    <row r="1000" spans="1:11" x14ac:dyDescent="0.3">
      <c r="A1000" s="8" t="s">
        <v>2626</v>
      </c>
      <c r="B1000" s="8" t="s">
        <v>1633</v>
      </c>
      <c r="C1000" s="8">
        <v>146</v>
      </c>
      <c r="D1000" s="120" t="s">
        <v>1611</v>
      </c>
      <c r="E1000" s="121">
        <v>45291</v>
      </c>
      <c r="F1000" s="8">
        <v>115</v>
      </c>
      <c r="G1000" s="8">
        <v>2.2999999999999998</v>
      </c>
      <c r="H1000" s="82">
        <f>IF(MONTH(TABLE_PIVOT[[#This Row],[Date of Call]])&lt;=6,YEAR(TABLE_PIVOT[[#This Row],[Date of Call]]),YEAR(TABLE_PIVOT[[#This Row],[Date of Call]])+1)</f>
        <v>2024</v>
      </c>
      <c r="I1000" s="82" t="str">
        <f>TEXT(TABLE_PIVOT[[#This Row],[Date of Call]],"DDDD")</f>
        <v>Sunday</v>
      </c>
      <c r="J1000" s="82" t="str" cm="1">
        <f t="array" ref="J1000">_xlfn.IFS(TABLE_PIVOT[[#This Row],[Duration]]&lt;=10,"Under 10 Mins",TABLE_PIVOT[[#This Row],[Duration]]&lt;=30,"10 to 30 Mins",TABLE_PIVOT[[#This Row],[Duration]]&lt;=60,"30 to 60 Mins",TABLE_PIVOT[[#This Row],[Duration]]&lt;=120,"1 to 2 Hours",TRUE,"More Than 2 Hours")</f>
        <v>More Than 2 Hours</v>
      </c>
      <c r="K1000" s="82">
        <f>ROUND(TABLE_PIVOT[[#This Row],[Satisfaction Rating]],0)</f>
        <v>2</v>
      </c>
    </row>
    <row r="1001" spans="1:11" x14ac:dyDescent="0.3">
      <c r="A1001" s="8" t="s">
        <v>2627</v>
      </c>
      <c r="B1001" s="8" t="s">
        <v>1629</v>
      </c>
      <c r="C1001" s="8">
        <v>123</v>
      </c>
      <c r="D1001" s="120" t="s">
        <v>1611</v>
      </c>
      <c r="E1001" s="121">
        <v>45291</v>
      </c>
      <c r="F1001" s="8">
        <v>64</v>
      </c>
      <c r="G1001" s="8">
        <v>3.7</v>
      </c>
      <c r="H1001" s="82">
        <f>IF(MONTH(TABLE_PIVOT[[#This Row],[Date of Call]])&lt;=6,YEAR(TABLE_PIVOT[[#This Row],[Date of Call]]),YEAR(TABLE_PIVOT[[#This Row],[Date of Call]])+1)</f>
        <v>2024</v>
      </c>
      <c r="I1001" s="82" t="str">
        <f>TEXT(TABLE_PIVOT[[#This Row],[Date of Call]],"DDDD")</f>
        <v>Sunday</v>
      </c>
      <c r="J1001" s="82" t="str" cm="1">
        <f t="array" ref="J1001">_xlfn.IFS(TABLE_PIVOT[[#This Row],[Duration]]&lt;=10,"Under 10 Mins",TABLE_PIVOT[[#This Row],[Duration]]&lt;=30,"10 to 30 Mins",TABLE_PIVOT[[#This Row],[Duration]]&lt;=60,"30 to 60 Mins",TABLE_PIVOT[[#This Row],[Duration]]&lt;=120,"1 to 2 Hours",TRUE,"More Than 2 Hours")</f>
        <v>More Than 2 Hours</v>
      </c>
      <c r="K1001" s="82">
        <f>ROUND(TABLE_PIVOT[[#This Row],[Satisfaction Rating]],0)</f>
        <v>4</v>
      </c>
    </row>
    <row r="1002" spans="1:11" x14ac:dyDescent="0.3">
      <c r="A1002" s="8" t="s">
        <v>2628</v>
      </c>
      <c r="B1002" s="8" t="s">
        <v>1641</v>
      </c>
      <c r="C1002" s="8">
        <v>114</v>
      </c>
      <c r="D1002" s="120" t="s">
        <v>1621</v>
      </c>
      <c r="E1002" s="121">
        <v>45291</v>
      </c>
      <c r="F1002" s="8">
        <v>40</v>
      </c>
      <c r="G1002" s="8">
        <v>3.9</v>
      </c>
      <c r="H1002" s="82">
        <f>IF(MONTH(TABLE_PIVOT[[#This Row],[Date of Call]])&lt;=6,YEAR(TABLE_PIVOT[[#This Row],[Date of Call]]),YEAR(TABLE_PIVOT[[#This Row],[Date of Call]])+1)</f>
        <v>2024</v>
      </c>
      <c r="I1002" s="82" t="str">
        <f>TEXT(TABLE_PIVOT[[#This Row],[Date of Call]],"DDDD")</f>
        <v>Sunday</v>
      </c>
      <c r="J1002" s="82" t="str" cm="1">
        <f t="array" ref="J1002">_xlfn.IFS(TABLE_PIVOT[[#This Row],[Duration]]&lt;=10,"Under 10 Mins",TABLE_PIVOT[[#This Row],[Duration]]&lt;=30,"10 to 30 Mins",TABLE_PIVOT[[#This Row],[Duration]]&lt;=60,"30 to 60 Mins",TABLE_PIVOT[[#This Row],[Duration]]&lt;=120,"1 to 2 Hours",TRUE,"More Than 2 Hours")</f>
        <v>1 to 2 Hours</v>
      </c>
      <c r="K1002" s="82">
        <f>ROUND(TABLE_PIVOT[[#This Row],[Satisfaction Rating]],0)</f>
        <v>4</v>
      </c>
    </row>
  </sheetData>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70F6-B9E5-416C-B373-4291875CC547}">
  <dimension ref="A1:M16"/>
  <sheetViews>
    <sheetView topLeftCell="AM1" workbookViewId="0">
      <selection activeCell="I8" sqref="I8:M8"/>
    </sheetView>
  </sheetViews>
  <sheetFormatPr defaultRowHeight="14.2" x14ac:dyDescent="0.3"/>
  <cols>
    <col min="1" max="1" width="12.3984375" customWidth="1"/>
    <col min="2" max="2" width="18.3984375" customWidth="1"/>
    <col min="3" max="3" width="25.796875" customWidth="1"/>
    <col min="9" max="9" width="54.796875" customWidth="1"/>
    <col min="10" max="10" width="40.296875" customWidth="1"/>
    <col min="11" max="11" width="54.09765625" customWidth="1"/>
    <col min="12" max="12" width="9.09765625" customWidth="1"/>
    <col min="13" max="13" width="3" customWidth="1"/>
  </cols>
  <sheetData>
    <row r="1" spans="1:13" ht="115.25" x14ac:dyDescent="0.3">
      <c r="I1" s="82"/>
      <c r="J1" s="132" t="s">
        <v>2635</v>
      </c>
      <c r="K1" s="6" t="s">
        <v>2638</v>
      </c>
      <c r="L1" s="82"/>
      <c r="M1" s="82"/>
    </row>
    <row r="2" spans="1:13" ht="14.5" x14ac:dyDescent="0.3">
      <c r="I2" s="131"/>
      <c r="J2" s="131"/>
      <c r="K2" s="8"/>
      <c r="L2" s="82"/>
      <c r="M2" s="82"/>
    </row>
    <row r="3" spans="1:13" ht="28.8" x14ac:dyDescent="0.3">
      <c r="A3" s="136" t="s">
        <v>2636</v>
      </c>
      <c r="B3" s="2" t="s">
        <v>2637</v>
      </c>
      <c r="C3" s="2" t="s">
        <v>2640</v>
      </c>
      <c r="I3" s="118" t="s">
        <v>1580</v>
      </c>
      <c r="J3" s="118" t="s">
        <v>1581</v>
      </c>
      <c r="K3" s="118" t="s">
        <v>38</v>
      </c>
      <c r="L3" s="67" t="s">
        <v>1536</v>
      </c>
      <c r="M3" s="67" t="s">
        <v>2634</v>
      </c>
    </row>
    <row r="4" spans="1:13" ht="86.5" x14ac:dyDescent="0.3">
      <c r="A4" s="133" t="s">
        <v>1662</v>
      </c>
      <c r="B4">
        <v>65</v>
      </c>
      <c r="C4" s="135">
        <v>3.8307692307692309</v>
      </c>
      <c r="I4" s="8" t="s">
        <v>1582</v>
      </c>
      <c r="J4" s="119" t="s">
        <v>1583</v>
      </c>
      <c r="K4" s="140" t="s">
        <v>2641</v>
      </c>
      <c r="L4" s="137"/>
      <c r="M4" s="141" t="s">
        <v>2644</v>
      </c>
    </row>
    <row r="5" spans="1:13" x14ac:dyDescent="0.3">
      <c r="A5" s="133" t="s">
        <v>1635</v>
      </c>
      <c r="B5">
        <v>63</v>
      </c>
      <c r="C5" s="135">
        <v>4.0730158730158736</v>
      </c>
      <c r="I5" s="8" t="s">
        <v>1584</v>
      </c>
      <c r="J5" s="119" t="s">
        <v>1585</v>
      </c>
      <c r="K5" s="138"/>
      <c r="L5" s="137"/>
      <c r="M5" s="137" t="s">
        <v>2643</v>
      </c>
    </row>
    <row r="6" spans="1:13" x14ac:dyDescent="0.3">
      <c r="A6" s="133" t="s">
        <v>1613</v>
      </c>
      <c r="B6">
        <v>82</v>
      </c>
      <c r="C6" s="135">
        <v>3.976829268292684</v>
      </c>
      <c r="I6" s="8" t="s">
        <v>1586</v>
      </c>
      <c r="J6" s="119" t="s">
        <v>14</v>
      </c>
      <c r="K6" s="137"/>
      <c r="L6" s="137"/>
      <c r="M6" s="137"/>
    </row>
    <row r="7" spans="1:13" x14ac:dyDescent="0.3">
      <c r="A7" s="133" t="s">
        <v>1615</v>
      </c>
      <c r="B7">
        <v>79</v>
      </c>
      <c r="C7" s="135">
        <v>3.9797468354430396</v>
      </c>
      <c r="I7" s="8" t="s">
        <v>1587</v>
      </c>
      <c r="J7" s="119" t="s">
        <v>1588</v>
      </c>
      <c r="K7" s="137"/>
      <c r="L7" s="137"/>
      <c r="M7" s="137"/>
    </row>
    <row r="8" spans="1:13" x14ac:dyDescent="0.3">
      <c r="A8" s="133" t="s">
        <v>1624</v>
      </c>
      <c r="B8">
        <v>67</v>
      </c>
      <c r="C8" s="135">
        <v>3.8522388059701487</v>
      </c>
      <c r="I8" s="8" t="s">
        <v>1589</v>
      </c>
      <c r="J8" s="119" t="s">
        <v>1590</v>
      </c>
      <c r="K8" s="138"/>
      <c r="L8" s="137"/>
      <c r="M8" s="137"/>
    </row>
    <row r="9" spans="1:13" x14ac:dyDescent="0.3">
      <c r="A9" s="133" t="s">
        <v>1641</v>
      </c>
      <c r="B9">
        <v>69</v>
      </c>
      <c r="C9" s="135">
        <v>3.62608695652174</v>
      </c>
      <c r="I9" s="8" t="s">
        <v>1591</v>
      </c>
      <c r="J9" s="119" t="s">
        <v>1592</v>
      </c>
      <c r="K9" s="138"/>
      <c r="L9" s="137"/>
      <c r="M9" s="137"/>
    </row>
    <row r="10" spans="1:13" x14ac:dyDescent="0.3">
      <c r="A10" s="133" t="s">
        <v>1629</v>
      </c>
      <c r="B10">
        <v>72</v>
      </c>
      <c r="C10" s="135">
        <v>3.863888888888888</v>
      </c>
      <c r="I10" s="8" t="s">
        <v>1593</v>
      </c>
      <c r="J10" s="119" t="s">
        <v>1594</v>
      </c>
      <c r="K10" s="138"/>
      <c r="L10" s="137"/>
      <c r="M10" s="137"/>
    </row>
    <row r="11" spans="1:13" x14ac:dyDescent="0.3">
      <c r="A11" s="133" t="s">
        <v>1620</v>
      </c>
      <c r="B11">
        <v>74</v>
      </c>
      <c r="C11" s="135">
        <v>3.9837837837837853</v>
      </c>
      <c r="I11" s="8" t="s">
        <v>1595</v>
      </c>
      <c r="J11" s="119" t="s">
        <v>1596</v>
      </c>
      <c r="K11" s="138"/>
      <c r="L11" s="137"/>
      <c r="M11" s="137"/>
    </row>
    <row r="12" spans="1:13" x14ac:dyDescent="0.3">
      <c r="A12" s="133" t="s">
        <v>1652</v>
      </c>
      <c r="B12">
        <v>70</v>
      </c>
      <c r="C12" s="135">
        <v>4.1300000000000008</v>
      </c>
      <c r="I12" s="8" t="s">
        <v>1597</v>
      </c>
      <c r="J12" s="119" t="s">
        <v>1598</v>
      </c>
      <c r="K12" s="138"/>
      <c r="L12" s="137"/>
      <c r="M12" s="137"/>
    </row>
    <row r="13" spans="1:13" x14ac:dyDescent="0.3">
      <c r="A13" s="133" t="s">
        <v>1633</v>
      </c>
      <c r="B13">
        <v>69</v>
      </c>
      <c r="C13" s="135">
        <v>3.7753623188405814</v>
      </c>
      <c r="I13" s="8" t="s">
        <v>1599</v>
      </c>
      <c r="J13" s="119" t="s">
        <v>1596</v>
      </c>
      <c r="K13" s="138"/>
      <c r="L13" s="137"/>
      <c r="M13" s="137"/>
    </row>
    <row r="14" spans="1:13" x14ac:dyDescent="0.3">
      <c r="A14" s="133" t="s">
        <v>1573</v>
      </c>
      <c r="B14">
        <v>710</v>
      </c>
      <c r="C14" s="135">
        <v>3.9112676056338094</v>
      </c>
      <c r="I14" s="8"/>
      <c r="J14" s="8"/>
      <c r="K14" s="138"/>
      <c r="L14" s="137"/>
      <c r="M14" s="137"/>
    </row>
    <row r="15" spans="1:13" x14ac:dyDescent="0.3">
      <c r="I15" s="8" t="s">
        <v>1600</v>
      </c>
      <c r="J15" s="8"/>
      <c r="K15" s="138"/>
      <c r="L15" s="137"/>
      <c r="M15" s="137"/>
    </row>
    <row r="16" spans="1:13" x14ac:dyDescent="0.3">
      <c r="I16" s="8" t="s">
        <v>1601</v>
      </c>
      <c r="J16" s="8"/>
      <c r="K16" s="138"/>
      <c r="L16" s="137"/>
      <c r="M16" s="13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84D0-76D2-45CF-BF35-B94CFD3FA05B}">
  <dimension ref="A1:L14"/>
  <sheetViews>
    <sheetView topLeftCell="G1" workbookViewId="0">
      <selection activeCell="J9" sqref="J9"/>
    </sheetView>
  </sheetViews>
  <sheetFormatPr defaultRowHeight="14.2" x14ac:dyDescent="0.3"/>
  <cols>
    <col min="1" max="1" width="12.3984375" customWidth="1"/>
    <col min="2" max="2" width="21.796875" customWidth="1"/>
    <col min="9" max="9" width="54.69921875" customWidth="1"/>
    <col min="10" max="10" width="40.69921875" customWidth="1"/>
    <col min="11" max="11" width="82.296875" customWidth="1"/>
    <col min="12" max="12" width="3.09765625" customWidth="1"/>
  </cols>
  <sheetData>
    <row r="1" spans="1:12" ht="100.8" x14ac:dyDescent="0.3">
      <c r="I1" s="82"/>
      <c r="J1" s="132" t="s">
        <v>2635</v>
      </c>
      <c r="K1" s="6" t="s">
        <v>2638</v>
      </c>
      <c r="L1" s="82"/>
    </row>
    <row r="2" spans="1:12" ht="14.5" x14ac:dyDescent="0.3">
      <c r="I2" s="131"/>
      <c r="J2" s="131"/>
      <c r="K2" s="8"/>
      <c r="L2" s="82"/>
    </row>
    <row r="3" spans="1:12" ht="14.5" x14ac:dyDescent="0.3">
      <c r="A3" s="114" t="s">
        <v>2636</v>
      </c>
      <c r="B3" t="s">
        <v>2642</v>
      </c>
      <c r="I3" s="118" t="s">
        <v>1580</v>
      </c>
      <c r="J3" s="118" t="s">
        <v>1581</v>
      </c>
      <c r="K3" s="118" t="s">
        <v>38</v>
      </c>
      <c r="L3" s="67" t="s">
        <v>2634</v>
      </c>
    </row>
    <row r="4" spans="1:12" ht="57.55" x14ac:dyDescent="0.3">
      <c r="A4" s="133" t="s">
        <v>1652</v>
      </c>
      <c r="B4" s="37">
        <v>2070</v>
      </c>
      <c r="I4" s="8" t="s">
        <v>1586</v>
      </c>
      <c r="J4" s="119" t="s">
        <v>14</v>
      </c>
      <c r="K4" s="140" t="s">
        <v>2645</v>
      </c>
      <c r="L4" s="141" t="s">
        <v>2644</v>
      </c>
    </row>
    <row r="5" spans="1:12" ht="72" x14ac:dyDescent="0.3">
      <c r="A5" s="133" t="s">
        <v>1620</v>
      </c>
      <c r="B5" s="37">
        <v>1747</v>
      </c>
      <c r="I5" s="8" t="s">
        <v>1587</v>
      </c>
      <c r="J5" s="119" t="s">
        <v>1588</v>
      </c>
      <c r="K5" s="140" t="s">
        <v>2647</v>
      </c>
      <c r="L5" s="141" t="s">
        <v>2646</v>
      </c>
    </row>
    <row r="6" spans="1:12" x14ac:dyDescent="0.3">
      <c r="A6" s="133" t="s">
        <v>1613</v>
      </c>
      <c r="B6" s="37">
        <v>1722</v>
      </c>
      <c r="I6" s="8" t="s">
        <v>1589</v>
      </c>
      <c r="J6" s="119" t="s">
        <v>1590</v>
      </c>
      <c r="K6" s="139" t="s">
        <v>390</v>
      </c>
      <c r="L6" s="138"/>
    </row>
    <row r="7" spans="1:12" x14ac:dyDescent="0.3">
      <c r="A7" s="133" t="s">
        <v>1633</v>
      </c>
      <c r="B7" s="37">
        <v>1722</v>
      </c>
      <c r="I7" s="8" t="s">
        <v>1591</v>
      </c>
      <c r="J7" s="119" t="s">
        <v>1592</v>
      </c>
      <c r="K7" s="139" t="s">
        <v>390</v>
      </c>
      <c r="L7" s="138"/>
    </row>
    <row r="8" spans="1:12" x14ac:dyDescent="0.3">
      <c r="A8" s="133" t="s">
        <v>1641</v>
      </c>
      <c r="B8" s="37">
        <v>1566</v>
      </c>
      <c r="I8" s="8" t="s">
        <v>1593</v>
      </c>
      <c r="J8" s="119" t="s">
        <v>1594</v>
      </c>
      <c r="K8" s="139" t="s">
        <v>390</v>
      </c>
      <c r="L8" s="138"/>
    </row>
    <row r="9" spans="1:12" x14ac:dyDescent="0.3">
      <c r="A9" s="133" t="s">
        <v>1635</v>
      </c>
      <c r="B9" s="37">
        <v>1508</v>
      </c>
      <c r="I9" s="8" t="s">
        <v>1595</v>
      </c>
      <c r="J9" s="119" t="s">
        <v>1596</v>
      </c>
      <c r="K9" s="139" t="s">
        <v>390</v>
      </c>
      <c r="L9" s="138"/>
    </row>
    <row r="10" spans="1:12" x14ac:dyDescent="0.3">
      <c r="A10" s="133" t="s">
        <v>1644</v>
      </c>
      <c r="B10" s="37">
        <v>1484</v>
      </c>
      <c r="I10" s="8" t="s">
        <v>1597</v>
      </c>
      <c r="J10" s="119" t="s">
        <v>1598</v>
      </c>
      <c r="K10" s="139" t="s">
        <v>390</v>
      </c>
      <c r="L10" s="138"/>
    </row>
    <row r="11" spans="1:12" x14ac:dyDescent="0.3">
      <c r="A11" s="133" t="s">
        <v>1624</v>
      </c>
      <c r="B11" s="37">
        <v>1416</v>
      </c>
      <c r="I11" s="8" t="s">
        <v>1599</v>
      </c>
      <c r="J11" s="119" t="s">
        <v>1596</v>
      </c>
      <c r="K11" s="139" t="s">
        <v>390</v>
      </c>
      <c r="L11" s="138"/>
    </row>
    <row r="12" spans="1:12" x14ac:dyDescent="0.3">
      <c r="A12" s="133" t="s">
        <v>1615</v>
      </c>
      <c r="B12" s="37">
        <v>1196</v>
      </c>
      <c r="I12" s="8"/>
      <c r="J12" s="8"/>
      <c r="K12" s="139" t="s">
        <v>390</v>
      </c>
      <c r="L12" s="138"/>
    </row>
    <row r="13" spans="1:12" x14ac:dyDescent="0.3">
      <c r="A13" s="133" t="s">
        <v>1682</v>
      </c>
      <c r="B13" s="37">
        <v>1193</v>
      </c>
      <c r="I13" s="8" t="s">
        <v>1600</v>
      </c>
      <c r="J13" s="8"/>
      <c r="K13" s="139" t="s">
        <v>390</v>
      </c>
      <c r="L13" s="138"/>
    </row>
    <row r="14" spans="1:12" x14ac:dyDescent="0.3">
      <c r="A14" s="133" t="s">
        <v>1573</v>
      </c>
      <c r="B14" s="37">
        <v>15624</v>
      </c>
      <c r="I14" s="8" t="s">
        <v>1601</v>
      </c>
      <c r="J14" s="8"/>
      <c r="K14" s="139" t="s">
        <v>390</v>
      </c>
      <c r="L14" s="13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FF8E-615A-46F9-8972-FED82C6E1B39}">
  <dimension ref="A2:N174"/>
  <sheetViews>
    <sheetView workbookViewId="0">
      <selection activeCell="I10" sqref="I10"/>
    </sheetView>
  </sheetViews>
  <sheetFormatPr defaultRowHeight="14.2" x14ac:dyDescent="0.3"/>
  <cols>
    <col min="1" max="1" width="12.3984375" customWidth="1"/>
    <col min="2" max="2" width="7.796875" customWidth="1"/>
    <col min="3" max="3" width="14.19921875" customWidth="1"/>
    <col min="4" max="4" width="12.3984375" customWidth="1"/>
    <col min="5" max="5" width="7.796875" customWidth="1"/>
    <col min="11" max="11" width="54.69921875" customWidth="1"/>
    <col min="12" max="12" width="60.09765625" customWidth="1"/>
    <col min="13" max="13" width="62.796875" customWidth="1"/>
    <col min="14" max="14" width="5.796875" customWidth="1"/>
  </cols>
  <sheetData>
    <row r="2" spans="1:14" ht="86.5" x14ac:dyDescent="0.3">
      <c r="K2" s="8"/>
      <c r="L2" s="132" t="s">
        <v>2635</v>
      </c>
      <c r="M2" s="6" t="s">
        <v>2638</v>
      </c>
      <c r="N2" s="8"/>
    </row>
    <row r="3" spans="1:14" ht="14.5" x14ac:dyDescent="0.3">
      <c r="K3" s="131"/>
      <c r="L3" s="131"/>
      <c r="M3" s="8"/>
      <c r="N3" s="8"/>
    </row>
    <row r="4" spans="1:14" ht="57.55" x14ac:dyDescent="0.3">
      <c r="A4" s="114" t="s">
        <v>2636</v>
      </c>
      <c r="B4" s="19" t="s">
        <v>2637</v>
      </c>
      <c r="D4" s="114" t="s">
        <v>2636</v>
      </c>
      <c r="E4" s="19" t="s">
        <v>2637</v>
      </c>
      <c r="K4" s="118" t="s">
        <v>1580</v>
      </c>
      <c r="L4" s="118" t="s">
        <v>1581</v>
      </c>
      <c r="M4" s="118" t="s">
        <v>38</v>
      </c>
      <c r="N4" s="67" t="s">
        <v>2634</v>
      </c>
    </row>
    <row r="5" spans="1:14" ht="72" x14ac:dyDescent="0.3">
      <c r="A5" s="133" t="s">
        <v>2648</v>
      </c>
      <c r="B5">
        <v>9</v>
      </c>
      <c r="D5" s="133" t="s">
        <v>2648</v>
      </c>
      <c r="E5">
        <v>9</v>
      </c>
      <c r="K5" s="8" t="s">
        <v>1589</v>
      </c>
      <c r="L5" s="119" t="s">
        <v>1590</v>
      </c>
      <c r="M5" s="140" t="s">
        <v>2653</v>
      </c>
      <c r="N5" s="141" t="s">
        <v>2654</v>
      </c>
    </row>
    <row r="6" spans="1:14" x14ac:dyDescent="0.3">
      <c r="A6" s="134">
        <v>2</v>
      </c>
      <c r="B6">
        <v>1</v>
      </c>
      <c r="D6" s="133" t="s">
        <v>2649</v>
      </c>
      <c r="E6">
        <v>51</v>
      </c>
      <c r="K6" s="8" t="s">
        <v>1591</v>
      </c>
      <c r="L6" s="119" t="s">
        <v>1592</v>
      </c>
      <c r="M6" s="139" t="s">
        <v>390</v>
      </c>
      <c r="N6" s="138"/>
    </row>
    <row r="7" spans="1:14" x14ac:dyDescent="0.3">
      <c r="A7" s="134">
        <v>4</v>
      </c>
      <c r="B7">
        <v>1</v>
      </c>
      <c r="D7" s="133" t="s">
        <v>2650</v>
      </c>
      <c r="E7">
        <v>179</v>
      </c>
      <c r="K7" s="8" t="s">
        <v>1593</v>
      </c>
      <c r="L7" s="119" t="s">
        <v>1594</v>
      </c>
      <c r="M7" s="139" t="s">
        <v>390</v>
      </c>
      <c r="N7" s="138"/>
    </row>
    <row r="8" spans="1:14" x14ac:dyDescent="0.3">
      <c r="A8" s="134">
        <v>6</v>
      </c>
      <c r="B8">
        <v>3</v>
      </c>
      <c r="D8" s="133" t="s">
        <v>2651</v>
      </c>
      <c r="E8">
        <v>524</v>
      </c>
      <c r="K8" s="8" t="s">
        <v>1595</v>
      </c>
      <c r="L8" s="119" t="s">
        <v>1596</v>
      </c>
      <c r="M8" s="139" t="s">
        <v>390</v>
      </c>
      <c r="N8" s="138"/>
    </row>
    <row r="9" spans="1:14" x14ac:dyDescent="0.3">
      <c r="A9" s="134">
        <v>7</v>
      </c>
      <c r="B9">
        <v>1</v>
      </c>
      <c r="D9" s="133" t="s">
        <v>2652</v>
      </c>
      <c r="E9">
        <v>237</v>
      </c>
      <c r="K9" s="8" t="s">
        <v>1597</v>
      </c>
      <c r="L9" s="119" t="s">
        <v>1598</v>
      </c>
      <c r="M9" s="139" t="s">
        <v>390</v>
      </c>
      <c r="N9" s="138"/>
    </row>
    <row r="10" spans="1:14" x14ac:dyDescent="0.3">
      <c r="A10" s="134">
        <v>8</v>
      </c>
      <c r="B10">
        <v>2</v>
      </c>
      <c r="D10" s="133" t="s">
        <v>1573</v>
      </c>
      <c r="E10">
        <v>1000</v>
      </c>
      <c r="K10" s="8" t="s">
        <v>1599</v>
      </c>
      <c r="L10" s="119" t="s">
        <v>1596</v>
      </c>
      <c r="M10" s="139" t="s">
        <v>390</v>
      </c>
      <c r="N10" s="138"/>
    </row>
    <row r="11" spans="1:14" x14ac:dyDescent="0.3">
      <c r="A11" s="134">
        <v>10</v>
      </c>
      <c r="B11">
        <v>1</v>
      </c>
      <c r="K11" s="8"/>
      <c r="L11" s="8"/>
      <c r="M11" s="139" t="s">
        <v>390</v>
      </c>
      <c r="N11" s="138"/>
    </row>
    <row r="12" spans="1:14" x14ac:dyDescent="0.3">
      <c r="A12" s="133" t="s">
        <v>2649</v>
      </c>
      <c r="B12">
        <v>51</v>
      </c>
      <c r="K12" s="8" t="s">
        <v>1600</v>
      </c>
      <c r="L12" s="8"/>
      <c r="M12" s="139" t="s">
        <v>390</v>
      </c>
      <c r="N12" s="138"/>
    </row>
    <row r="13" spans="1:14" x14ac:dyDescent="0.3">
      <c r="A13" s="134">
        <v>11</v>
      </c>
      <c r="B13">
        <v>1</v>
      </c>
      <c r="K13" s="8" t="s">
        <v>1601</v>
      </c>
      <c r="L13" s="8"/>
      <c r="M13" s="139" t="s">
        <v>390</v>
      </c>
      <c r="N13" s="138"/>
    </row>
    <row r="14" spans="1:14" x14ac:dyDescent="0.3">
      <c r="A14" s="134">
        <v>12</v>
      </c>
      <c r="B14">
        <v>1</v>
      </c>
    </row>
    <row r="15" spans="1:14" x14ac:dyDescent="0.3">
      <c r="A15" s="134">
        <v>13</v>
      </c>
      <c r="B15">
        <v>2</v>
      </c>
    </row>
    <row r="16" spans="1:14" x14ac:dyDescent="0.3">
      <c r="A16" s="134">
        <v>14</v>
      </c>
      <c r="B16">
        <v>1</v>
      </c>
    </row>
    <row r="17" spans="1:2" x14ac:dyDescent="0.3">
      <c r="A17" s="134">
        <v>15</v>
      </c>
      <c r="B17">
        <v>2</v>
      </c>
    </row>
    <row r="18" spans="1:2" x14ac:dyDescent="0.3">
      <c r="A18" s="134">
        <v>17</v>
      </c>
      <c r="B18">
        <v>2</v>
      </c>
    </row>
    <row r="19" spans="1:2" x14ac:dyDescent="0.3">
      <c r="A19" s="134">
        <v>18</v>
      </c>
      <c r="B19">
        <v>4</v>
      </c>
    </row>
    <row r="20" spans="1:2" x14ac:dyDescent="0.3">
      <c r="A20" s="134">
        <v>19</v>
      </c>
      <c r="B20">
        <v>3</v>
      </c>
    </row>
    <row r="21" spans="1:2" x14ac:dyDescent="0.3">
      <c r="A21" s="134">
        <v>20</v>
      </c>
      <c r="B21">
        <v>2</v>
      </c>
    </row>
    <row r="22" spans="1:2" x14ac:dyDescent="0.3">
      <c r="A22" s="134">
        <v>21</v>
      </c>
      <c r="B22">
        <v>4</v>
      </c>
    </row>
    <row r="23" spans="1:2" x14ac:dyDescent="0.3">
      <c r="A23" s="134">
        <v>23</v>
      </c>
      <c r="B23">
        <v>4</v>
      </c>
    </row>
    <row r="24" spans="1:2" x14ac:dyDescent="0.3">
      <c r="A24" s="134">
        <v>24</v>
      </c>
      <c r="B24">
        <v>1</v>
      </c>
    </row>
    <row r="25" spans="1:2" x14ac:dyDescent="0.3">
      <c r="A25" s="134">
        <v>25</v>
      </c>
      <c r="B25">
        <v>5</v>
      </c>
    </row>
    <row r="26" spans="1:2" x14ac:dyDescent="0.3">
      <c r="A26" s="134">
        <v>26</v>
      </c>
      <c r="B26">
        <v>3</v>
      </c>
    </row>
    <row r="27" spans="1:2" x14ac:dyDescent="0.3">
      <c r="A27" s="134">
        <v>27</v>
      </c>
      <c r="B27">
        <v>2</v>
      </c>
    </row>
    <row r="28" spans="1:2" x14ac:dyDescent="0.3">
      <c r="A28" s="134">
        <v>28</v>
      </c>
      <c r="B28">
        <v>6</v>
      </c>
    </row>
    <row r="29" spans="1:2" x14ac:dyDescent="0.3">
      <c r="A29" s="134">
        <v>29</v>
      </c>
      <c r="B29">
        <v>2</v>
      </c>
    </row>
    <row r="30" spans="1:2" x14ac:dyDescent="0.3">
      <c r="A30" s="134">
        <v>30</v>
      </c>
      <c r="B30">
        <v>6</v>
      </c>
    </row>
    <row r="31" spans="1:2" x14ac:dyDescent="0.3">
      <c r="A31" s="133" t="s">
        <v>2650</v>
      </c>
      <c r="B31">
        <v>179</v>
      </c>
    </row>
    <row r="32" spans="1:2" x14ac:dyDescent="0.3">
      <c r="A32" s="134">
        <v>31</v>
      </c>
      <c r="B32">
        <v>9</v>
      </c>
    </row>
    <row r="33" spans="1:2" x14ac:dyDescent="0.3">
      <c r="A33" s="134">
        <v>32</v>
      </c>
      <c r="B33">
        <v>3</v>
      </c>
    </row>
    <row r="34" spans="1:2" x14ac:dyDescent="0.3">
      <c r="A34" s="134">
        <v>33</v>
      </c>
      <c r="B34">
        <v>3</v>
      </c>
    </row>
    <row r="35" spans="1:2" x14ac:dyDescent="0.3">
      <c r="A35" s="134">
        <v>34</v>
      </c>
      <c r="B35">
        <v>2</v>
      </c>
    </row>
    <row r="36" spans="1:2" x14ac:dyDescent="0.3">
      <c r="A36" s="134">
        <v>35</v>
      </c>
      <c r="B36">
        <v>2</v>
      </c>
    </row>
    <row r="37" spans="1:2" x14ac:dyDescent="0.3">
      <c r="A37" s="134">
        <v>36</v>
      </c>
      <c r="B37">
        <v>4</v>
      </c>
    </row>
    <row r="38" spans="1:2" x14ac:dyDescent="0.3">
      <c r="A38" s="134">
        <v>37</v>
      </c>
      <c r="B38">
        <v>4</v>
      </c>
    </row>
    <row r="39" spans="1:2" x14ac:dyDescent="0.3">
      <c r="A39" s="134">
        <v>38</v>
      </c>
      <c r="B39">
        <v>5</v>
      </c>
    </row>
    <row r="40" spans="1:2" x14ac:dyDescent="0.3">
      <c r="A40" s="134">
        <v>39</v>
      </c>
      <c r="B40">
        <v>4</v>
      </c>
    </row>
    <row r="41" spans="1:2" x14ac:dyDescent="0.3">
      <c r="A41" s="134">
        <v>40</v>
      </c>
      <c r="B41">
        <v>8</v>
      </c>
    </row>
    <row r="42" spans="1:2" x14ac:dyDescent="0.3">
      <c r="A42" s="134">
        <v>41</v>
      </c>
      <c r="B42">
        <v>6</v>
      </c>
    </row>
    <row r="43" spans="1:2" x14ac:dyDescent="0.3">
      <c r="A43" s="134">
        <v>42</v>
      </c>
      <c r="B43">
        <v>3</v>
      </c>
    </row>
    <row r="44" spans="1:2" x14ac:dyDescent="0.3">
      <c r="A44" s="134">
        <v>43</v>
      </c>
      <c r="B44">
        <v>7</v>
      </c>
    </row>
    <row r="45" spans="1:2" x14ac:dyDescent="0.3">
      <c r="A45" s="134">
        <v>44</v>
      </c>
      <c r="B45">
        <v>4</v>
      </c>
    </row>
    <row r="46" spans="1:2" x14ac:dyDescent="0.3">
      <c r="A46" s="134">
        <v>45</v>
      </c>
      <c r="B46">
        <v>7</v>
      </c>
    </row>
    <row r="47" spans="1:2" x14ac:dyDescent="0.3">
      <c r="A47" s="134">
        <v>46</v>
      </c>
      <c r="B47">
        <v>2</v>
      </c>
    </row>
    <row r="48" spans="1:2" x14ac:dyDescent="0.3">
      <c r="A48" s="134">
        <v>47</v>
      </c>
      <c r="B48">
        <v>4</v>
      </c>
    </row>
    <row r="49" spans="1:2" x14ac:dyDescent="0.3">
      <c r="A49" s="134">
        <v>48</v>
      </c>
      <c r="B49">
        <v>5</v>
      </c>
    </row>
    <row r="50" spans="1:2" x14ac:dyDescent="0.3">
      <c r="A50" s="134">
        <v>49</v>
      </c>
      <c r="B50">
        <v>8</v>
      </c>
    </row>
    <row r="51" spans="1:2" x14ac:dyDescent="0.3">
      <c r="A51" s="134">
        <v>50</v>
      </c>
      <c r="B51">
        <v>9</v>
      </c>
    </row>
    <row r="52" spans="1:2" x14ac:dyDescent="0.3">
      <c r="A52" s="134">
        <v>51</v>
      </c>
      <c r="B52">
        <v>4</v>
      </c>
    </row>
    <row r="53" spans="1:2" x14ac:dyDescent="0.3">
      <c r="A53" s="134">
        <v>52</v>
      </c>
      <c r="B53">
        <v>8</v>
      </c>
    </row>
    <row r="54" spans="1:2" x14ac:dyDescent="0.3">
      <c r="A54" s="134">
        <v>53</v>
      </c>
      <c r="B54">
        <v>6</v>
      </c>
    </row>
    <row r="55" spans="1:2" x14ac:dyDescent="0.3">
      <c r="A55" s="134">
        <v>54</v>
      </c>
      <c r="B55">
        <v>8</v>
      </c>
    </row>
    <row r="56" spans="1:2" x14ac:dyDescent="0.3">
      <c r="A56" s="134">
        <v>55</v>
      </c>
      <c r="B56">
        <v>10</v>
      </c>
    </row>
    <row r="57" spans="1:2" x14ac:dyDescent="0.3">
      <c r="A57" s="134">
        <v>56</v>
      </c>
      <c r="B57">
        <v>13</v>
      </c>
    </row>
    <row r="58" spans="1:2" x14ac:dyDescent="0.3">
      <c r="A58" s="134">
        <v>57</v>
      </c>
      <c r="B58">
        <v>4</v>
      </c>
    </row>
    <row r="59" spans="1:2" x14ac:dyDescent="0.3">
      <c r="A59" s="134">
        <v>58</v>
      </c>
      <c r="B59">
        <v>8</v>
      </c>
    </row>
    <row r="60" spans="1:2" x14ac:dyDescent="0.3">
      <c r="A60" s="134">
        <v>59</v>
      </c>
      <c r="B60">
        <v>9</v>
      </c>
    </row>
    <row r="61" spans="1:2" x14ac:dyDescent="0.3">
      <c r="A61" s="134">
        <v>60</v>
      </c>
      <c r="B61">
        <v>10</v>
      </c>
    </row>
    <row r="62" spans="1:2" x14ac:dyDescent="0.3">
      <c r="A62" s="133" t="s">
        <v>2651</v>
      </c>
      <c r="B62">
        <v>524</v>
      </c>
    </row>
    <row r="63" spans="1:2" x14ac:dyDescent="0.3">
      <c r="A63" s="134">
        <v>61</v>
      </c>
      <c r="B63">
        <v>10</v>
      </c>
    </row>
    <row r="64" spans="1:2" x14ac:dyDescent="0.3">
      <c r="A64" s="134">
        <v>62</v>
      </c>
      <c r="B64">
        <v>8</v>
      </c>
    </row>
    <row r="65" spans="1:2" x14ac:dyDescent="0.3">
      <c r="A65" s="134">
        <v>63</v>
      </c>
      <c r="B65">
        <v>15</v>
      </c>
    </row>
    <row r="66" spans="1:2" x14ac:dyDescent="0.3">
      <c r="A66" s="134">
        <v>64</v>
      </c>
      <c r="B66">
        <v>12</v>
      </c>
    </row>
    <row r="67" spans="1:2" x14ac:dyDescent="0.3">
      <c r="A67" s="134">
        <v>65</v>
      </c>
      <c r="B67">
        <v>6</v>
      </c>
    </row>
    <row r="68" spans="1:2" x14ac:dyDescent="0.3">
      <c r="A68" s="134">
        <v>66</v>
      </c>
      <c r="B68">
        <v>5</v>
      </c>
    </row>
    <row r="69" spans="1:2" x14ac:dyDescent="0.3">
      <c r="A69" s="134">
        <v>67</v>
      </c>
      <c r="B69">
        <v>12</v>
      </c>
    </row>
    <row r="70" spans="1:2" x14ac:dyDescent="0.3">
      <c r="A70" s="134">
        <v>68</v>
      </c>
      <c r="B70">
        <v>5</v>
      </c>
    </row>
    <row r="71" spans="1:2" x14ac:dyDescent="0.3">
      <c r="A71" s="134">
        <v>69</v>
      </c>
      <c r="B71">
        <v>13</v>
      </c>
    </row>
    <row r="72" spans="1:2" x14ac:dyDescent="0.3">
      <c r="A72" s="134">
        <v>70</v>
      </c>
      <c r="B72">
        <v>8</v>
      </c>
    </row>
    <row r="73" spans="1:2" x14ac:dyDescent="0.3">
      <c r="A73" s="134">
        <v>71</v>
      </c>
      <c r="B73">
        <v>10</v>
      </c>
    </row>
    <row r="74" spans="1:2" x14ac:dyDescent="0.3">
      <c r="A74" s="134">
        <v>72</v>
      </c>
      <c r="B74">
        <v>8</v>
      </c>
    </row>
    <row r="75" spans="1:2" x14ac:dyDescent="0.3">
      <c r="A75" s="134">
        <v>73</v>
      </c>
      <c r="B75">
        <v>11</v>
      </c>
    </row>
    <row r="76" spans="1:2" x14ac:dyDescent="0.3">
      <c r="A76" s="134">
        <v>74</v>
      </c>
      <c r="B76">
        <v>10</v>
      </c>
    </row>
    <row r="77" spans="1:2" x14ac:dyDescent="0.3">
      <c r="A77" s="134">
        <v>75</v>
      </c>
      <c r="B77">
        <v>13</v>
      </c>
    </row>
    <row r="78" spans="1:2" x14ac:dyDescent="0.3">
      <c r="A78" s="134">
        <v>76</v>
      </c>
      <c r="B78">
        <v>11</v>
      </c>
    </row>
    <row r="79" spans="1:2" x14ac:dyDescent="0.3">
      <c r="A79" s="134">
        <v>77</v>
      </c>
      <c r="B79">
        <v>3</v>
      </c>
    </row>
    <row r="80" spans="1:2" x14ac:dyDescent="0.3">
      <c r="A80" s="134">
        <v>78</v>
      </c>
      <c r="B80">
        <v>11</v>
      </c>
    </row>
    <row r="81" spans="1:2" x14ac:dyDescent="0.3">
      <c r="A81" s="134">
        <v>79</v>
      </c>
      <c r="B81">
        <v>6</v>
      </c>
    </row>
    <row r="82" spans="1:2" x14ac:dyDescent="0.3">
      <c r="A82" s="134">
        <v>80</v>
      </c>
      <c r="B82">
        <v>11</v>
      </c>
    </row>
    <row r="83" spans="1:2" x14ac:dyDescent="0.3">
      <c r="A83" s="134">
        <v>81</v>
      </c>
      <c r="B83">
        <v>14</v>
      </c>
    </row>
    <row r="84" spans="1:2" x14ac:dyDescent="0.3">
      <c r="A84" s="134">
        <v>82</v>
      </c>
      <c r="B84">
        <v>6</v>
      </c>
    </row>
    <row r="85" spans="1:2" x14ac:dyDescent="0.3">
      <c r="A85" s="134">
        <v>83</v>
      </c>
      <c r="B85">
        <v>3</v>
      </c>
    </row>
    <row r="86" spans="1:2" x14ac:dyDescent="0.3">
      <c r="A86" s="134">
        <v>84</v>
      </c>
      <c r="B86">
        <v>11</v>
      </c>
    </row>
    <row r="87" spans="1:2" x14ac:dyDescent="0.3">
      <c r="A87" s="134">
        <v>85</v>
      </c>
      <c r="B87">
        <v>5</v>
      </c>
    </row>
    <row r="88" spans="1:2" x14ac:dyDescent="0.3">
      <c r="A88" s="134">
        <v>86</v>
      </c>
      <c r="B88">
        <v>6</v>
      </c>
    </row>
    <row r="89" spans="1:2" x14ac:dyDescent="0.3">
      <c r="A89" s="134">
        <v>87</v>
      </c>
      <c r="B89">
        <v>6</v>
      </c>
    </row>
    <row r="90" spans="1:2" x14ac:dyDescent="0.3">
      <c r="A90" s="134">
        <v>88</v>
      </c>
      <c r="B90">
        <v>9</v>
      </c>
    </row>
    <row r="91" spans="1:2" x14ac:dyDescent="0.3">
      <c r="A91" s="134">
        <v>89</v>
      </c>
      <c r="B91">
        <v>14</v>
      </c>
    </row>
    <row r="92" spans="1:2" x14ac:dyDescent="0.3">
      <c r="A92" s="134">
        <v>90</v>
      </c>
      <c r="B92">
        <v>10</v>
      </c>
    </row>
    <row r="93" spans="1:2" x14ac:dyDescent="0.3">
      <c r="A93" s="134">
        <v>91</v>
      </c>
      <c r="B93">
        <v>6</v>
      </c>
    </row>
    <row r="94" spans="1:2" x14ac:dyDescent="0.3">
      <c r="A94" s="134">
        <v>92</v>
      </c>
      <c r="B94">
        <v>3</v>
      </c>
    </row>
    <row r="95" spans="1:2" x14ac:dyDescent="0.3">
      <c r="A95" s="134">
        <v>93</v>
      </c>
      <c r="B95">
        <v>8</v>
      </c>
    </row>
    <row r="96" spans="1:2" x14ac:dyDescent="0.3">
      <c r="A96" s="134">
        <v>94</v>
      </c>
      <c r="B96">
        <v>10</v>
      </c>
    </row>
    <row r="97" spans="1:2" x14ac:dyDescent="0.3">
      <c r="A97" s="134">
        <v>95</v>
      </c>
      <c r="B97">
        <v>15</v>
      </c>
    </row>
    <row r="98" spans="1:2" x14ac:dyDescent="0.3">
      <c r="A98" s="134">
        <v>96</v>
      </c>
      <c r="B98">
        <v>15</v>
      </c>
    </row>
    <row r="99" spans="1:2" x14ac:dyDescent="0.3">
      <c r="A99" s="134">
        <v>97</v>
      </c>
      <c r="B99">
        <v>4</v>
      </c>
    </row>
    <row r="100" spans="1:2" x14ac:dyDescent="0.3">
      <c r="A100" s="134">
        <v>98</v>
      </c>
      <c r="B100">
        <v>5</v>
      </c>
    </row>
    <row r="101" spans="1:2" x14ac:dyDescent="0.3">
      <c r="A101" s="134">
        <v>99</v>
      </c>
      <c r="B101">
        <v>8</v>
      </c>
    </row>
    <row r="102" spans="1:2" x14ac:dyDescent="0.3">
      <c r="A102" s="134">
        <v>100</v>
      </c>
      <c r="B102">
        <v>8</v>
      </c>
    </row>
    <row r="103" spans="1:2" x14ac:dyDescent="0.3">
      <c r="A103" s="134">
        <v>101</v>
      </c>
      <c r="B103">
        <v>9</v>
      </c>
    </row>
    <row r="104" spans="1:2" x14ac:dyDescent="0.3">
      <c r="A104" s="134">
        <v>102</v>
      </c>
      <c r="B104">
        <v>9</v>
      </c>
    </row>
    <row r="105" spans="1:2" x14ac:dyDescent="0.3">
      <c r="A105" s="134">
        <v>103</v>
      </c>
      <c r="B105">
        <v>15</v>
      </c>
    </row>
    <row r="106" spans="1:2" x14ac:dyDescent="0.3">
      <c r="A106" s="134">
        <v>104</v>
      </c>
      <c r="B106">
        <v>9</v>
      </c>
    </row>
    <row r="107" spans="1:2" x14ac:dyDescent="0.3">
      <c r="A107" s="134">
        <v>105</v>
      </c>
      <c r="B107">
        <v>9</v>
      </c>
    </row>
    <row r="108" spans="1:2" x14ac:dyDescent="0.3">
      <c r="A108" s="134">
        <v>106</v>
      </c>
      <c r="B108">
        <v>9</v>
      </c>
    </row>
    <row r="109" spans="1:2" x14ac:dyDescent="0.3">
      <c r="A109" s="134">
        <v>107</v>
      </c>
      <c r="B109">
        <v>11</v>
      </c>
    </row>
    <row r="110" spans="1:2" x14ac:dyDescent="0.3">
      <c r="A110" s="134">
        <v>108</v>
      </c>
      <c r="B110">
        <v>10</v>
      </c>
    </row>
    <row r="111" spans="1:2" x14ac:dyDescent="0.3">
      <c r="A111" s="134">
        <v>109</v>
      </c>
      <c r="B111">
        <v>8</v>
      </c>
    </row>
    <row r="112" spans="1:2" x14ac:dyDescent="0.3">
      <c r="A112" s="134">
        <v>110</v>
      </c>
      <c r="B112">
        <v>12</v>
      </c>
    </row>
    <row r="113" spans="1:2" x14ac:dyDescent="0.3">
      <c r="A113" s="134">
        <v>111</v>
      </c>
      <c r="B113">
        <v>11</v>
      </c>
    </row>
    <row r="114" spans="1:2" x14ac:dyDescent="0.3">
      <c r="A114" s="134">
        <v>112</v>
      </c>
      <c r="B114">
        <v>2</v>
      </c>
    </row>
    <row r="115" spans="1:2" x14ac:dyDescent="0.3">
      <c r="A115" s="134">
        <v>113</v>
      </c>
      <c r="B115">
        <v>10</v>
      </c>
    </row>
    <row r="116" spans="1:2" x14ac:dyDescent="0.3">
      <c r="A116" s="134">
        <v>114</v>
      </c>
      <c r="B116">
        <v>10</v>
      </c>
    </row>
    <row r="117" spans="1:2" x14ac:dyDescent="0.3">
      <c r="A117" s="134">
        <v>115</v>
      </c>
      <c r="B117">
        <v>7</v>
      </c>
    </row>
    <row r="118" spans="1:2" x14ac:dyDescent="0.3">
      <c r="A118" s="134">
        <v>116</v>
      </c>
      <c r="B118">
        <v>6</v>
      </c>
    </row>
    <row r="119" spans="1:2" x14ac:dyDescent="0.3">
      <c r="A119" s="134">
        <v>117</v>
      </c>
      <c r="B119">
        <v>6</v>
      </c>
    </row>
    <row r="120" spans="1:2" x14ac:dyDescent="0.3">
      <c r="A120" s="134">
        <v>118</v>
      </c>
      <c r="B120">
        <v>3</v>
      </c>
    </row>
    <row r="121" spans="1:2" x14ac:dyDescent="0.3">
      <c r="A121" s="134">
        <v>119</v>
      </c>
      <c r="B121">
        <v>7</v>
      </c>
    </row>
    <row r="122" spans="1:2" x14ac:dyDescent="0.3">
      <c r="A122" s="134">
        <v>120</v>
      </c>
      <c r="B122">
        <v>7</v>
      </c>
    </row>
    <row r="123" spans="1:2" x14ac:dyDescent="0.3">
      <c r="A123" s="133" t="s">
        <v>2652</v>
      </c>
      <c r="B123">
        <v>237</v>
      </c>
    </row>
    <row r="124" spans="1:2" x14ac:dyDescent="0.3">
      <c r="A124" s="134">
        <v>121</v>
      </c>
      <c r="B124">
        <v>3</v>
      </c>
    </row>
    <row r="125" spans="1:2" x14ac:dyDescent="0.3">
      <c r="A125" s="134">
        <v>122</v>
      </c>
      <c r="B125">
        <v>2</v>
      </c>
    </row>
    <row r="126" spans="1:2" x14ac:dyDescent="0.3">
      <c r="A126" s="134">
        <v>123</v>
      </c>
      <c r="B126">
        <v>7</v>
      </c>
    </row>
    <row r="127" spans="1:2" x14ac:dyDescent="0.3">
      <c r="A127" s="134">
        <v>124</v>
      </c>
      <c r="B127">
        <v>11</v>
      </c>
    </row>
    <row r="128" spans="1:2" x14ac:dyDescent="0.3">
      <c r="A128" s="134">
        <v>125</v>
      </c>
      <c r="B128">
        <v>5</v>
      </c>
    </row>
    <row r="129" spans="1:2" x14ac:dyDescent="0.3">
      <c r="A129" s="134">
        <v>126</v>
      </c>
      <c r="B129">
        <v>11</v>
      </c>
    </row>
    <row r="130" spans="1:2" x14ac:dyDescent="0.3">
      <c r="A130" s="134">
        <v>127</v>
      </c>
      <c r="B130">
        <v>9</v>
      </c>
    </row>
    <row r="131" spans="1:2" x14ac:dyDescent="0.3">
      <c r="A131" s="134">
        <v>128</v>
      </c>
      <c r="B131">
        <v>8</v>
      </c>
    </row>
    <row r="132" spans="1:2" x14ac:dyDescent="0.3">
      <c r="A132" s="134">
        <v>129</v>
      </c>
      <c r="B132">
        <v>4</v>
      </c>
    </row>
    <row r="133" spans="1:2" x14ac:dyDescent="0.3">
      <c r="A133" s="134">
        <v>130</v>
      </c>
      <c r="B133">
        <v>6</v>
      </c>
    </row>
    <row r="134" spans="1:2" x14ac:dyDescent="0.3">
      <c r="A134" s="134">
        <v>131</v>
      </c>
      <c r="B134">
        <v>11</v>
      </c>
    </row>
    <row r="135" spans="1:2" x14ac:dyDescent="0.3">
      <c r="A135" s="134">
        <v>132</v>
      </c>
      <c r="B135">
        <v>7</v>
      </c>
    </row>
    <row r="136" spans="1:2" x14ac:dyDescent="0.3">
      <c r="A136" s="134">
        <v>133</v>
      </c>
      <c r="B136">
        <v>8</v>
      </c>
    </row>
    <row r="137" spans="1:2" x14ac:dyDescent="0.3">
      <c r="A137" s="134">
        <v>134</v>
      </c>
      <c r="B137">
        <v>6</v>
      </c>
    </row>
    <row r="138" spans="1:2" x14ac:dyDescent="0.3">
      <c r="A138" s="134">
        <v>135</v>
      </c>
      <c r="B138">
        <v>7</v>
      </c>
    </row>
    <row r="139" spans="1:2" x14ac:dyDescent="0.3">
      <c r="A139" s="134">
        <v>136</v>
      </c>
      <c r="B139">
        <v>2</v>
      </c>
    </row>
    <row r="140" spans="1:2" x14ac:dyDescent="0.3">
      <c r="A140" s="134">
        <v>137</v>
      </c>
      <c r="B140">
        <v>9</v>
      </c>
    </row>
    <row r="141" spans="1:2" x14ac:dyDescent="0.3">
      <c r="A141" s="134">
        <v>138</v>
      </c>
      <c r="B141">
        <v>6</v>
      </c>
    </row>
    <row r="142" spans="1:2" x14ac:dyDescent="0.3">
      <c r="A142" s="134">
        <v>139</v>
      </c>
      <c r="B142">
        <v>8</v>
      </c>
    </row>
    <row r="143" spans="1:2" x14ac:dyDescent="0.3">
      <c r="A143" s="134">
        <v>140</v>
      </c>
      <c r="B143">
        <v>3</v>
      </c>
    </row>
    <row r="144" spans="1:2" x14ac:dyDescent="0.3">
      <c r="A144" s="134">
        <v>141</v>
      </c>
      <c r="B144">
        <v>5</v>
      </c>
    </row>
    <row r="145" spans="1:2" x14ac:dyDescent="0.3">
      <c r="A145" s="134">
        <v>142</v>
      </c>
      <c r="B145">
        <v>6</v>
      </c>
    </row>
    <row r="146" spans="1:2" x14ac:dyDescent="0.3">
      <c r="A146" s="134">
        <v>143</v>
      </c>
      <c r="B146">
        <v>5</v>
      </c>
    </row>
    <row r="147" spans="1:2" x14ac:dyDescent="0.3">
      <c r="A147" s="134">
        <v>144</v>
      </c>
      <c r="B147">
        <v>8</v>
      </c>
    </row>
    <row r="148" spans="1:2" x14ac:dyDescent="0.3">
      <c r="A148" s="134">
        <v>145</v>
      </c>
      <c r="B148">
        <v>3</v>
      </c>
    </row>
    <row r="149" spans="1:2" x14ac:dyDescent="0.3">
      <c r="A149" s="134">
        <v>146</v>
      </c>
      <c r="B149">
        <v>4</v>
      </c>
    </row>
    <row r="150" spans="1:2" x14ac:dyDescent="0.3">
      <c r="A150" s="134">
        <v>147</v>
      </c>
      <c r="B150">
        <v>6</v>
      </c>
    </row>
    <row r="151" spans="1:2" x14ac:dyDescent="0.3">
      <c r="A151" s="134">
        <v>148</v>
      </c>
      <c r="B151">
        <v>1</v>
      </c>
    </row>
    <row r="152" spans="1:2" x14ac:dyDescent="0.3">
      <c r="A152" s="134">
        <v>149</v>
      </c>
      <c r="B152">
        <v>5</v>
      </c>
    </row>
    <row r="153" spans="1:2" x14ac:dyDescent="0.3">
      <c r="A153" s="134">
        <v>150</v>
      </c>
      <c r="B153">
        <v>3</v>
      </c>
    </row>
    <row r="154" spans="1:2" x14ac:dyDescent="0.3">
      <c r="A154" s="134">
        <v>151</v>
      </c>
      <c r="B154">
        <v>5</v>
      </c>
    </row>
    <row r="155" spans="1:2" x14ac:dyDescent="0.3">
      <c r="A155" s="134">
        <v>152</v>
      </c>
      <c r="B155">
        <v>4</v>
      </c>
    </row>
    <row r="156" spans="1:2" x14ac:dyDescent="0.3">
      <c r="A156" s="134">
        <v>153</v>
      </c>
      <c r="B156">
        <v>3</v>
      </c>
    </row>
    <row r="157" spans="1:2" x14ac:dyDescent="0.3">
      <c r="A157" s="134">
        <v>154</v>
      </c>
      <c r="B157">
        <v>5</v>
      </c>
    </row>
    <row r="158" spans="1:2" x14ac:dyDescent="0.3">
      <c r="A158" s="134">
        <v>155</v>
      </c>
      <c r="B158">
        <v>9</v>
      </c>
    </row>
    <row r="159" spans="1:2" x14ac:dyDescent="0.3">
      <c r="A159" s="134">
        <v>156</v>
      </c>
      <c r="B159">
        <v>3</v>
      </c>
    </row>
    <row r="160" spans="1:2" x14ac:dyDescent="0.3">
      <c r="A160" s="134">
        <v>157</v>
      </c>
      <c r="B160">
        <v>2</v>
      </c>
    </row>
    <row r="161" spans="1:2" x14ac:dyDescent="0.3">
      <c r="A161" s="134">
        <v>158</v>
      </c>
      <c r="B161">
        <v>6</v>
      </c>
    </row>
    <row r="162" spans="1:2" x14ac:dyDescent="0.3">
      <c r="A162" s="134">
        <v>159</v>
      </c>
      <c r="B162">
        <v>3</v>
      </c>
    </row>
    <row r="163" spans="1:2" x14ac:dyDescent="0.3">
      <c r="A163" s="134">
        <v>160</v>
      </c>
      <c r="B163">
        <v>2</v>
      </c>
    </row>
    <row r="164" spans="1:2" x14ac:dyDescent="0.3">
      <c r="A164" s="134">
        <v>162</v>
      </c>
      <c r="B164">
        <v>1</v>
      </c>
    </row>
    <row r="165" spans="1:2" x14ac:dyDescent="0.3">
      <c r="A165" s="134">
        <v>163</v>
      </c>
      <c r="B165">
        <v>2</v>
      </c>
    </row>
    <row r="166" spans="1:2" x14ac:dyDescent="0.3">
      <c r="A166" s="134">
        <v>164</v>
      </c>
      <c r="B166">
        <v>2</v>
      </c>
    </row>
    <row r="167" spans="1:2" x14ac:dyDescent="0.3">
      <c r="A167" s="134">
        <v>165</v>
      </c>
      <c r="B167">
        <v>3</v>
      </c>
    </row>
    <row r="168" spans="1:2" x14ac:dyDescent="0.3">
      <c r="A168" s="134">
        <v>166</v>
      </c>
      <c r="B168">
        <v>2</v>
      </c>
    </row>
    <row r="169" spans="1:2" x14ac:dyDescent="0.3">
      <c r="A169" s="134">
        <v>168</v>
      </c>
      <c r="B169">
        <v>2</v>
      </c>
    </row>
    <row r="170" spans="1:2" x14ac:dyDescent="0.3">
      <c r="A170" s="134">
        <v>171</v>
      </c>
      <c r="B170">
        <v>1</v>
      </c>
    </row>
    <row r="171" spans="1:2" x14ac:dyDescent="0.3">
      <c r="A171" s="134">
        <v>172</v>
      </c>
      <c r="B171">
        <v>1</v>
      </c>
    </row>
    <row r="172" spans="1:2" x14ac:dyDescent="0.3">
      <c r="A172" s="134">
        <v>173</v>
      </c>
      <c r="B172">
        <v>1</v>
      </c>
    </row>
    <row r="173" spans="1:2" x14ac:dyDescent="0.3">
      <c r="A173" s="134">
        <v>176</v>
      </c>
      <c r="B173">
        <v>1</v>
      </c>
    </row>
    <row r="174" spans="1:2" x14ac:dyDescent="0.3">
      <c r="A174" s="133" t="s">
        <v>1573</v>
      </c>
      <c r="B174">
        <v>1000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6EEB-5418-4F83-AE8C-2D4D30245540}">
  <dimension ref="A2:N54"/>
  <sheetViews>
    <sheetView zoomScaleNormal="100" workbookViewId="0">
      <selection activeCell="D2" sqref="D2"/>
    </sheetView>
  </sheetViews>
  <sheetFormatPr defaultRowHeight="14.2" x14ac:dyDescent="0.3"/>
  <cols>
    <col min="1" max="1" width="12.3984375" customWidth="1"/>
    <col min="2" max="2" width="11.3984375" customWidth="1"/>
    <col min="3" max="3" width="7.3984375" customWidth="1"/>
    <col min="4" max="4" width="7.796875" customWidth="1"/>
    <col min="5" max="5" width="10.69921875" customWidth="1"/>
    <col min="6" max="6" width="8.3984375" customWidth="1"/>
    <col min="7" max="7" width="7.09765625" customWidth="1"/>
    <col min="8" max="8" width="8.3984375" customWidth="1"/>
    <col min="9" max="9" width="10.59765625" customWidth="1"/>
    <col min="11" max="11" width="54.69921875" customWidth="1"/>
    <col min="12" max="12" width="60.09765625" customWidth="1"/>
    <col min="13" max="13" width="76.3984375" customWidth="1"/>
    <col min="14" max="14" width="5.796875" customWidth="1"/>
  </cols>
  <sheetData>
    <row r="2" spans="1:14" ht="72" x14ac:dyDescent="0.3">
      <c r="A2" t="s">
        <v>2679</v>
      </c>
      <c r="K2" s="8"/>
      <c r="L2" s="132" t="s">
        <v>2635</v>
      </c>
      <c r="M2" s="6" t="s">
        <v>2638</v>
      </c>
      <c r="N2" s="8"/>
    </row>
    <row r="3" spans="1:14" ht="14.5" x14ac:dyDescent="0.3">
      <c r="G3" t="s">
        <v>2669</v>
      </c>
      <c r="K3" s="131"/>
      <c r="L3" s="131"/>
      <c r="M3" s="8"/>
      <c r="N3" s="8"/>
    </row>
    <row r="4" spans="1:14" ht="43.25" x14ac:dyDescent="0.3">
      <c r="A4" s="114" t="s">
        <v>2636</v>
      </c>
      <c r="B4" s="19" t="s">
        <v>2637</v>
      </c>
      <c r="K4" s="118" t="s">
        <v>1580</v>
      </c>
      <c r="L4" s="118" t="s">
        <v>1581</v>
      </c>
      <c r="M4" s="118" t="s">
        <v>38</v>
      </c>
      <c r="N4" s="67" t="s">
        <v>2634</v>
      </c>
    </row>
    <row r="5" spans="1:14" ht="57.55" x14ac:dyDescent="0.3">
      <c r="A5" s="133" t="s">
        <v>2655</v>
      </c>
      <c r="B5">
        <v>79</v>
      </c>
      <c r="K5" s="8" t="s">
        <v>1591</v>
      </c>
      <c r="L5" s="119" t="s">
        <v>1592</v>
      </c>
      <c r="M5" s="140" t="s">
        <v>2667</v>
      </c>
      <c r="N5" s="138"/>
    </row>
    <row r="6" spans="1:14" ht="70.900000000000006" x14ac:dyDescent="0.3">
      <c r="A6" s="133" t="s">
        <v>2656</v>
      </c>
      <c r="B6">
        <v>66</v>
      </c>
      <c r="K6" s="8" t="s">
        <v>1593</v>
      </c>
      <c r="L6" s="119" t="s">
        <v>1594</v>
      </c>
      <c r="M6" s="140" t="s">
        <v>2675</v>
      </c>
      <c r="N6" s="141" t="s">
        <v>2676</v>
      </c>
    </row>
    <row r="7" spans="1:14" ht="56.7" x14ac:dyDescent="0.3">
      <c r="A7" s="133" t="s">
        <v>2657</v>
      </c>
      <c r="B7">
        <v>155</v>
      </c>
      <c r="K7" s="8" t="s">
        <v>1595</v>
      </c>
      <c r="L7" s="119" t="s">
        <v>1596</v>
      </c>
      <c r="M7" s="140" t="s">
        <v>2689</v>
      </c>
      <c r="N7" s="138" t="s">
        <v>2693</v>
      </c>
    </row>
    <row r="8" spans="1:14" x14ac:dyDescent="0.3">
      <c r="A8" s="133" t="s">
        <v>2658</v>
      </c>
      <c r="B8">
        <v>136</v>
      </c>
    </row>
    <row r="9" spans="1:14" x14ac:dyDescent="0.3">
      <c r="A9" s="133" t="s">
        <v>2659</v>
      </c>
      <c r="B9">
        <v>83</v>
      </c>
    </row>
    <row r="10" spans="1:14" x14ac:dyDescent="0.3">
      <c r="A10" s="133" t="s">
        <v>2660</v>
      </c>
      <c r="B10">
        <v>67</v>
      </c>
    </row>
    <row r="11" spans="1:14" x14ac:dyDescent="0.3">
      <c r="A11" s="133" t="s">
        <v>2661</v>
      </c>
      <c r="B11">
        <v>64</v>
      </c>
    </row>
    <row r="12" spans="1:14" x14ac:dyDescent="0.3">
      <c r="A12" s="133" t="s">
        <v>2662</v>
      </c>
      <c r="B12">
        <v>50</v>
      </c>
    </row>
    <row r="13" spans="1:14" x14ac:dyDescent="0.3">
      <c r="A13" s="133" t="s">
        <v>2663</v>
      </c>
      <c r="B13">
        <v>76</v>
      </c>
    </row>
    <row r="14" spans="1:14" x14ac:dyDescent="0.3">
      <c r="A14" s="133" t="s">
        <v>2664</v>
      </c>
      <c r="B14">
        <v>114</v>
      </c>
    </row>
    <row r="15" spans="1:14" x14ac:dyDescent="0.3">
      <c r="A15" s="133" t="s">
        <v>2665</v>
      </c>
      <c r="B15">
        <v>57</v>
      </c>
    </row>
    <row r="16" spans="1:14" x14ac:dyDescent="0.3">
      <c r="A16" s="133" t="s">
        <v>2666</v>
      </c>
      <c r="B16">
        <v>53</v>
      </c>
    </row>
    <row r="17" spans="1:11" x14ac:dyDescent="0.3">
      <c r="A17" s="133" t="s">
        <v>1573</v>
      </c>
      <c r="B17">
        <v>1000</v>
      </c>
    </row>
    <row r="22" spans="1:11" x14ac:dyDescent="0.3">
      <c r="A22" t="s">
        <v>2678</v>
      </c>
    </row>
    <row r="25" spans="1:11" ht="42.55" x14ac:dyDescent="0.3">
      <c r="A25" s="114" t="s">
        <v>2636</v>
      </c>
      <c r="B25" s="19" t="s">
        <v>2642</v>
      </c>
      <c r="K25" t="s">
        <v>2674</v>
      </c>
    </row>
    <row r="26" spans="1:11" x14ac:dyDescent="0.3">
      <c r="A26" s="133">
        <v>2023</v>
      </c>
      <c r="B26" s="37"/>
    </row>
    <row r="27" spans="1:11" x14ac:dyDescent="0.3">
      <c r="A27" s="134" t="s">
        <v>2655</v>
      </c>
      <c r="B27" s="143">
        <v>7790</v>
      </c>
      <c r="F27" t="s">
        <v>2668</v>
      </c>
    </row>
    <row r="28" spans="1:11" x14ac:dyDescent="0.3">
      <c r="A28" s="134" t="s">
        <v>2656</v>
      </c>
      <c r="B28" s="37">
        <v>13912</v>
      </c>
    </row>
    <row r="29" spans="1:11" x14ac:dyDescent="0.3">
      <c r="A29" s="134" t="s">
        <v>2657</v>
      </c>
      <c r="B29" s="37">
        <v>28475</v>
      </c>
    </row>
    <row r="30" spans="1:11" x14ac:dyDescent="0.3">
      <c r="A30" s="134" t="s">
        <v>2658</v>
      </c>
      <c r="B30" s="37">
        <v>42011</v>
      </c>
    </row>
    <row r="31" spans="1:11" x14ac:dyDescent="0.3">
      <c r="A31" s="134" t="s">
        <v>2659</v>
      </c>
      <c r="B31" s="37">
        <v>50182</v>
      </c>
    </row>
    <row r="32" spans="1:11" x14ac:dyDescent="0.3">
      <c r="A32" s="134" t="s">
        <v>2660</v>
      </c>
      <c r="B32" s="37">
        <v>56075</v>
      </c>
    </row>
    <row r="33" spans="1:11" x14ac:dyDescent="0.3">
      <c r="A33" s="133">
        <v>2024</v>
      </c>
      <c r="B33" s="37"/>
    </row>
    <row r="34" spans="1:11" x14ac:dyDescent="0.3">
      <c r="A34" s="134" t="s">
        <v>2661</v>
      </c>
      <c r="B34" s="37">
        <v>6007</v>
      </c>
    </row>
    <row r="35" spans="1:11" x14ac:dyDescent="0.3">
      <c r="A35" s="134" t="s">
        <v>2662</v>
      </c>
      <c r="B35" s="37">
        <v>10957</v>
      </c>
    </row>
    <row r="36" spans="1:11" x14ac:dyDescent="0.3">
      <c r="A36" s="134" t="s">
        <v>2663</v>
      </c>
      <c r="B36" s="37">
        <v>17646</v>
      </c>
    </row>
    <row r="37" spans="1:11" x14ac:dyDescent="0.3">
      <c r="A37" s="134" t="s">
        <v>2664</v>
      </c>
      <c r="B37" s="37">
        <v>28521</v>
      </c>
    </row>
    <row r="38" spans="1:11" x14ac:dyDescent="0.3">
      <c r="A38" s="134" t="s">
        <v>2665</v>
      </c>
      <c r="B38" s="37">
        <v>35296</v>
      </c>
    </row>
    <row r="39" spans="1:11" x14ac:dyDescent="0.3">
      <c r="A39" s="134" t="s">
        <v>2666</v>
      </c>
      <c r="B39" s="37">
        <v>40548</v>
      </c>
    </row>
    <row r="40" spans="1:11" x14ac:dyDescent="0.3">
      <c r="A40" s="133" t="s">
        <v>1573</v>
      </c>
      <c r="B40" s="37"/>
    </row>
    <row r="43" spans="1:11" x14ac:dyDescent="0.3">
      <c r="A43" t="s">
        <v>2680</v>
      </c>
      <c r="C43" s="97" t="s">
        <v>2690</v>
      </c>
      <c r="D43" s="97"/>
      <c r="E43" s="97"/>
      <c r="F43" s="97"/>
      <c r="G43" s="97"/>
      <c r="H43" s="97"/>
      <c r="I43" s="97" t="s">
        <v>2691</v>
      </c>
      <c r="J43" s="97"/>
    </row>
    <row r="45" spans="1:11" x14ac:dyDescent="0.3">
      <c r="A45" s="114" t="s">
        <v>2637</v>
      </c>
      <c r="B45" s="114" t="s">
        <v>2681</v>
      </c>
    </row>
    <row r="46" spans="1:11" x14ac:dyDescent="0.3">
      <c r="A46" s="114" t="s">
        <v>2636</v>
      </c>
      <c r="B46" t="s">
        <v>2682</v>
      </c>
      <c r="C46" t="s">
        <v>2683</v>
      </c>
      <c r="D46" t="s">
        <v>2684</v>
      </c>
      <c r="E46" t="s">
        <v>2685</v>
      </c>
      <c r="F46" t="s">
        <v>2686</v>
      </c>
      <c r="G46" t="s">
        <v>413</v>
      </c>
      <c r="H46" t="s">
        <v>2687</v>
      </c>
      <c r="I46" t="s">
        <v>1573</v>
      </c>
    </row>
    <row r="47" spans="1:11" x14ac:dyDescent="0.3">
      <c r="A47" s="133" t="s">
        <v>1621</v>
      </c>
      <c r="B47" s="145">
        <v>0.19047619047619047</v>
      </c>
      <c r="C47" s="145">
        <v>0.15873015873015872</v>
      </c>
      <c r="D47" s="145">
        <v>6.8783068783068779E-2</v>
      </c>
      <c r="E47" s="145">
        <v>0.12169312169312169</v>
      </c>
      <c r="F47" s="145">
        <v>0.12169312169312169</v>
      </c>
      <c r="G47" s="145">
        <v>0.12698412698412698</v>
      </c>
      <c r="H47" s="145">
        <v>0.21164021164021163</v>
      </c>
      <c r="I47" s="145">
        <v>1</v>
      </c>
      <c r="K47" s="146" t="s">
        <v>2694</v>
      </c>
    </row>
    <row r="48" spans="1:11" x14ac:dyDescent="0.3">
      <c r="A48" s="133" t="s">
        <v>1616</v>
      </c>
      <c r="B48" s="145">
        <v>0.12844036697247707</v>
      </c>
      <c r="C48" s="145">
        <v>0.11009174311926606</v>
      </c>
      <c r="D48" s="145">
        <v>0.20183486238532111</v>
      </c>
      <c r="E48" s="145">
        <v>0.16513761467889909</v>
      </c>
      <c r="F48" s="145">
        <v>0.15137614678899083</v>
      </c>
      <c r="G48" s="145">
        <v>0.13302752293577982</v>
      </c>
      <c r="H48" s="145">
        <v>0.11009174311926606</v>
      </c>
      <c r="I48" s="145">
        <v>1</v>
      </c>
    </row>
    <row r="49" spans="1:9" x14ac:dyDescent="0.3">
      <c r="A49" s="133" t="s">
        <v>1630</v>
      </c>
      <c r="B49" s="145">
        <v>0.14492753623188406</v>
      </c>
      <c r="C49" s="145">
        <v>0.16425120772946861</v>
      </c>
      <c r="D49" s="145">
        <v>0.12560386473429952</v>
      </c>
      <c r="E49" s="145">
        <v>0.18357487922705315</v>
      </c>
      <c r="F49" s="145">
        <v>0.13043478260869565</v>
      </c>
      <c r="G49" s="145">
        <v>0.13043478260869565</v>
      </c>
      <c r="H49" s="145">
        <v>0.12077294685990338</v>
      </c>
      <c r="I49" s="145">
        <v>1</v>
      </c>
    </row>
    <row r="50" spans="1:9" x14ac:dyDescent="0.3">
      <c r="A50" s="133" t="s">
        <v>1626</v>
      </c>
      <c r="B50" s="145">
        <v>0.13440860215053763</v>
      </c>
      <c r="C50" s="145">
        <v>0.12365591397849462</v>
      </c>
      <c r="D50" s="145">
        <v>0.15053763440860216</v>
      </c>
      <c r="E50" s="145">
        <v>0.15591397849462366</v>
      </c>
      <c r="F50" s="145">
        <v>9.6774193548387094E-2</v>
      </c>
      <c r="G50" s="145">
        <v>0.15591397849462366</v>
      </c>
      <c r="H50" s="145">
        <v>0.18279569892473119</v>
      </c>
      <c r="I50" s="145">
        <v>1</v>
      </c>
    </row>
    <row r="51" spans="1:9" x14ac:dyDescent="0.3">
      <c r="A51" s="133" t="s">
        <v>1611</v>
      </c>
      <c r="B51" s="145">
        <v>0.13500000000000001</v>
      </c>
      <c r="C51" s="145">
        <v>0.11</v>
      </c>
      <c r="D51" s="145">
        <v>0.13500000000000001</v>
      </c>
      <c r="E51" s="145">
        <v>0.13500000000000001</v>
      </c>
      <c r="F51" s="145">
        <v>0.13500000000000001</v>
      </c>
      <c r="G51" s="145">
        <v>0.16</v>
      </c>
      <c r="H51" s="145">
        <v>0.19</v>
      </c>
      <c r="I51" s="145">
        <v>1</v>
      </c>
    </row>
    <row r="52" spans="1:9" x14ac:dyDescent="0.3">
      <c r="A52" s="133" t="s">
        <v>1573</v>
      </c>
      <c r="B52" s="145">
        <v>0.14599999999999999</v>
      </c>
      <c r="C52" s="145">
        <v>0.13300000000000001</v>
      </c>
      <c r="D52" s="145">
        <v>0.13800000000000001</v>
      </c>
      <c r="E52" s="145">
        <v>0.153</v>
      </c>
      <c r="F52" s="145">
        <v>0.128</v>
      </c>
      <c r="G52" s="145">
        <v>0.14099999999999999</v>
      </c>
      <c r="H52" s="145">
        <v>0.161</v>
      </c>
      <c r="I52" s="145">
        <v>1</v>
      </c>
    </row>
    <row r="54" spans="1:9" x14ac:dyDescent="0.3">
      <c r="E54" t="s">
        <v>2692</v>
      </c>
    </row>
  </sheetData>
  <conditionalFormatting pivot="1" sqref="B47:H51">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48A94-299F-4498-987F-18AF21DC0E4D}">
  <dimension ref="A3:H69"/>
  <sheetViews>
    <sheetView topLeftCell="B1" workbookViewId="0">
      <selection activeCell="J4" sqref="J4"/>
    </sheetView>
  </sheetViews>
  <sheetFormatPr defaultRowHeight="14.2" x14ac:dyDescent="0.3"/>
  <cols>
    <col min="1" max="1" width="14.8984375" bestFit="1" customWidth="1"/>
    <col min="2" max="2" width="23.69921875" bestFit="1" customWidth="1"/>
    <col min="3" max="3" width="24.69921875" bestFit="1" customWidth="1"/>
    <col min="4" max="4" width="7.796875" customWidth="1"/>
    <col min="5" max="5" width="10.69921875" customWidth="1"/>
    <col min="6" max="7" width="8.3984375" customWidth="1"/>
    <col min="8" max="8" width="10.59765625" customWidth="1"/>
    <col min="9" max="9" width="7.3984375" customWidth="1"/>
    <col min="10" max="10" width="7.796875" bestFit="1" customWidth="1"/>
    <col min="11" max="11" width="10.69921875" bestFit="1" customWidth="1"/>
    <col min="12" max="13" width="8.3984375" bestFit="1" customWidth="1"/>
    <col min="14" max="14" width="18.796875" bestFit="1" customWidth="1"/>
    <col min="15" max="15" width="22.3984375" bestFit="1" customWidth="1"/>
    <col min="16" max="16" width="23" bestFit="1" customWidth="1"/>
    <col min="17" max="17" width="33.3984375" bestFit="1" customWidth="1"/>
    <col min="18" max="18" width="13.19921875" bestFit="1" customWidth="1"/>
    <col min="19" max="19" width="7.3984375" bestFit="1" customWidth="1"/>
    <col min="20" max="20" width="7.796875" bestFit="1" customWidth="1"/>
    <col min="21" max="21" width="10.69921875" bestFit="1" customWidth="1"/>
    <col min="22" max="22" width="8.3984375" bestFit="1" customWidth="1"/>
    <col min="23" max="23" width="6.19921875" bestFit="1" customWidth="1"/>
    <col min="24" max="24" width="8.3984375" bestFit="1" customWidth="1"/>
    <col min="25" max="25" width="16.09765625" bestFit="1" customWidth="1"/>
    <col min="26" max="26" width="17.69921875" bestFit="1" customWidth="1"/>
    <col min="27" max="27" width="7.3984375" bestFit="1" customWidth="1"/>
    <col min="28" max="28" width="7.796875" bestFit="1" customWidth="1"/>
    <col min="29" max="29" width="10.69921875" bestFit="1" customWidth="1"/>
    <col min="30" max="30" width="8.3984375" bestFit="1" customWidth="1"/>
    <col min="31" max="31" width="6.19921875" bestFit="1" customWidth="1"/>
    <col min="32" max="32" width="8.3984375" bestFit="1" customWidth="1"/>
    <col min="33" max="33" width="20.59765625" bestFit="1" customWidth="1"/>
    <col min="34" max="34" width="14.19921875" bestFit="1" customWidth="1"/>
    <col min="35" max="35" width="7.3984375" bestFit="1" customWidth="1"/>
    <col min="36" max="36" width="7.796875" bestFit="1" customWidth="1"/>
    <col min="37" max="37" width="10.69921875" bestFit="1" customWidth="1"/>
    <col min="38" max="39" width="8.3984375" bestFit="1" customWidth="1"/>
    <col min="40" max="40" width="17.19921875" bestFit="1" customWidth="1"/>
    <col min="41" max="41" width="10.59765625" bestFit="1" customWidth="1"/>
    <col min="42" max="43" width="4" bestFit="1" customWidth="1"/>
    <col min="44" max="44" width="2" bestFit="1" customWidth="1"/>
    <col min="45" max="45" width="10.59765625" bestFit="1" customWidth="1"/>
  </cols>
  <sheetData>
    <row r="3" spans="1:8" x14ac:dyDescent="0.3">
      <c r="A3" s="114" t="s">
        <v>2637</v>
      </c>
      <c r="B3" s="114" t="s">
        <v>2681</v>
      </c>
    </row>
    <row r="4" spans="1:8" x14ac:dyDescent="0.3">
      <c r="A4" s="114" t="s">
        <v>2636</v>
      </c>
      <c r="B4">
        <v>0</v>
      </c>
      <c r="C4">
        <v>1</v>
      </c>
      <c r="D4">
        <v>2</v>
      </c>
      <c r="E4">
        <v>3</v>
      </c>
      <c r="F4">
        <v>4</v>
      </c>
      <c r="G4">
        <v>5</v>
      </c>
      <c r="H4" t="s">
        <v>1573</v>
      </c>
    </row>
    <row r="5" spans="1:8" x14ac:dyDescent="0.3">
      <c r="A5" s="133" t="s">
        <v>2706</v>
      </c>
      <c r="B5" s="145">
        <v>0</v>
      </c>
      <c r="C5" s="145">
        <v>0</v>
      </c>
      <c r="D5" s="145">
        <v>0</v>
      </c>
      <c r="E5" s="145">
        <v>0.22222222222222221</v>
      </c>
      <c r="F5" s="145">
        <v>0.55555555555555558</v>
      </c>
      <c r="G5" s="145">
        <v>0.22222222222222221</v>
      </c>
      <c r="H5" s="145">
        <v>1</v>
      </c>
    </row>
    <row r="6" spans="1:8" x14ac:dyDescent="0.3">
      <c r="A6" s="133" t="s">
        <v>2703</v>
      </c>
      <c r="B6" s="145">
        <v>0</v>
      </c>
      <c r="C6" s="145">
        <v>0</v>
      </c>
      <c r="D6" s="145">
        <v>7.8431372549019607E-2</v>
      </c>
      <c r="E6" s="145">
        <v>0.11764705882352941</v>
      </c>
      <c r="F6" s="145">
        <v>0.50980392156862742</v>
      </c>
      <c r="G6" s="145">
        <v>0.29411764705882354</v>
      </c>
      <c r="H6" s="145">
        <v>1</v>
      </c>
    </row>
    <row r="7" spans="1:8" x14ac:dyDescent="0.3">
      <c r="A7" s="133" t="s">
        <v>2704</v>
      </c>
      <c r="B7" s="145">
        <v>0</v>
      </c>
      <c r="C7" s="145">
        <v>0</v>
      </c>
      <c r="D7" s="145">
        <v>7.2625698324022353E-2</v>
      </c>
      <c r="E7" s="145">
        <v>0.19553072625698323</v>
      </c>
      <c r="F7" s="145">
        <v>0.41899441340782123</v>
      </c>
      <c r="G7" s="145">
        <v>0.31284916201117319</v>
      </c>
      <c r="H7" s="145">
        <v>1</v>
      </c>
    </row>
    <row r="8" spans="1:8" x14ac:dyDescent="0.3">
      <c r="A8" s="133" t="s">
        <v>2702</v>
      </c>
      <c r="B8" s="145">
        <v>0</v>
      </c>
      <c r="C8" s="145">
        <v>9.5419847328244278E-3</v>
      </c>
      <c r="D8" s="145">
        <v>5.3435114503816793E-2</v>
      </c>
      <c r="E8" s="145">
        <v>0.20229007633587787</v>
      </c>
      <c r="F8" s="145">
        <v>0.42938931297709926</v>
      </c>
      <c r="G8" s="145">
        <v>0.30534351145038169</v>
      </c>
      <c r="H8" s="145">
        <v>1</v>
      </c>
    </row>
    <row r="9" spans="1:8" x14ac:dyDescent="0.3">
      <c r="A9" s="133" t="s">
        <v>2705</v>
      </c>
      <c r="B9" s="145">
        <v>4.2194092827004216E-3</v>
      </c>
      <c r="C9" s="145">
        <v>1.2658227848101266E-2</v>
      </c>
      <c r="D9" s="145">
        <v>5.9071729957805907E-2</v>
      </c>
      <c r="E9" s="145">
        <v>0.20253164556962025</v>
      </c>
      <c r="F9" s="145">
        <v>0.40928270042194093</v>
      </c>
      <c r="G9" s="145">
        <v>0.31223628691983124</v>
      </c>
      <c r="H9" s="145">
        <v>1</v>
      </c>
    </row>
    <row r="10" spans="1:8" x14ac:dyDescent="0.3">
      <c r="A10" s="133" t="s">
        <v>1573</v>
      </c>
      <c r="B10" s="145">
        <v>1E-3</v>
      </c>
      <c r="C10" s="145">
        <v>8.0000000000000002E-3</v>
      </c>
      <c r="D10" s="145">
        <v>5.8999999999999997E-2</v>
      </c>
      <c r="E10" s="145">
        <v>0.19700000000000001</v>
      </c>
      <c r="F10" s="145">
        <v>0.42799999999999999</v>
      </c>
      <c r="G10" s="145">
        <v>0.307</v>
      </c>
      <c r="H10" s="145">
        <v>1</v>
      </c>
    </row>
    <row r="13" spans="1:8" x14ac:dyDescent="0.3">
      <c r="A13" s="114" t="s">
        <v>2636</v>
      </c>
      <c r="B13" t="s">
        <v>2707</v>
      </c>
      <c r="C13" t="s">
        <v>2639</v>
      </c>
    </row>
    <row r="14" spans="1:8" x14ac:dyDescent="0.3">
      <c r="A14" s="133" t="s">
        <v>1630</v>
      </c>
      <c r="B14">
        <v>180</v>
      </c>
      <c r="C14">
        <v>74.099999999999994</v>
      </c>
    </row>
    <row r="15" spans="1:8" x14ac:dyDescent="0.3">
      <c r="A15" s="134" t="s">
        <v>1615</v>
      </c>
      <c r="B15">
        <v>180</v>
      </c>
      <c r="C15">
        <v>9.8000000000000007</v>
      </c>
    </row>
    <row r="16" spans="1:8" x14ac:dyDescent="0.3">
      <c r="A16" s="142" t="s">
        <v>2605</v>
      </c>
      <c r="B16">
        <v>180</v>
      </c>
      <c r="C16">
        <v>4.9000000000000004</v>
      </c>
    </row>
    <row r="17" spans="1:3" x14ac:dyDescent="0.3">
      <c r="A17" s="142" t="s">
        <v>2358</v>
      </c>
      <c r="B17">
        <v>108</v>
      </c>
      <c r="C17">
        <v>4.9000000000000004</v>
      </c>
    </row>
    <row r="18" spans="1:3" x14ac:dyDescent="0.3">
      <c r="A18" s="134" t="s">
        <v>1613</v>
      </c>
      <c r="B18">
        <v>148</v>
      </c>
      <c r="C18">
        <v>14.9</v>
      </c>
    </row>
    <row r="19" spans="1:3" x14ac:dyDescent="0.3">
      <c r="A19" s="142" t="s">
        <v>1883</v>
      </c>
      <c r="B19">
        <v>148</v>
      </c>
      <c r="C19">
        <v>5</v>
      </c>
    </row>
    <row r="20" spans="1:3" x14ac:dyDescent="0.3">
      <c r="A20" s="142" t="s">
        <v>1798</v>
      </c>
      <c r="B20">
        <v>128</v>
      </c>
      <c r="C20">
        <v>5</v>
      </c>
    </row>
    <row r="21" spans="1:3" x14ac:dyDescent="0.3">
      <c r="A21" s="142" t="s">
        <v>1706</v>
      </c>
      <c r="B21">
        <v>23</v>
      </c>
      <c r="C21">
        <v>4.9000000000000004</v>
      </c>
    </row>
    <row r="22" spans="1:3" x14ac:dyDescent="0.3">
      <c r="A22" s="134" t="s">
        <v>1633</v>
      </c>
      <c r="B22">
        <v>136</v>
      </c>
      <c r="C22">
        <v>5</v>
      </c>
    </row>
    <row r="23" spans="1:3" x14ac:dyDescent="0.3">
      <c r="A23" s="142" t="s">
        <v>2196</v>
      </c>
      <c r="B23">
        <v>136</v>
      </c>
      <c r="C23">
        <v>5</v>
      </c>
    </row>
    <row r="24" spans="1:3" x14ac:dyDescent="0.3">
      <c r="A24" s="134" t="s">
        <v>1620</v>
      </c>
      <c r="B24">
        <v>120</v>
      </c>
      <c r="C24">
        <v>5</v>
      </c>
    </row>
    <row r="25" spans="1:3" x14ac:dyDescent="0.3">
      <c r="A25" s="142" t="s">
        <v>2176</v>
      </c>
      <c r="B25">
        <v>120</v>
      </c>
      <c r="C25">
        <v>5</v>
      </c>
    </row>
    <row r="26" spans="1:3" x14ac:dyDescent="0.3">
      <c r="A26" s="134" t="s">
        <v>1652</v>
      </c>
      <c r="B26">
        <v>115</v>
      </c>
      <c r="C26">
        <v>9.8000000000000007</v>
      </c>
    </row>
    <row r="27" spans="1:3" x14ac:dyDescent="0.3">
      <c r="A27" s="142" t="s">
        <v>2110</v>
      </c>
      <c r="B27">
        <v>115</v>
      </c>
      <c r="C27">
        <v>4.9000000000000004</v>
      </c>
    </row>
    <row r="28" spans="1:3" x14ac:dyDescent="0.3">
      <c r="A28" s="142" t="s">
        <v>1976</v>
      </c>
      <c r="B28">
        <v>23</v>
      </c>
      <c r="C28">
        <v>4.9000000000000004</v>
      </c>
    </row>
    <row r="29" spans="1:3" x14ac:dyDescent="0.3">
      <c r="A29" s="134" t="s">
        <v>1662</v>
      </c>
      <c r="B29">
        <v>114</v>
      </c>
      <c r="C29">
        <v>5</v>
      </c>
    </row>
    <row r="30" spans="1:3" x14ac:dyDescent="0.3">
      <c r="A30" s="142" t="s">
        <v>1950</v>
      </c>
      <c r="B30">
        <v>114</v>
      </c>
      <c r="C30">
        <v>5</v>
      </c>
    </row>
    <row r="31" spans="1:3" x14ac:dyDescent="0.3">
      <c r="A31" s="134" t="s">
        <v>1610</v>
      </c>
      <c r="B31">
        <v>105</v>
      </c>
      <c r="C31">
        <v>4.9000000000000004</v>
      </c>
    </row>
    <row r="32" spans="1:3" x14ac:dyDescent="0.3">
      <c r="A32" s="142" t="s">
        <v>2086</v>
      </c>
      <c r="B32">
        <v>105</v>
      </c>
      <c r="C32">
        <v>4.9000000000000004</v>
      </c>
    </row>
    <row r="33" spans="1:3" x14ac:dyDescent="0.3">
      <c r="A33" s="134" t="s">
        <v>1649</v>
      </c>
      <c r="B33">
        <v>96</v>
      </c>
      <c r="C33">
        <v>5</v>
      </c>
    </row>
    <row r="34" spans="1:3" x14ac:dyDescent="0.3">
      <c r="A34" s="142" t="s">
        <v>1691</v>
      </c>
      <c r="B34">
        <v>96</v>
      </c>
      <c r="C34">
        <v>5</v>
      </c>
    </row>
    <row r="35" spans="1:3" x14ac:dyDescent="0.3">
      <c r="A35" s="134" t="s">
        <v>1629</v>
      </c>
      <c r="B35">
        <v>41</v>
      </c>
      <c r="C35">
        <v>4.9000000000000004</v>
      </c>
    </row>
    <row r="36" spans="1:3" x14ac:dyDescent="0.3">
      <c r="A36" s="142" t="s">
        <v>2039</v>
      </c>
      <c r="B36">
        <v>41</v>
      </c>
      <c r="C36">
        <v>4.9000000000000004</v>
      </c>
    </row>
    <row r="37" spans="1:3" x14ac:dyDescent="0.3">
      <c r="A37" s="134" t="s">
        <v>1641</v>
      </c>
      <c r="B37">
        <v>40</v>
      </c>
      <c r="C37">
        <v>4.9000000000000004</v>
      </c>
    </row>
    <row r="38" spans="1:3" x14ac:dyDescent="0.3">
      <c r="A38" s="142" t="s">
        <v>2127</v>
      </c>
      <c r="B38">
        <v>40</v>
      </c>
      <c r="C38">
        <v>4.9000000000000004</v>
      </c>
    </row>
    <row r="39" spans="1:3" x14ac:dyDescent="0.3">
      <c r="A39" s="134" t="s">
        <v>1635</v>
      </c>
      <c r="B39">
        <v>32</v>
      </c>
      <c r="C39">
        <v>4.9000000000000004</v>
      </c>
    </row>
    <row r="40" spans="1:3" x14ac:dyDescent="0.3">
      <c r="A40" s="142" t="s">
        <v>1847</v>
      </c>
      <c r="B40">
        <v>32</v>
      </c>
      <c r="C40">
        <v>4.9000000000000004</v>
      </c>
    </row>
    <row r="41" spans="1:3" x14ac:dyDescent="0.3">
      <c r="A41" s="133" t="s">
        <v>1573</v>
      </c>
      <c r="B41">
        <v>180</v>
      </c>
      <c r="C41">
        <v>74.099999999999994</v>
      </c>
    </row>
    <row r="48" spans="1:3" x14ac:dyDescent="0.3">
      <c r="A48" s="147" t="s">
        <v>2695</v>
      </c>
      <c r="B48" s="5" t="s">
        <v>2706</v>
      </c>
    </row>
    <row r="50" spans="1:8" x14ac:dyDescent="0.3">
      <c r="A50" s="147" t="s">
        <v>2708</v>
      </c>
      <c r="B50" s="147" t="s">
        <v>2681</v>
      </c>
      <c r="C50" s="5"/>
      <c r="D50" s="5"/>
      <c r="E50" s="5"/>
      <c r="F50" s="5"/>
      <c r="G50" s="5"/>
      <c r="H50" s="5"/>
    </row>
    <row r="51" spans="1:8" x14ac:dyDescent="0.3">
      <c r="A51" s="147" t="s">
        <v>2636</v>
      </c>
      <c r="B51" s="5" t="s">
        <v>2682</v>
      </c>
      <c r="C51" s="5" t="s">
        <v>2683</v>
      </c>
      <c r="D51" s="5" t="s">
        <v>2684</v>
      </c>
      <c r="E51" s="5" t="s">
        <v>2685</v>
      </c>
      <c r="F51" s="5" t="s">
        <v>2686</v>
      </c>
      <c r="G51" s="5" t="s">
        <v>2687</v>
      </c>
      <c r="H51" s="5" t="s">
        <v>1573</v>
      </c>
    </row>
    <row r="52" spans="1:8" x14ac:dyDescent="0.3">
      <c r="A52" s="5" t="s">
        <v>1629</v>
      </c>
      <c r="B52" s="5"/>
      <c r="C52" s="5"/>
      <c r="D52" s="5">
        <v>8</v>
      </c>
      <c r="E52" s="5"/>
      <c r="F52" s="5"/>
      <c r="G52" s="5"/>
      <c r="H52" s="5">
        <v>8</v>
      </c>
    </row>
    <row r="53" spans="1:8" x14ac:dyDescent="0.3">
      <c r="A53" s="148" t="s">
        <v>2663</v>
      </c>
      <c r="B53" s="5"/>
      <c r="C53" s="5"/>
      <c r="D53" s="5">
        <v>8</v>
      </c>
      <c r="E53" s="5"/>
      <c r="F53" s="5"/>
      <c r="G53" s="5"/>
      <c r="H53" s="5">
        <v>8</v>
      </c>
    </row>
    <row r="54" spans="1:8" x14ac:dyDescent="0.3">
      <c r="A54" s="5" t="s">
        <v>1620</v>
      </c>
      <c r="B54" s="5"/>
      <c r="C54" s="5"/>
      <c r="D54" s="5"/>
      <c r="E54" s="5"/>
      <c r="F54" s="5">
        <v>4</v>
      </c>
      <c r="G54" s="5"/>
      <c r="H54" s="5">
        <v>4</v>
      </c>
    </row>
    <row r="55" spans="1:8" x14ac:dyDescent="0.3">
      <c r="A55" s="148" t="s">
        <v>2664</v>
      </c>
      <c r="B55" s="5"/>
      <c r="C55" s="5"/>
      <c r="D55" s="5"/>
      <c r="E55" s="5"/>
      <c r="F55" s="5">
        <v>4</v>
      </c>
      <c r="G55" s="5"/>
      <c r="H55" s="5">
        <v>4</v>
      </c>
    </row>
    <row r="56" spans="1:8" x14ac:dyDescent="0.3">
      <c r="A56" s="5" t="s">
        <v>1682</v>
      </c>
      <c r="B56" s="5">
        <v>6</v>
      </c>
      <c r="C56" s="5"/>
      <c r="D56" s="5"/>
      <c r="E56" s="5"/>
      <c r="F56" s="5"/>
      <c r="G56" s="5"/>
      <c r="H56" s="5">
        <v>6</v>
      </c>
    </row>
    <row r="57" spans="1:8" x14ac:dyDescent="0.3">
      <c r="A57" s="148" t="s">
        <v>2657</v>
      </c>
      <c r="B57" s="5">
        <v>6</v>
      </c>
      <c r="C57" s="5"/>
      <c r="D57" s="5"/>
      <c r="E57" s="5"/>
      <c r="F57" s="5"/>
      <c r="G57" s="5"/>
      <c r="H57" s="5">
        <v>6</v>
      </c>
    </row>
    <row r="58" spans="1:8" x14ac:dyDescent="0.3">
      <c r="A58" s="5" t="s">
        <v>1649</v>
      </c>
      <c r="B58" s="5"/>
      <c r="C58" s="5"/>
      <c r="D58" s="5"/>
      <c r="E58" s="5">
        <v>10</v>
      </c>
      <c r="F58" s="5"/>
      <c r="G58" s="5"/>
      <c r="H58" s="5">
        <v>10</v>
      </c>
    </row>
    <row r="59" spans="1:8" x14ac:dyDescent="0.3">
      <c r="A59" s="148" t="s">
        <v>2661</v>
      </c>
      <c r="B59" s="5"/>
      <c r="C59" s="5"/>
      <c r="D59" s="5"/>
      <c r="E59" s="5">
        <v>10</v>
      </c>
      <c r="F59" s="5"/>
      <c r="G59" s="5"/>
      <c r="H59" s="5">
        <v>10</v>
      </c>
    </row>
    <row r="60" spans="1:8" x14ac:dyDescent="0.3">
      <c r="A60" s="5" t="s">
        <v>1652</v>
      </c>
      <c r="B60" s="5"/>
      <c r="C60" s="5"/>
      <c r="D60" s="5"/>
      <c r="E60" s="5"/>
      <c r="F60" s="5"/>
      <c r="G60" s="5">
        <v>8</v>
      </c>
      <c r="H60" s="5">
        <v>8</v>
      </c>
    </row>
    <row r="61" spans="1:8" x14ac:dyDescent="0.3">
      <c r="A61" s="148" t="s">
        <v>2658</v>
      </c>
      <c r="B61" s="5"/>
      <c r="C61" s="5"/>
      <c r="D61" s="5"/>
      <c r="E61" s="5"/>
      <c r="F61" s="5"/>
      <c r="G61" s="5">
        <v>8</v>
      </c>
      <c r="H61" s="5">
        <v>8</v>
      </c>
    </row>
    <row r="62" spans="1:8" x14ac:dyDescent="0.3">
      <c r="A62" s="5" t="s">
        <v>1633</v>
      </c>
      <c r="B62" s="5"/>
      <c r="C62" s="5"/>
      <c r="D62" s="5">
        <v>6</v>
      </c>
      <c r="E62" s="5">
        <v>2</v>
      </c>
      <c r="F62" s="5"/>
      <c r="G62" s="5"/>
      <c r="H62" s="5">
        <v>8</v>
      </c>
    </row>
    <row r="63" spans="1:8" x14ac:dyDescent="0.3">
      <c r="A63" s="148" t="s">
        <v>2658</v>
      </c>
      <c r="B63" s="5"/>
      <c r="C63" s="5"/>
      <c r="D63" s="5">
        <v>6</v>
      </c>
      <c r="E63" s="5"/>
      <c r="F63" s="5"/>
      <c r="G63" s="5"/>
      <c r="H63" s="5">
        <v>6</v>
      </c>
    </row>
    <row r="64" spans="1:8" x14ac:dyDescent="0.3">
      <c r="A64" s="148" t="s">
        <v>2665</v>
      </c>
      <c r="B64" s="5"/>
      <c r="C64" s="5"/>
      <c r="D64" s="5"/>
      <c r="E64" s="5">
        <v>2</v>
      </c>
      <c r="F64" s="5"/>
      <c r="G64" s="5"/>
      <c r="H64" s="5">
        <v>2</v>
      </c>
    </row>
    <row r="65" spans="1:8" x14ac:dyDescent="0.3">
      <c r="A65" s="5" t="s">
        <v>1613</v>
      </c>
      <c r="B65" s="5"/>
      <c r="C65" s="5">
        <v>6</v>
      </c>
      <c r="D65" s="5"/>
      <c r="E65" s="5"/>
      <c r="F65" s="5"/>
      <c r="G65" s="5"/>
      <c r="H65" s="5">
        <v>6</v>
      </c>
    </row>
    <row r="66" spans="1:8" x14ac:dyDescent="0.3">
      <c r="A66" s="148" t="s">
        <v>2656</v>
      </c>
      <c r="B66" s="5"/>
      <c r="C66" s="5">
        <v>6</v>
      </c>
      <c r="D66" s="5"/>
      <c r="E66" s="5"/>
      <c r="F66" s="5"/>
      <c r="G66" s="5"/>
      <c r="H66" s="5">
        <v>6</v>
      </c>
    </row>
    <row r="67" spans="1:8" x14ac:dyDescent="0.3">
      <c r="A67" s="5" t="s">
        <v>1644</v>
      </c>
      <c r="B67" s="5"/>
      <c r="C67" s="5">
        <v>7</v>
      </c>
      <c r="D67" s="5"/>
      <c r="E67" s="5"/>
      <c r="F67" s="5"/>
      <c r="G67" s="5"/>
      <c r="H67" s="5">
        <v>7</v>
      </c>
    </row>
    <row r="68" spans="1:8" x14ac:dyDescent="0.3">
      <c r="A68" s="148" t="s">
        <v>2666</v>
      </c>
      <c r="B68" s="5"/>
      <c r="C68" s="5">
        <v>7</v>
      </c>
      <c r="D68" s="5"/>
      <c r="E68" s="5"/>
      <c r="F68" s="5"/>
      <c r="G68" s="5"/>
      <c r="H68" s="5">
        <v>7</v>
      </c>
    </row>
    <row r="69" spans="1:8" x14ac:dyDescent="0.3">
      <c r="A69" s="5" t="s">
        <v>1573</v>
      </c>
      <c r="B69" s="5">
        <v>6</v>
      </c>
      <c r="C69" s="5">
        <v>13</v>
      </c>
      <c r="D69" s="5">
        <v>14</v>
      </c>
      <c r="E69" s="5">
        <v>12</v>
      </c>
      <c r="F69" s="5">
        <v>4</v>
      </c>
      <c r="G69" s="5">
        <v>8</v>
      </c>
      <c r="H69" s="5">
        <v>57</v>
      </c>
    </row>
  </sheetData>
  <conditionalFormatting pivot="1" sqref="B5:G9">
    <cfRule type="colorScale" priority="2">
      <colorScale>
        <cfvo type="min"/>
        <cfvo type="max"/>
        <color rgb="FFFCFCFF"/>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9D9E-F17D-4378-91CA-E3BFE0570801}">
  <dimension ref="A1:Z1002"/>
  <sheetViews>
    <sheetView workbookViewId="0">
      <selection activeCell="D11" sqref="D11"/>
    </sheetView>
  </sheetViews>
  <sheetFormatPr defaultRowHeight="14.2" x14ac:dyDescent="0.3"/>
  <cols>
    <col min="1" max="1" width="15.8984375" customWidth="1"/>
    <col min="2" max="2" width="13.3984375" customWidth="1"/>
    <col min="3" max="3" width="10.296875" customWidth="1"/>
    <col min="4" max="4" width="15.8984375" customWidth="1"/>
    <col min="5" max="5" width="12.69921875" customWidth="1"/>
    <col min="6" max="6" width="17.796875" customWidth="1"/>
    <col min="7" max="7" width="18.8984375" customWidth="1"/>
    <col min="8" max="8" width="13.8984375" customWidth="1"/>
    <col min="9" max="9" width="13.3984375" customWidth="1"/>
    <col min="10" max="10" width="23.8984375" customWidth="1"/>
    <col min="11" max="11" width="16.59765625" customWidth="1"/>
    <col min="12" max="12" width="9.09765625" customWidth="1"/>
    <col min="14" max="14" width="8.796875" customWidth="1"/>
    <col min="15" max="15" width="9.296875" customWidth="1"/>
    <col min="16" max="16" width="6.19921875" customWidth="1"/>
    <col min="27" max="27" width="52.3984375" customWidth="1"/>
    <col min="28" max="28" width="69.796875" bestFit="1" customWidth="1"/>
    <col min="29" max="29" width="32.296875" bestFit="1" customWidth="1"/>
  </cols>
  <sheetData>
    <row r="1" spans="1:26" ht="49.75" customHeight="1" x14ac:dyDescent="0.3">
      <c r="A1" s="174" t="s">
        <v>2712</v>
      </c>
      <c r="B1" s="174"/>
      <c r="C1" s="174"/>
      <c r="D1" s="174"/>
      <c r="E1" s="174"/>
      <c r="F1" s="174"/>
      <c r="G1" s="174"/>
      <c r="H1" s="174"/>
      <c r="I1" s="174"/>
      <c r="J1" s="174"/>
      <c r="K1" s="174"/>
      <c r="Z1" s="26"/>
    </row>
    <row r="2" spans="1:26" ht="14.5" x14ac:dyDescent="0.3">
      <c r="A2" s="129" t="s">
        <v>1602</v>
      </c>
      <c r="B2" s="107" t="s">
        <v>1603</v>
      </c>
      <c r="C2" s="107" t="s">
        <v>1604</v>
      </c>
      <c r="D2" s="107" t="s">
        <v>1605</v>
      </c>
      <c r="E2" s="107" t="s">
        <v>1606</v>
      </c>
      <c r="F2" s="107" t="s">
        <v>1607</v>
      </c>
      <c r="G2" s="130" t="s">
        <v>1608</v>
      </c>
      <c r="H2" s="144" t="s">
        <v>2670</v>
      </c>
      <c r="I2" s="144" t="s">
        <v>2677</v>
      </c>
      <c r="J2" s="144" t="s">
        <v>2695</v>
      </c>
      <c r="K2" s="144" t="s">
        <v>2698</v>
      </c>
      <c r="N2" s="122" t="s">
        <v>1603</v>
      </c>
      <c r="O2" s="123" t="s">
        <v>2629</v>
      </c>
      <c r="P2" s="123" t="s">
        <v>477</v>
      </c>
      <c r="Q2" s="124" t="s">
        <v>2630</v>
      </c>
    </row>
    <row r="3" spans="1:26" ht="14.5" x14ac:dyDescent="0.3">
      <c r="A3" s="9" t="s">
        <v>1609</v>
      </c>
      <c r="B3" s="9" t="s">
        <v>1610</v>
      </c>
      <c r="C3" s="9">
        <v>116</v>
      </c>
      <c r="D3" s="149" t="s">
        <v>1611</v>
      </c>
      <c r="E3" s="150">
        <v>44927</v>
      </c>
      <c r="F3" s="9">
        <v>128</v>
      </c>
      <c r="G3" s="9">
        <v>4.9000000000000004</v>
      </c>
      <c r="H3" s="9">
        <f>IF(MONTH(Call_Table_Data[[#This Row],[Date of Call]])&lt;=6,YEAR(Call_Table_Data[[#This Row],[Date of Call]]),YEAR(Call_Table_Data[[#This Row],[Date of Call]])+1)</f>
        <v>2023</v>
      </c>
      <c r="I3" s="9" t="str">
        <f>TEXT(Call_Table_Data[[#This Row],[Date of Call]],"DDDD")</f>
        <v>Sunday</v>
      </c>
      <c r="J3" s="9" t="str" cm="1">
        <f t="array" ref="J3">_xlfn.IFS(Call_Table_Data[[#This Row],[Duration]]&lt;=10,"Under 10 Mins",Call_Table_Data[[#This Row],[Duration]]&lt;=30,"10 to 30 Mins",Call_Table_Data[[#This Row],[Duration]]&lt;=60,"30 to 60 Mins",Call_Table_Data[[#This Row],[Duration]]&lt;=120,"1 to 2 Hours",TRUE,"More Than 2 Hours")</f>
        <v>1 to 2 Hours</v>
      </c>
      <c r="K3" s="9">
        <f>ROUND(Call_Table_Data[[#This Row],[Satisfaction Rating]],0)</f>
        <v>5</v>
      </c>
      <c r="N3" s="151" t="s">
        <v>1662</v>
      </c>
      <c r="O3" s="152" t="s">
        <v>47</v>
      </c>
      <c r="P3" s="9">
        <v>41</v>
      </c>
      <c r="Q3" s="153" t="s">
        <v>2631</v>
      </c>
    </row>
    <row r="4" spans="1:26" ht="14.5" x14ac:dyDescent="0.3">
      <c r="A4" s="9" t="s">
        <v>1612</v>
      </c>
      <c r="B4" s="9" t="s">
        <v>1613</v>
      </c>
      <c r="C4" s="9">
        <v>119</v>
      </c>
      <c r="D4" s="149" t="s">
        <v>1611</v>
      </c>
      <c r="E4" s="150">
        <v>44927</v>
      </c>
      <c r="F4" s="9">
        <v>135</v>
      </c>
      <c r="G4" s="9">
        <v>2.9</v>
      </c>
      <c r="H4" s="9">
        <f>IF(MONTH(Call_Table_Data[[#This Row],[Date of Call]])&lt;=6,YEAR(Call_Table_Data[[#This Row],[Date of Call]]),YEAR(Call_Table_Data[[#This Row],[Date of Call]])+1)</f>
        <v>2023</v>
      </c>
      <c r="I4" s="9" t="str">
        <f>TEXT(Call_Table_Data[[#This Row],[Date of Call]],"DDDD")</f>
        <v>Sunday</v>
      </c>
      <c r="J4" s="9" t="str" cm="1">
        <f t="array" ref="J4">_xlfn.IFS(Call_Table_Data[[#This Row],[Duration]]&lt;=10,"Under 10 Mins",Call_Table_Data[[#This Row],[Duration]]&lt;=30,"10 to 30 Mins",Call_Table_Data[[#This Row],[Duration]]&lt;=60,"30 to 60 Mins",Call_Table_Data[[#This Row],[Duration]]&lt;=120,"1 to 2 Hours",TRUE,"More Than 2 Hours")</f>
        <v>1 to 2 Hours</v>
      </c>
      <c r="K4" s="9">
        <f>ROUND(Call_Table_Data[[#This Row],[Satisfaction Rating]],0)</f>
        <v>3</v>
      </c>
      <c r="N4" s="151" t="s">
        <v>1635</v>
      </c>
      <c r="O4" s="152" t="s">
        <v>47</v>
      </c>
      <c r="P4" s="9">
        <v>31</v>
      </c>
      <c r="Q4" s="153" t="s">
        <v>2632</v>
      </c>
    </row>
    <row r="5" spans="1:26" ht="14.5" x14ac:dyDescent="0.3">
      <c r="A5" s="9" t="s">
        <v>1614</v>
      </c>
      <c r="B5" s="9" t="s">
        <v>1615</v>
      </c>
      <c r="C5" s="9">
        <v>68</v>
      </c>
      <c r="D5" s="149" t="s">
        <v>1616</v>
      </c>
      <c r="E5" s="150">
        <v>44927</v>
      </c>
      <c r="F5" s="9">
        <v>66</v>
      </c>
      <c r="G5" s="9">
        <v>4.7</v>
      </c>
      <c r="H5" s="9">
        <f>IF(MONTH(Call_Table_Data[[#This Row],[Date of Call]])&lt;=6,YEAR(Call_Table_Data[[#This Row],[Date of Call]]),YEAR(Call_Table_Data[[#This Row],[Date of Call]])+1)</f>
        <v>2023</v>
      </c>
      <c r="I5" s="9" t="str">
        <f>TEXT(Call_Table_Data[[#This Row],[Date of Call]],"DDDD")</f>
        <v>Sunday</v>
      </c>
      <c r="J5" s="9" t="str" cm="1">
        <f t="array" ref="J5">_xlfn.IFS(Call_Table_Data[[#This Row],[Duration]]&lt;=10,"Under 10 Mins",Call_Table_Data[[#This Row],[Duration]]&lt;=30,"10 to 30 Mins",Call_Table_Data[[#This Row],[Duration]]&lt;=60,"30 to 60 Mins",Call_Table_Data[[#This Row],[Duration]]&lt;=120,"1 to 2 Hours",TRUE,"More Than 2 Hours")</f>
        <v>1 to 2 Hours</v>
      </c>
      <c r="K5" s="9">
        <f>ROUND(Call_Table_Data[[#This Row],[Satisfaction Rating]],0)</f>
        <v>5</v>
      </c>
      <c r="N5" s="151" t="s">
        <v>1610</v>
      </c>
      <c r="O5" s="152" t="s">
        <v>47</v>
      </c>
      <c r="P5" s="9">
        <v>26</v>
      </c>
      <c r="Q5" s="153" t="s">
        <v>2633</v>
      </c>
    </row>
    <row r="6" spans="1:26" ht="14.5" x14ac:dyDescent="0.3">
      <c r="A6" s="9" t="s">
        <v>1617</v>
      </c>
      <c r="B6" s="9" t="s">
        <v>1618</v>
      </c>
      <c r="C6" s="9">
        <v>119</v>
      </c>
      <c r="D6" s="149" t="s">
        <v>1616</v>
      </c>
      <c r="E6" s="150">
        <v>44927</v>
      </c>
      <c r="F6" s="9">
        <v>22</v>
      </c>
      <c r="G6" s="9">
        <v>2.9</v>
      </c>
      <c r="H6" s="9">
        <f>IF(MONTH(Call_Table_Data[[#This Row],[Date of Call]])&lt;=6,YEAR(Call_Table_Data[[#This Row],[Date of Call]]),YEAR(Call_Table_Data[[#This Row],[Date of Call]])+1)</f>
        <v>2023</v>
      </c>
      <c r="I6" s="9" t="str">
        <f>TEXT(Call_Table_Data[[#This Row],[Date of Call]],"DDDD")</f>
        <v>Sunday</v>
      </c>
      <c r="J6" s="9" t="str" cm="1">
        <f t="array" ref="J6">_xlfn.IFS(Call_Table_Data[[#This Row],[Duration]]&lt;=10,"Under 10 Mins",Call_Table_Data[[#This Row],[Duration]]&lt;=30,"10 to 30 Mins",Call_Table_Data[[#This Row],[Duration]]&lt;=60,"30 to 60 Mins",Call_Table_Data[[#This Row],[Duration]]&lt;=120,"1 to 2 Hours",TRUE,"More Than 2 Hours")</f>
        <v>1 to 2 Hours</v>
      </c>
      <c r="K6" s="9">
        <f>ROUND(Call_Table_Data[[#This Row],[Satisfaction Rating]],0)</f>
        <v>3</v>
      </c>
      <c r="N6" s="151" t="s">
        <v>1613</v>
      </c>
      <c r="O6" s="152" t="s">
        <v>47</v>
      </c>
      <c r="P6" s="9">
        <v>36</v>
      </c>
      <c r="Q6" s="153" t="s">
        <v>2633</v>
      </c>
    </row>
    <row r="7" spans="1:26" ht="14.5" x14ac:dyDescent="0.3">
      <c r="A7" s="158" t="s">
        <v>1619</v>
      </c>
      <c r="B7" s="9" t="s">
        <v>1620</v>
      </c>
      <c r="C7" s="9">
        <v>128</v>
      </c>
      <c r="D7" s="149" t="s">
        <v>1621</v>
      </c>
      <c r="E7" s="150">
        <v>44928</v>
      </c>
      <c r="F7" s="9">
        <v>31</v>
      </c>
      <c r="G7" s="9">
        <v>2.8</v>
      </c>
      <c r="H7" s="9">
        <f>IF(MONTH(Call_Table_Data[[#This Row],[Date of Call]])&lt;=6,YEAR(Call_Table_Data[[#This Row],[Date of Call]]),YEAR(Call_Table_Data[[#This Row],[Date of Call]])+1)</f>
        <v>2023</v>
      </c>
      <c r="I7" s="9" t="str">
        <f>TEXT(Call_Table_Data[[#This Row],[Date of Call]],"DDDD")</f>
        <v>Monday</v>
      </c>
      <c r="J7" s="9" t="str" cm="1">
        <f t="array" ref="J7">_xlfn.IFS(Call_Table_Data[[#This Row],[Duration]]&lt;=10,"Under 10 Mins",Call_Table_Data[[#This Row],[Duration]]&lt;=30,"10 to 30 Mins",Call_Table_Data[[#This Row],[Duration]]&lt;=60,"30 to 60 Mins",Call_Table_Data[[#This Row],[Duration]]&lt;=120,"1 to 2 Hours",TRUE,"More Than 2 Hours")</f>
        <v>More Than 2 Hours</v>
      </c>
      <c r="K7" s="9">
        <f>ROUND(Call_Table_Data[[#This Row],[Satisfaction Rating]],0)</f>
        <v>3</v>
      </c>
      <c r="N7" s="151" t="s">
        <v>1615</v>
      </c>
      <c r="O7" s="152" t="s">
        <v>47</v>
      </c>
      <c r="P7" s="9">
        <v>37</v>
      </c>
      <c r="Q7" s="153" t="s">
        <v>2631</v>
      </c>
    </row>
    <row r="8" spans="1:26" ht="14.5" x14ac:dyDescent="0.3">
      <c r="A8" s="9" t="s">
        <v>1622</v>
      </c>
      <c r="B8" s="9" t="s">
        <v>1620</v>
      </c>
      <c r="C8" s="9">
        <v>49</v>
      </c>
      <c r="D8" s="149" t="s">
        <v>1616</v>
      </c>
      <c r="E8" s="150">
        <v>44929</v>
      </c>
      <c r="F8" s="9">
        <v>135</v>
      </c>
      <c r="G8" s="9">
        <v>4.8</v>
      </c>
      <c r="H8" s="9">
        <f>IF(MONTH(Call_Table_Data[[#This Row],[Date of Call]])&lt;=6,YEAR(Call_Table_Data[[#This Row],[Date of Call]]),YEAR(Call_Table_Data[[#This Row],[Date of Call]])+1)</f>
        <v>2023</v>
      </c>
      <c r="I8" s="9" t="str">
        <f>TEXT(Call_Table_Data[[#This Row],[Date of Call]],"DDDD")</f>
        <v>Tuesday</v>
      </c>
      <c r="J8" s="9" t="str" cm="1">
        <f t="array" ref="J8">_xlfn.IFS(Call_Table_Data[[#This Row],[Duration]]&lt;=10,"Under 10 Mins",Call_Table_Data[[#This Row],[Duration]]&lt;=30,"10 to 30 Mins",Call_Table_Data[[#This Row],[Duration]]&lt;=60,"30 to 60 Mins",Call_Table_Data[[#This Row],[Duration]]&lt;=120,"1 to 2 Hours",TRUE,"More Than 2 Hours")</f>
        <v>30 to 60 Mins</v>
      </c>
      <c r="K8" s="9">
        <f>ROUND(Call_Table_Data[[#This Row],[Satisfaction Rating]],0)</f>
        <v>5</v>
      </c>
      <c r="N8" s="151" t="s">
        <v>1644</v>
      </c>
      <c r="O8" s="152" t="s">
        <v>47</v>
      </c>
      <c r="P8" s="9">
        <v>23</v>
      </c>
      <c r="Q8" s="153" t="s">
        <v>2631</v>
      </c>
    </row>
    <row r="9" spans="1:26" ht="14.5" x14ac:dyDescent="0.3">
      <c r="A9" s="9" t="s">
        <v>1623</v>
      </c>
      <c r="B9" s="9" t="s">
        <v>1624</v>
      </c>
      <c r="C9" s="9">
        <v>84</v>
      </c>
      <c r="D9" s="149" t="s">
        <v>1611</v>
      </c>
      <c r="E9" s="150">
        <v>44929</v>
      </c>
      <c r="F9" s="9">
        <v>60</v>
      </c>
      <c r="G9" s="9">
        <v>4.7</v>
      </c>
      <c r="H9" s="9">
        <f>IF(MONTH(Call_Table_Data[[#This Row],[Date of Call]])&lt;=6,YEAR(Call_Table_Data[[#This Row],[Date of Call]]),YEAR(Call_Table_Data[[#This Row],[Date of Call]])+1)</f>
        <v>2023</v>
      </c>
      <c r="I9" s="9" t="str">
        <f>TEXT(Call_Table_Data[[#This Row],[Date of Call]],"DDDD")</f>
        <v>Tuesday</v>
      </c>
      <c r="J9" s="9" t="str" cm="1">
        <f t="array" ref="J9">_xlfn.IFS(Call_Table_Data[[#This Row],[Duration]]&lt;=10,"Under 10 Mins",Call_Table_Data[[#This Row],[Duration]]&lt;=30,"10 to 30 Mins",Call_Table_Data[[#This Row],[Duration]]&lt;=60,"30 to 60 Mins",Call_Table_Data[[#This Row],[Duration]]&lt;=120,"1 to 2 Hours",TRUE,"More Than 2 Hours")</f>
        <v>1 to 2 Hours</v>
      </c>
      <c r="K9" s="9">
        <f>ROUND(Call_Table_Data[[#This Row],[Satisfaction Rating]],0)</f>
        <v>5</v>
      </c>
      <c r="N9" s="151" t="s">
        <v>1624</v>
      </c>
      <c r="O9" s="152" t="s">
        <v>33</v>
      </c>
      <c r="P9" s="9">
        <v>22</v>
      </c>
      <c r="Q9" s="153" t="s">
        <v>2632</v>
      </c>
    </row>
    <row r="10" spans="1:26" ht="14.5" x14ac:dyDescent="0.3">
      <c r="A10" s="9" t="s">
        <v>1625</v>
      </c>
      <c r="B10" s="9" t="s">
        <v>1610</v>
      </c>
      <c r="C10" s="9">
        <v>103</v>
      </c>
      <c r="D10" s="149" t="s">
        <v>1626</v>
      </c>
      <c r="E10" s="150">
        <v>44929</v>
      </c>
      <c r="F10" s="9">
        <v>148</v>
      </c>
      <c r="G10" s="9">
        <v>4.4000000000000004</v>
      </c>
      <c r="H10" s="9">
        <f>IF(MONTH(Call_Table_Data[[#This Row],[Date of Call]])&lt;=6,YEAR(Call_Table_Data[[#This Row],[Date of Call]]),YEAR(Call_Table_Data[[#This Row],[Date of Call]])+1)</f>
        <v>2023</v>
      </c>
      <c r="I10" s="9" t="str">
        <f>TEXT(Call_Table_Data[[#This Row],[Date of Call]],"DDDD")</f>
        <v>Tuesday</v>
      </c>
      <c r="J10" s="9" t="str" cm="1">
        <f t="array" ref="J10">_xlfn.IFS(Call_Table_Data[[#This Row],[Duration]]&lt;=10,"Under 10 Mins",Call_Table_Data[[#This Row],[Duration]]&lt;=30,"10 to 30 Mins",Call_Table_Data[[#This Row],[Duration]]&lt;=60,"30 to 60 Mins",Call_Table_Data[[#This Row],[Duration]]&lt;=120,"1 to 2 Hours",TRUE,"More Than 2 Hours")</f>
        <v>1 to 2 Hours</v>
      </c>
      <c r="K10" s="9">
        <f>ROUND(Call_Table_Data[[#This Row],[Satisfaction Rating]],0)</f>
        <v>4</v>
      </c>
      <c r="N10" s="151" t="s">
        <v>1682</v>
      </c>
      <c r="O10" s="152" t="s">
        <v>33</v>
      </c>
      <c r="P10" s="9">
        <v>42</v>
      </c>
      <c r="Q10" s="153" t="s">
        <v>2632</v>
      </c>
    </row>
    <row r="11" spans="1:26" ht="14.5" x14ac:dyDescent="0.3">
      <c r="A11" s="9" t="s">
        <v>1627</v>
      </c>
      <c r="B11" s="9" t="s">
        <v>1615</v>
      </c>
      <c r="C11" s="9">
        <v>31</v>
      </c>
      <c r="D11" s="149" t="s">
        <v>1616</v>
      </c>
      <c r="E11" s="150">
        <v>44929</v>
      </c>
      <c r="F11" s="9">
        <v>135</v>
      </c>
      <c r="G11" s="9">
        <v>3.6</v>
      </c>
      <c r="H11" s="9">
        <f>IF(MONTH(Call_Table_Data[[#This Row],[Date of Call]])&lt;=6,YEAR(Call_Table_Data[[#This Row],[Date of Call]]),YEAR(Call_Table_Data[[#This Row],[Date of Call]])+1)</f>
        <v>2023</v>
      </c>
      <c r="I11" s="9" t="str">
        <f>TEXT(Call_Table_Data[[#This Row],[Date of Call]],"DDDD")</f>
        <v>Tuesday</v>
      </c>
      <c r="J11" s="9" t="str" cm="1">
        <f t="array" ref="J11">_xlfn.IFS(Call_Table_Data[[#This Row],[Duration]]&lt;=10,"Under 10 Mins",Call_Table_Data[[#This Row],[Duration]]&lt;=30,"10 to 30 Mins",Call_Table_Data[[#This Row],[Duration]]&lt;=60,"30 to 60 Mins",Call_Table_Data[[#This Row],[Duration]]&lt;=120,"1 to 2 Hours",TRUE,"More Than 2 Hours")</f>
        <v>30 to 60 Mins</v>
      </c>
      <c r="K11" s="9">
        <f>ROUND(Call_Table_Data[[#This Row],[Satisfaction Rating]],0)</f>
        <v>4</v>
      </c>
      <c r="N11" s="151" t="s">
        <v>1641</v>
      </c>
      <c r="O11" s="152" t="s">
        <v>33</v>
      </c>
      <c r="P11" s="9">
        <v>25</v>
      </c>
      <c r="Q11" s="153" t="s">
        <v>2631</v>
      </c>
    </row>
    <row r="12" spans="1:26" ht="14.5" x14ac:dyDescent="0.3">
      <c r="A12" s="9" t="s">
        <v>1628</v>
      </c>
      <c r="B12" s="9" t="s">
        <v>1629</v>
      </c>
      <c r="C12" s="9">
        <v>44</v>
      </c>
      <c r="D12" s="149" t="s">
        <v>1630</v>
      </c>
      <c r="E12" s="150">
        <v>44929</v>
      </c>
      <c r="F12" s="9">
        <v>105</v>
      </c>
      <c r="G12" s="9">
        <v>2.9</v>
      </c>
      <c r="H12" s="9">
        <f>IF(MONTH(Call_Table_Data[[#This Row],[Date of Call]])&lt;=6,YEAR(Call_Table_Data[[#This Row],[Date of Call]]),YEAR(Call_Table_Data[[#This Row],[Date of Call]])+1)</f>
        <v>2023</v>
      </c>
      <c r="I12" s="9" t="str">
        <f>TEXT(Call_Table_Data[[#This Row],[Date of Call]],"DDDD")</f>
        <v>Tuesday</v>
      </c>
      <c r="J12" s="9" t="str" cm="1">
        <f t="array" ref="J12">_xlfn.IFS(Call_Table_Data[[#This Row],[Duration]]&lt;=10,"Under 10 Mins",Call_Table_Data[[#This Row],[Duration]]&lt;=30,"10 to 30 Mins",Call_Table_Data[[#This Row],[Duration]]&lt;=60,"30 to 60 Mins",Call_Table_Data[[#This Row],[Duration]]&lt;=120,"1 to 2 Hours",TRUE,"More Than 2 Hours")</f>
        <v>30 to 60 Mins</v>
      </c>
      <c r="K12" s="9">
        <f>ROUND(Call_Table_Data[[#This Row],[Satisfaction Rating]],0)</f>
        <v>3</v>
      </c>
      <c r="N12" s="151" t="s">
        <v>1629</v>
      </c>
      <c r="O12" s="152" t="s">
        <v>33</v>
      </c>
      <c r="P12" s="9">
        <v>30</v>
      </c>
      <c r="Q12" s="153" t="s">
        <v>2632</v>
      </c>
    </row>
    <row r="13" spans="1:26" x14ac:dyDescent="0.3">
      <c r="A13" s="9" t="s">
        <v>1631</v>
      </c>
      <c r="B13" s="9" t="s">
        <v>1620</v>
      </c>
      <c r="C13" s="9">
        <v>102</v>
      </c>
      <c r="D13" s="149" t="s">
        <v>1616</v>
      </c>
      <c r="E13" s="150">
        <v>44929</v>
      </c>
      <c r="F13" s="9">
        <v>69</v>
      </c>
      <c r="G13" s="9">
        <v>4.9000000000000004</v>
      </c>
      <c r="H13" s="9">
        <f>IF(MONTH(Call_Table_Data[[#This Row],[Date of Call]])&lt;=6,YEAR(Call_Table_Data[[#This Row],[Date of Call]]),YEAR(Call_Table_Data[[#This Row],[Date of Call]])+1)</f>
        <v>2023</v>
      </c>
      <c r="I13" s="9" t="str">
        <f>TEXT(Call_Table_Data[[#This Row],[Date of Call]],"DDDD")</f>
        <v>Tuesday</v>
      </c>
      <c r="J13" s="9" t="str" cm="1">
        <f t="array" ref="J13">_xlfn.IFS(Call_Table_Data[[#This Row],[Duration]]&lt;=10,"Under 10 Mins",Call_Table_Data[[#This Row],[Duration]]&lt;=30,"10 to 30 Mins",Call_Table_Data[[#This Row],[Duration]]&lt;=60,"30 to 60 Mins",Call_Table_Data[[#This Row],[Duration]]&lt;=120,"1 to 2 Hours",TRUE,"More Than 2 Hours")</f>
        <v>1 to 2 Hours</v>
      </c>
      <c r="K13" s="9">
        <f>ROUND(Call_Table_Data[[#This Row],[Satisfaction Rating]],0)</f>
        <v>5</v>
      </c>
      <c r="N13" s="151" t="s">
        <v>1620</v>
      </c>
      <c r="O13" s="152" t="s">
        <v>33</v>
      </c>
      <c r="P13" s="9">
        <v>30</v>
      </c>
      <c r="Q13" s="153" t="s">
        <v>2633</v>
      </c>
    </row>
    <row r="14" spans="1:26" x14ac:dyDescent="0.3">
      <c r="A14" s="9" t="s">
        <v>1632</v>
      </c>
      <c r="B14" s="9" t="s">
        <v>1633</v>
      </c>
      <c r="C14" s="9">
        <v>135</v>
      </c>
      <c r="D14" s="149" t="s">
        <v>1611</v>
      </c>
      <c r="E14" s="150">
        <v>44929</v>
      </c>
      <c r="F14" s="9">
        <v>46</v>
      </c>
      <c r="G14" s="9">
        <v>3.4</v>
      </c>
      <c r="H14" s="9">
        <f>IF(MONTH(Call_Table_Data[[#This Row],[Date of Call]])&lt;=6,YEAR(Call_Table_Data[[#This Row],[Date of Call]]),YEAR(Call_Table_Data[[#This Row],[Date of Call]])+1)</f>
        <v>2023</v>
      </c>
      <c r="I14" s="9" t="str">
        <f>TEXT(Call_Table_Data[[#This Row],[Date of Call]],"DDDD")</f>
        <v>Tuesday</v>
      </c>
      <c r="J14" s="9" t="str" cm="1">
        <f t="array" ref="J14">_xlfn.IFS(Call_Table_Data[[#This Row],[Duration]]&lt;=10,"Under 10 Mins",Call_Table_Data[[#This Row],[Duration]]&lt;=30,"10 to 30 Mins",Call_Table_Data[[#This Row],[Duration]]&lt;=60,"30 to 60 Mins",Call_Table_Data[[#This Row],[Duration]]&lt;=120,"1 to 2 Hours",TRUE,"More Than 2 Hours")</f>
        <v>More Than 2 Hours</v>
      </c>
      <c r="K14" s="9">
        <f>ROUND(Call_Table_Data[[#This Row],[Satisfaction Rating]],0)</f>
        <v>3</v>
      </c>
      <c r="N14" s="151" t="s">
        <v>1652</v>
      </c>
      <c r="O14" s="152" t="s">
        <v>33</v>
      </c>
      <c r="P14" s="9">
        <v>28</v>
      </c>
      <c r="Q14" s="153" t="s">
        <v>2633</v>
      </c>
    </row>
    <row r="15" spans="1:26" x14ac:dyDescent="0.3">
      <c r="A15" s="9" t="s">
        <v>1634</v>
      </c>
      <c r="B15" s="9" t="s">
        <v>1635</v>
      </c>
      <c r="C15" s="9">
        <v>98</v>
      </c>
      <c r="D15" s="149" t="s">
        <v>1616</v>
      </c>
      <c r="E15" s="150">
        <v>44930</v>
      </c>
      <c r="F15" s="9">
        <v>108</v>
      </c>
      <c r="G15" s="9">
        <v>3.5</v>
      </c>
      <c r="H15" s="9">
        <f>IF(MONTH(Call_Table_Data[[#This Row],[Date of Call]])&lt;=6,YEAR(Call_Table_Data[[#This Row],[Date of Call]]),YEAR(Call_Table_Data[[#This Row],[Date of Call]])+1)</f>
        <v>2023</v>
      </c>
      <c r="I15" s="9" t="str">
        <f>TEXT(Call_Table_Data[[#This Row],[Date of Call]],"DDDD")</f>
        <v>Wednesday</v>
      </c>
      <c r="J15" s="9" t="str" cm="1">
        <f t="array" ref="J15">_xlfn.IFS(Call_Table_Data[[#This Row],[Duration]]&lt;=10,"Under 10 Mins",Call_Table_Data[[#This Row],[Duration]]&lt;=30,"10 to 30 Mins",Call_Table_Data[[#This Row],[Duration]]&lt;=60,"30 to 60 Mins",Call_Table_Data[[#This Row],[Duration]]&lt;=120,"1 to 2 Hours",TRUE,"More Than 2 Hours")</f>
        <v>1 to 2 Hours</v>
      </c>
      <c r="K15" s="9">
        <f>ROUND(Call_Table_Data[[#This Row],[Satisfaction Rating]],0)</f>
        <v>4</v>
      </c>
      <c r="N15" s="151" t="s">
        <v>1633</v>
      </c>
      <c r="O15" s="152" t="s">
        <v>33</v>
      </c>
      <c r="P15" s="9">
        <v>37</v>
      </c>
      <c r="Q15" s="153" t="s">
        <v>2632</v>
      </c>
    </row>
    <row r="16" spans="1:26" x14ac:dyDescent="0.3">
      <c r="A16" s="9" t="s">
        <v>1636</v>
      </c>
      <c r="B16" s="9" t="s">
        <v>1629</v>
      </c>
      <c r="C16" s="9">
        <v>139</v>
      </c>
      <c r="D16" s="149" t="s">
        <v>1616</v>
      </c>
      <c r="E16" s="150">
        <v>44930</v>
      </c>
      <c r="F16" s="9">
        <v>96</v>
      </c>
      <c r="G16" s="9">
        <v>4</v>
      </c>
      <c r="H16" s="9">
        <f>IF(MONTH(Call_Table_Data[[#This Row],[Date of Call]])&lt;=6,YEAR(Call_Table_Data[[#This Row],[Date of Call]]),YEAR(Call_Table_Data[[#This Row],[Date of Call]])+1)</f>
        <v>2023</v>
      </c>
      <c r="I16" s="9" t="str">
        <f>TEXT(Call_Table_Data[[#This Row],[Date of Call]],"DDDD")</f>
        <v>Wednesday</v>
      </c>
      <c r="J16" s="9" t="str" cm="1">
        <f t="array" ref="J16">_xlfn.IFS(Call_Table_Data[[#This Row],[Duration]]&lt;=10,"Under 10 Mins",Call_Table_Data[[#This Row],[Duration]]&lt;=30,"10 to 30 Mins",Call_Table_Data[[#This Row],[Duration]]&lt;=60,"30 to 60 Mins",Call_Table_Data[[#This Row],[Duration]]&lt;=120,"1 to 2 Hours",TRUE,"More Than 2 Hours")</f>
        <v>More Than 2 Hours</v>
      </c>
      <c r="K16" s="9">
        <f>ROUND(Call_Table_Data[[#This Row],[Satisfaction Rating]],0)</f>
        <v>4</v>
      </c>
      <c r="N16" s="151" t="s">
        <v>1618</v>
      </c>
      <c r="O16" s="152" t="s">
        <v>33</v>
      </c>
      <c r="P16" s="9">
        <v>38</v>
      </c>
      <c r="Q16" s="153" t="s">
        <v>2631</v>
      </c>
    </row>
    <row r="17" spans="1:17" x14ac:dyDescent="0.3">
      <c r="A17" s="9" t="s">
        <v>1637</v>
      </c>
      <c r="B17" s="9" t="s">
        <v>1633</v>
      </c>
      <c r="C17" s="9">
        <v>48</v>
      </c>
      <c r="D17" s="149" t="s">
        <v>1621</v>
      </c>
      <c r="E17" s="150">
        <v>44930</v>
      </c>
      <c r="F17" s="9">
        <v>68</v>
      </c>
      <c r="G17" s="9">
        <v>4.9000000000000004</v>
      </c>
      <c r="H17" s="9">
        <f>IF(MONTH(Call_Table_Data[[#This Row],[Date of Call]])&lt;=6,YEAR(Call_Table_Data[[#This Row],[Date of Call]]),YEAR(Call_Table_Data[[#This Row],[Date of Call]])+1)</f>
        <v>2023</v>
      </c>
      <c r="I17" s="9" t="str">
        <f>TEXT(Call_Table_Data[[#This Row],[Date of Call]],"DDDD")</f>
        <v>Wednesday</v>
      </c>
      <c r="J17" s="9" t="str" cm="1">
        <f t="array" ref="J17">_xlfn.IFS(Call_Table_Data[[#This Row],[Duration]]&lt;=10,"Under 10 Mins",Call_Table_Data[[#This Row],[Duration]]&lt;=30,"10 to 30 Mins",Call_Table_Data[[#This Row],[Duration]]&lt;=60,"30 to 60 Mins",Call_Table_Data[[#This Row],[Duration]]&lt;=120,"1 to 2 Hours",TRUE,"More Than 2 Hours")</f>
        <v>30 to 60 Mins</v>
      </c>
      <c r="K17" s="9">
        <f>ROUND(Call_Table_Data[[#This Row],[Satisfaction Rating]],0)</f>
        <v>5</v>
      </c>
      <c r="N17" s="154" t="s">
        <v>1649</v>
      </c>
      <c r="O17" s="155" t="s">
        <v>33</v>
      </c>
      <c r="P17" s="156">
        <v>43</v>
      </c>
      <c r="Q17" s="157" t="s">
        <v>2632</v>
      </c>
    </row>
    <row r="18" spans="1:17" x14ac:dyDescent="0.3">
      <c r="A18" s="9" t="s">
        <v>1638</v>
      </c>
      <c r="B18" s="9" t="s">
        <v>1629</v>
      </c>
      <c r="C18" s="9">
        <v>176</v>
      </c>
      <c r="D18" s="149" t="s">
        <v>1611</v>
      </c>
      <c r="E18" s="150">
        <v>44931</v>
      </c>
      <c r="F18" s="9">
        <v>24</v>
      </c>
      <c r="G18" s="9">
        <v>4.8</v>
      </c>
      <c r="H18" s="9">
        <f>IF(MONTH(Call_Table_Data[[#This Row],[Date of Call]])&lt;=6,YEAR(Call_Table_Data[[#This Row],[Date of Call]]),YEAR(Call_Table_Data[[#This Row],[Date of Call]])+1)</f>
        <v>2023</v>
      </c>
      <c r="I18" s="9" t="str">
        <f>TEXT(Call_Table_Data[[#This Row],[Date of Call]],"DDDD")</f>
        <v>Thursday</v>
      </c>
      <c r="J18" s="9" t="str" cm="1">
        <f t="array" ref="J18">_xlfn.IFS(Call_Table_Data[[#This Row],[Duration]]&lt;=10,"Under 10 Mins",Call_Table_Data[[#This Row],[Duration]]&lt;=30,"10 to 30 Mins",Call_Table_Data[[#This Row],[Duration]]&lt;=60,"30 to 60 Mins",Call_Table_Data[[#This Row],[Duration]]&lt;=120,"1 to 2 Hours",TRUE,"More Than 2 Hours")</f>
        <v>More Than 2 Hours</v>
      </c>
      <c r="K18" s="9">
        <f>ROUND(Call_Table_Data[[#This Row],[Satisfaction Rating]],0)</f>
        <v>5</v>
      </c>
    </row>
    <row r="19" spans="1:17" x14ac:dyDescent="0.3">
      <c r="A19" s="9" t="s">
        <v>1639</v>
      </c>
      <c r="B19" s="9" t="s">
        <v>1629</v>
      </c>
      <c r="C19" s="9">
        <v>99</v>
      </c>
      <c r="D19" s="149" t="s">
        <v>1621</v>
      </c>
      <c r="E19" s="150">
        <v>44931</v>
      </c>
      <c r="F19" s="9">
        <v>195</v>
      </c>
      <c r="G19" s="9">
        <v>3.9</v>
      </c>
      <c r="H19" s="9">
        <f>IF(MONTH(Call_Table_Data[[#This Row],[Date of Call]])&lt;=6,YEAR(Call_Table_Data[[#This Row],[Date of Call]]),YEAR(Call_Table_Data[[#This Row],[Date of Call]])+1)</f>
        <v>2023</v>
      </c>
      <c r="I19" s="9" t="str">
        <f>TEXT(Call_Table_Data[[#This Row],[Date of Call]],"DDDD")</f>
        <v>Thursday</v>
      </c>
      <c r="J19" s="9" t="str" cm="1">
        <f t="array" ref="J19">_xlfn.IFS(Call_Table_Data[[#This Row],[Duration]]&lt;=10,"Under 10 Mins",Call_Table_Data[[#This Row],[Duration]]&lt;=30,"10 to 30 Mins",Call_Table_Data[[#This Row],[Duration]]&lt;=60,"30 to 60 Mins",Call_Table_Data[[#This Row],[Duration]]&lt;=120,"1 to 2 Hours",TRUE,"More Than 2 Hours")</f>
        <v>1 to 2 Hours</v>
      </c>
      <c r="K19" s="9">
        <f>ROUND(Call_Table_Data[[#This Row],[Satisfaction Rating]],0)</f>
        <v>4</v>
      </c>
    </row>
    <row r="20" spans="1:17" x14ac:dyDescent="0.3">
      <c r="A20" s="9" t="s">
        <v>1640</v>
      </c>
      <c r="B20" s="9" t="s">
        <v>1641</v>
      </c>
      <c r="C20" s="9">
        <v>28</v>
      </c>
      <c r="D20" s="149" t="s">
        <v>1630</v>
      </c>
      <c r="E20" s="150">
        <v>44931</v>
      </c>
      <c r="F20" s="9">
        <v>28</v>
      </c>
      <c r="G20" s="9">
        <v>3.8</v>
      </c>
      <c r="H20" s="9">
        <f>IF(MONTH(Call_Table_Data[[#This Row],[Date of Call]])&lt;=6,YEAR(Call_Table_Data[[#This Row],[Date of Call]]),YEAR(Call_Table_Data[[#This Row],[Date of Call]])+1)</f>
        <v>2023</v>
      </c>
      <c r="I20" s="9" t="str">
        <f>TEXT(Call_Table_Data[[#This Row],[Date of Call]],"DDDD")</f>
        <v>Thursday</v>
      </c>
      <c r="J20" s="9" t="str" cm="1">
        <f t="array" ref="J20">_xlfn.IFS(Call_Table_Data[[#This Row],[Duration]]&lt;=10,"Under 10 Mins",Call_Table_Data[[#This Row],[Duration]]&lt;=30,"10 to 30 Mins",Call_Table_Data[[#This Row],[Duration]]&lt;=60,"30 to 60 Mins",Call_Table_Data[[#This Row],[Duration]]&lt;=120,"1 to 2 Hours",TRUE,"More Than 2 Hours")</f>
        <v>10 to 30 Mins</v>
      </c>
      <c r="K20" s="9">
        <f>ROUND(Call_Table_Data[[#This Row],[Satisfaction Rating]],0)</f>
        <v>4</v>
      </c>
    </row>
    <row r="21" spans="1:17" x14ac:dyDescent="0.3">
      <c r="A21" s="9" t="s">
        <v>1642</v>
      </c>
      <c r="B21" s="9" t="s">
        <v>1624</v>
      </c>
      <c r="C21" s="9">
        <v>54</v>
      </c>
      <c r="D21" s="149" t="s">
        <v>1616</v>
      </c>
      <c r="E21" s="150">
        <v>44931</v>
      </c>
      <c r="F21" s="9">
        <v>170</v>
      </c>
      <c r="G21" s="9">
        <v>4.3</v>
      </c>
      <c r="H21" s="9">
        <f>IF(MONTH(Call_Table_Data[[#This Row],[Date of Call]])&lt;=6,YEAR(Call_Table_Data[[#This Row],[Date of Call]]),YEAR(Call_Table_Data[[#This Row],[Date of Call]])+1)</f>
        <v>2023</v>
      </c>
      <c r="I21" s="9" t="str">
        <f>TEXT(Call_Table_Data[[#This Row],[Date of Call]],"DDDD")</f>
        <v>Thursday</v>
      </c>
      <c r="J21" s="9" t="str" cm="1">
        <f t="array" ref="J21">_xlfn.IFS(Call_Table_Data[[#This Row],[Duration]]&lt;=10,"Under 10 Mins",Call_Table_Data[[#This Row],[Duration]]&lt;=30,"10 to 30 Mins",Call_Table_Data[[#This Row],[Duration]]&lt;=60,"30 to 60 Mins",Call_Table_Data[[#This Row],[Duration]]&lt;=120,"1 to 2 Hours",TRUE,"More Than 2 Hours")</f>
        <v>30 to 60 Mins</v>
      </c>
      <c r="K21" s="9">
        <f>ROUND(Call_Table_Data[[#This Row],[Satisfaction Rating]],0)</f>
        <v>4</v>
      </c>
    </row>
    <row r="22" spans="1:17" x14ac:dyDescent="0.3">
      <c r="A22" s="9" t="s">
        <v>1643</v>
      </c>
      <c r="B22" s="9" t="s">
        <v>1644</v>
      </c>
      <c r="C22" s="9">
        <v>48</v>
      </c>
      <c r="D22" s="149" t="s">
        <v>1611</v>
      </c>
      <c r="E22" s="150">
        <v>44932</v>
      </c>
      <c r="F22" s="9">
        <v>30</v>
      </c>
      <c r="G22" s="9">
        <v>4.4000000000000004</v>
      </c>
      <c r="H22" s="9">
        <f>IF(MONTH(Call_Table_Data[[#This Row],[Date of Call]])&lt;=6,YEAR(Call_Table_Data[[#This Row],[Date of Call]]),YEAR(Call_Table_Data[[#This Row],[Date of Call]])+1)</f>
        <v>2023</v>
      </c>
      <c r="I22" s="9" t="str">
        <f>TEXT(Call_Table_Data[[#This Row],[Date of Call]],"DDDD")</f>
        <v>Friday</v>
      </c>
      <c r="J22" s="9" t="str" cm="1">
        <f t="array" ref="J22">_xlfn.IFS(Call_Table_Data[[#This Row],[Duration]]&lt;=10,"Under 10 Mins",Call_Table_Data[[#This Row],[Duration]]&lt;=30,"10 to 30 Mins",Call_Table_Data[[#This Row],[Duration]]&lt;=60,"30 to 60 Mins",Call_Table_Data[[#This Row],[Duration]]&lt;=120,"1 to 2 Hours",TRUE,"More Than 2 Hours")</f>
        <v>30 to 60 Mins</v>
      </c>
      <c r="K22" s="9">
        <f>ROUND(Call_Table_Data[[#This Row],[Satisfaction Rating]],0)</f>
        <v>4</v>
      </c>
      <c r="M22" s="95"/>
    </row>
    <row r="23" spans="1:17" x14ac:dyDescent="0.3">
      <c r="A23" s="9" t="s">
        <v>1645</v>
      </c>
      <c r="B23" s="9" t="s">
        <v>1613</v>
      </c>
      <c r="C23" s="9">
        <v>128</v>
      </c>
      <c r="D23" s="149" t="s">
        <v>1611</v>
      </c>
      <c r="E23" s="150">
        <v>44932</v>
      </c>
      <c r="F23" s="9">
        <v>72</v>
      </c>
      <c r="G23" s="9">
        <v>5</v>
      </c>
      <c r="H23" s="9">
        <f>IF(MONTH(Call_Table_Data[[#This Row],[Date of Call]])&lt;=6,YEAR(Call_Table_Data[[#This Row],[Date of Call]]),YEAR(Call_Table_Data[[#This Row],[Date of Call]])+1)</f>
        <v>2023</v>
      </c>
      <c r="I23" s="9" t="str">
        <f>TEXT(Call_Table_Data[[#This Row],[Date of Call]],"DDDD")</f>
        <v>Friday</v>
      </c>
      <c r="J23" s="9" t="str" cm="1">
        <f t="array" ref="J23">_xlfn.IFS(Call_Table_Data[[#This Row],[Duration]]&lt;=10,"Under 10 Mins",Call_Table_Data[[#This Row],[Duration]]&lt;=30,"10 to 30 Mins",Call_Table_Data[[#This Row],[Duration]]&lt;=60,"30 to 60 Mins",Call_Table_Data[[#This Row],[Duration]]&lt;=120,"1 to 2 Hours",TRUE,"More Than 2 Hours")</f>
        <v>More Than 2 Hours</v>
      </c>
      <c r="K23" s="9">
        <f>ROUND(Call_Table_Data[[#This Row],[Satisfaction Rating]],0)</f>
        <v>5</v>
      </c>
    </row>
    <row r="24" spans="1:17" x14ac:dyDescent="0.3">
      <c r="A24" s="9" t="s">
        <v>1646</v>
      </c>
      <c r="B24" s="9" t="s">
        <v>1613</v>
      </c>
      <c r="C24" s="9">
        <v>38</v>
      </c>
      <c r="D24" s="149" t="s">
        <v>1626</v>
      </c>
      <c r="E24" s="150">
        <v>44933</v>
      </c>
      <c r="F24" s="9">
        <v>92</v>
      </c>
      <c r="G24" s="9">
        <v>4.9000000000000004</v>
      </c>
      <c r="H24" s="9">
        <f>IF(MONTH(Call_Table_Data[[#This Row],[Date of Call]])&lt;=6,YEAR(Call_Table_Data[[#This Row],[Date of Call]]),YEAR(Call_Table_Data[[#This Row],[Date of Call]])+1)</f>
        <v>2023</v>
      </c>
      <c r="I24" s="9" t="str">
        <f>TEXT(Call_Table_Data[[#This Row],[Date of Call]],"DDDD")</f>
        <v>Saturday</v>
      </c>
      <c r="J24" s="9" t="str" cm="1">
        <f t="array" ref="J24">_xlfn.IFS(Call_Table_Data[[#This Row],[Duration]]&lt;=10,"Under 10 Mins",Call_Table_Data[[#This Row],[Duration]]&lt;=30,"10 to 30 Mins",Call_Table_Data[[#This Row],[Duration]]&lt;=60,"30 to 60 Mins",Call_Table_Data[[#This Row],[Duration]]&lt;=120,"1 to 2 Hours",TRUE,"More Than 2 Hours")</f>
        <v>30 to 60 Mins</v>
      </c>
      <c r="K24" s="9">
        <f>ROUND(Call_Table_Data[[#This Row],[Satisfaction Rating]],0)</f>
        <v>5</v>
      </c>
    </row>
    <row r="25" spans="1:17" x14ac:dyDescent="0.3">
      <c r="A25" s="9" t="s">
        <v>1647</v>
      </c>
      <c r="B25" s="9" t="s">
        <v>1610</v>
      </c>
      <c r="C25" s="9">
        <v>67</v>
      </c>
      <c r="D25" s="149" t="s">
        <v>1626</v>
      </c>
      <c r="E25" s="150">
        <v>44934</v>
      </c>
      <c r="F25" s="9">
        <v>165</v>
      </c>
      <c r="G25" s="9">
        <v>4.5</v>
      </c>
      <c r="H25" s="9">
        <f>IF(MONTH(Call_Table_Data[[#This Row],[Date of Call]])&lt;=6,YEAR(Call_Table_Data[[#This Row],[Date of Call]]),YEAR(Call_Table_Data[[#This Row],[Date of Call]])+1)</f>
        <v>2023</v>
      </c>
      <c r="I25" s="9" t="str">
        <f>TEXT(Call_Table_Data[[#This Row],[Date of Call]],"DDDD")</f>
        <v>Sunday</v>
      </c>
      <c r="J25" s="9" t="str" cm="1">
        <f t="array" ref="J25">_xlfn.IFS(Call_Table_Data[[#This Row],[Duration]]&lt;=10,"Under 10 Mins",Call_Table_Data[[#This Row],[Duration]]&lt;=30,"10 to 30 Mins",Call_Table_Data[[#This Row],[Duration]]&lt;=60,"30 to 60 Mins",Call_Table_Data[[#This Row],[Duration]]&lt;=120,"1 to 2 Hours",TRUE,"More Than 2 Hours")</f>
        <v>1 to 2 Hours</v>
      </c>
      <c r="K25" s="9">
        <f>ROUND(Call_Table_Data[[#This Row],[Satisfaction Rating]],0)</f>
        <v>5</v>
      </c>
    </row>
    <row r="26" spans="1:17" x14ac:dyDescent="0.3">
      <c r="A26" s="9" t="s">
        <v>1648</v>
      </c>
      <c r="B26" s="9" t="s">
        <v>1649</v>
      </c>
      <c r="C26" s="9">
        <v>58</v>
      </c>
      <c r="D26" s="149" t="s">
        <v>1616</v>
      </c>
      <c r="E26" s="150">
        <v>44934</v>
      </c>
      <c r="F26" s="9">
        <v>140</v>
      </c>
      <c r="G26" s="9">
        <v>2.1</v>
      </c>
      <c r="H26" s="9">
        <f>IF(MONTH(Call_Table_Data[[#This Row],[Date of Call]])&lt;=6,YEAR(Call_Table_Data[[#This Row],[Date of Call]]),YEAR(Call_Table_Data[[#This Row],[Date of Call]])+1)</f>
        <v>2023</v>
      </c>
      <c r="I26" s="9" t="str">
        <f>TEXT(Call_Table_Data[[#This Row],[Date of Call]],"DDDD")</f>
        <v>Sunday</v>
      </c>
      <c r="J26" s="9" t="str" cm="1">
        <f t="array" ref="J26">_xlfn.IFS(Call_Table_Data[[#This Row],[Duration]]&lt;=10,"Under 10 Mins",Call_Table_Data[[#This Row],[Duration]]&lt;=30,"10 to 30 Mins",Call_Table_Data[[#This Row],[Duration]]&lt;=60,"30 to 60 Mins",Call_Table_Data[[#This Row],[Duration]]&lt;=120,"1 to 2 Hours",TRUE,"More Than 2 Hours")</f>
        <v>30 to 60 Mins</v>
      </c>
      <c r="K26" s="9">
        <f>ROUND(Call_Table_Data[[#This Row],[Satisfaction Rating]],0)</f>
        <v>2</v>
      </c>
    </row>
    <row r="27" spans="1:17" x14ac:dyDescent="0.3">
      <c r="A27" s="9" t="s">
        <v>1650</v>
      </c>
      <c r="B27" s="9" t="s">
        <v>1629</v>
      </c>
      <c r="C27" s="9">
        <v>54</v>
      </c>
      <c r="D27" s="149" t="s">
        <v>1621</v>
      </c>
      <c r="E27" s="150">
        <v>44934</v>
      </c>
      <c r="F27" s="9">
        <v>111</v>
      </c>
      <c r="G27" s="9">
        <v>3.3</v>
      </c>
      <c r="H27" s="9">
        <f>IF(MONTH(Call_Table_Data[[#This Row],[Date of Call]])&lt;=6,YEAR(Call_Table_Data[[#This Row],[Date of Call]]),YEAR(Call_Table_Data[[#This Row],[Date of Call]])+1)</f>
        <v>2023</v>
      </c>
      <c r="I27" s="9" t="str">
        <f>TEXT(Call_Table_Data[[#This Row],[Date of Call]],"DDDD")</f>
        <v>Sunday</v>
      </c>
      <c r="J27" s="9" t="str" cm="1">
        <f t="array" ref="J27">_xlfn.IFS(Call_Table_Data[[#This Row],[Duration]]&lt;=10,"Under 10 Mins",Call_Table_Data[[#This Row],[Duration]]&lt;=30,"10 to 30 Mins",Call_Table_Data[[#This Row],[Duration]]&lt;=60,"30 to 60 Mins",Call_Table_Data[[#This Row],[Duration]]&lt;=120,"1 to 2 Hours",TRUE,"More Than 2 Hours")</f>
        <v>30 to 60 Mins</v>
      </c>
      <c r="K27" s="9">
        <f>ROUND(Call_Table_Data[[#This Row],[Satisfaction Rating]],0)</f>
        <v>3</v>
      </c>
      <c r="M27" s="95"/>
    </row>
    <row r="28" spans="1:17" x14ac:dyDescent="0.3">
      <c r="A28" s="9" t="s">
        <v>1651</v>
      </c>
      <c r="B28" s="9" t="s">
        <v>1652</v>
      </c>
      <c r="C28" s="9">
        <v>28</v>
      </c>
      <c r="D28" s="149" t="s">
        <v>1611</v>
      </c>
      <c r="E28" s="150">
        <v>44935</v>
      </c>
      <c r="F28" s="9">
        <v>63</v>
      </c>
      <c r="G28" s="9">
        <v>4.0999999999999996</v>
      </c>
      <c r="H28" s="9">
        <f>IF(MONTH(Call_Table_Data[[#This Row],[Date of Call]])&lt;=6,YEAR(Call_Table_Data[[#This Row],[Date of Call]]),YEAR(Call_Table_Data[[#This Row],[Date of Call]])+1)</f>
        <v>2023</v>
      </c>
      <c r="I28" s="9" t="str">
        <f>TEXT(Call_Table_Data[[#This Row],[Date of Call]],"DDDD")</f>
        <v>Monday</v>
      </c>
      <c r="J28" s="9" t="str" cm="1">
        <f t="array" ref="J28">_xlfn.IFS(Call_Table_Data[[#This Row],[Duration]]&lt;=10,"Under 10 Mins",Call_Table_Data[[#This Row],[Duration]]&lt;=30,"10 to 30 Mins",Call_Table_Data[[#This Row],[Duration]]&lt;=60,"30 to 60 Mins",Call_Table_Data[[#This Row],[Duration]]&lt;=120,"1 to 2 Hours",TRUE,"More Than 2 Hours")</f>
        <v>10 to 30 Mins</v>
      </c>
      <c r="K28" s="9">
        <f>ROUND(Call_Table_Data[[#This Row],[Satisfaction Rating]],0)</f>
        <v>4</v>
      </c>
    </row>
    <row r="29" spans="1:17" x14ac:dyDescent="0.3">
      <c r="A29" s="9" t="s">
        <v>1653</v>
      </c>
      <c r="B29" s="9" t="s">
        <v>1635</v>
      </c>
      <c r="C29" s="9">
        <v>73</v>
      </c>
      <c r="D29" s="149" t="s">
        <v>1611</v>
      </c>
      <c r="E29" s="150">
        <v>44935</v>
      </c>
      <c r="F29" s="9">
        <v>80</v>
      </c>
      <c r="G29" s="9">
        <v>4.2</v>
      </c>
      <c r="H29" s="9">
        <f>IF(MONTH(Call_Table_Data[[#This Row],[Date of Call]])&lt;=6,YEAR(Call_Table_Data[[#This Row],[Date of Call]]),YEAR(Call_Table_Data[[#This Row],[Date of Call]])+1)</f>
        <v>2023</v>
      </c>
      <c r="I29" s="9" t="str">
        <f>TEXT(Call_Table_Data[[#This Row],[Date of Call]],"DDDD")</f>
        <v>Monday</v>
      </c>
      <c r="J29" s="9" t="str" cm="1">
        <f t="array" ref="J29">_xlfn.IFS(Call_Table_Data[[#This Row],[Duration]]&lt;=10,"Under 10 Mins",Call_Table_Data[[#This Row],[Duration]]&lt;=30,"10 to 30 Mins",Call_Table_Data[[#This Row],[Duration]]&lt;=60,"30 to 60 Mins",Call_Table_Data[[#This Row],[Duration]]&lt;=120,"1 to 2 Hours",TRUE,"More Than 2 Hours")</f>
        <v>1 to 2 Hours</v>
      </c>
      <c r="K29" s="9">
        <f>ROUND(Call_Table_Data[[#This Row],[Satisfaction Rating]],0)</f>
        <v>4</v>
      </c>
    </row>
    <row r="30" spans="1:17" x14ac:dyDescent="0.3">
      <c r="A30" s="9" t="s">
        <v>1654</v>
      </c>
      <c r="B30" s="9" t="s">
        <v>1620</v>
      </c>
      <c r="C30" s="9">
        <v>81</v>
      </c>
      <c r="D30" s="149" t="s">
        <v>1611</v>
      </c>
      <c r="E30" s="150">
        <v>44936</v>
      </c>
      <c r="F30" s="9">
        <v>50</v>
      </c>
      <c r="G30" s="9">
        <v>4.5999999999999996</v>
      </c>
      <c r="H30" s="9">
        <f>IF(MONTH(Call_Table_Data[[#This Row],[Date of Call]])&lt;=6,YEAR(Call_Table_Data[[#This Row],[Date of Call]]),YEAR(Call_Table_Data[[#This Row],[Date of Call]])+1)</f>
        <v>2023</v>
      </c>
      <c r="I30" s="9" t="str">
        <f>TEXT(Call_Table_Data[[#This Row],[Date of Call]],"DDDD")</f>
        <v>Tuesday</v>
      </c>
      <c r="J30" s="9" t="str" cm="1">
        <f t="array" ref="J30">_xlfn.IFS(Call_Table_Data[[#This Row],[Duration]]&lt;=10,"Under 10 Mins",Call_Table_Data[[#This Row],[Duration]]&lt;=30,"10 to 30 Mins",Call_Table_Data[[#This Row],[Duration]]&lt;=60,"30 to 60 Mins",Call_Table_Data[[#This Row],[Duration]]&lt;=120,"1 to 2 Hours",TRUE,"More Than 2 Hours")</f>
        <v>1 to 2 Hours</v>
      </c>
      <c r="K30" s="9">
        <f>ROUND(Call_Table_Data[[#This Row],[Satisfaction Rating]],0)</f>
        <v>5</v>
      </c>
      <c r="M30" s="95"/>
    </row>
    <row r="31" spans="1:17" x14ac:dyDescent="0.3">
      <c r="A31" s="9" t="s">
        <v>1655</v>
      </c>
      <c r="B31" s="9" t="s">
        <v>1641</v>
      </c>
      <c r="C31" s="9">
        <v>31</v>
      </c>
      <c r="D31" s="149" t="s">
        <v>1626</v>
      </c>
      <c r="E31" s="150">
        <v>44936</v>
      </c>
      <c r="F31" s="9">
        <v>123</v>
      </c>
      <c r="G31" s="9">
        <v>2.9</v>
      </c>
      <c r="H31" s="9">
        <f>IF(MONTH(Call_Table_Data[[#This Row],[Date of Call]])&lt;=6,YEAR(Call_Table_Data[[#This Row],[Date of Call]]),YEAR(Call_Table_Data[[#This Row],[Date of Call]])+1)</f>
        <v>2023</v>
      </c>
      <c r="I31" s="9" t="str">
        <f>TEXT(Call_Table_Data[[#This Row],[Date of Call]],"DDDD")</f>
        <v>Tuesday</v>
      </c>
      <c r="J31" s="9" t="str" cm="1">
        <f t="array" ref="J31">_xlfn.IFS(Call_Table_Data[[#This Row],[Duration]]&lt;=10,"Under 10 Mins",Call_Table_Data[[#This Row],[Duration]]&lt;=30,"10 to 30 Mins",Call_Table_Data[[#This Row],[Duration]]&lt;=60,"30 to 60 Mins",Call_Table_Data[[#This Row],[Duration]]&lt;=120,"1 to 2 Hours",TRUE,"More Than 2 Hours")</f>
        <v>30 to 60 Mins</v>
      </c>
      <c r="K31" s="9">
        <f>ROUND(Call_Table_Data[[#This Row],[Satisfaction Rating]],0)</f>
        <v>3</v>
      </c>
    </row>
    <row r="32" spans="1:17" x14ac:dyDescent="0.3">
      <c r="A32" s="9" t="s">
        <v>1656</v>
      </c>
      <c r="B32" s="9" t="s">
        <v>1649</v>
      </c>
      <c r="C32" s="9">
        <v>155</v>
      </c>
      <c r="D32" s="149" t="s">
        <v>1621</v>
      </c>
      <c r="E32" s="150">
        <v>44936</v>
      </c>
      <c r="F32" s="9">
        <v>110</v>
      </c>
      <c r="G32" s="9">
        <v>4.8</v>
      </c>
      <c r="H32" s="9">
        <f>IF(MONTH(Call_Table_Data[[#This Row],[Date of Call]])&lt;=6,YEAR(Call_Table_Data[[#This Row],[Date of Call]]),YEAR(Call_Table_Data[[#This Row],[Date of Call]])+1)</f>
        <v>2023</v>
      </c>
      <c r="I32" s="9" t="str">
        <f>TEXT(Call_Table_Data[[#This Row],[Date of Call]],"DDDD")</f>
        <v>Tuesday</v>
      </c>
      <c r="J32" s="9" t="str" cm="1">
        <f t="array" ref="J32">_xlfn.IFS(Call_Table_Data[[#This Row],[Duration]]&lt;=10,"Under 10 Mins",Call_Table_Data[[#This Row],[Duration]]&lt;=30,"10 to 30 Mins",Call_Table_Data[[#This Row],[Duration]]&lt;=60,"30 to 60 Mins",Call_Table_Data[[#This Row],[Duration]]&lt;=120,"1 to 2 Hours",TRUE,"More Than 2 Hours")</f>
        <v>More Than 2 Hours</v>
      </c>
      <c r="K32" s="9">
        <f>ROUND(Call_Table_Data[[#This Row],[Satisfaction Rating]],0)</f>
        <v>5</v>
      </c>
    </row>
    <row r="33" spans="1:13" x14ac:dyDescent="0.3">
      <c r="A33" s="9" t="s">
        <v>1657</v>
      </c>
      <c r="B33" s="9" t="s">
        <v>1641</v>
      </c>
      <c r="C33" s="9">
        <v>80</v>
      </c>
      <c r="D33" s="149" t="s">
        <v>1611</v>
      </c>
      <c r="E33" s="150">
        <v>44936</v>
      </c>
      <c r="F33" s="9">
        <v>140</v>
      </c>
      <c r="G33" s="9">
        <v>4.2</v>
      </c>
      <c r="H33" s="9">
        <f>IF(MONTH(Call_Table_Data[[#This Row],[Date of Call]])&lt;=6,YEAR(Call_Table_Data[[#This Row],[Date of Call]]),YEAR(Call_Table_Data[[#This Row],[Date of Call]])+1)</f>
        <v>2023</v>
      </c>
      <c r="I33" s="9" t="str">
        <f>TEXT(Call_Table_Data[[#This Row],[Date of Call]],"DDDD")</f>
        <v>Tuesday</v>
      </c>
      <c r="J33" s="9" t="str" cm="1">
        <f t="array" ref="J33">_xlfn.IFS(Call_Table_Data[[#This Row],[Duration]]&lt;=10,"Under 10 Mins",Call_Table_Data[[#This Row],[Duration]]&lt;=30,"10 to 30 Mins",Call_Table_Data[[#This Row],[Duration]]&lt;=60,"30 to 60 Mins",Call_Table_Data[[#This Row],[Duration]]&lt;=120,"1 to 2 Hours",TRUE,"More Than 2 Hours")</f>
        <v>1 to 2 Hours</v>
      </c>
      <c r="K33" s="9">
        <f>ROUND(Call_Table_Data[[#This Row],[Satisfaction Rating]],0)</f>
        <v>4</v>
      </c>
    </row>
    <row r="34" spans="1:13" x14ac:dyDescent="0.3">
      <c r="A34" s="9" t="s">
        <v>1658</v>
      </c>
      <c r="B34" s="9" t="s">
        <v>1620</v>
      </c>
      <c r="C34" s="9">
        <v>82</v>
      </c>
      <c r="D34" s="149" t="s">
        <v>1611</v>
      </c>
      <c r="E34" s="150">
        <v>44938</v>
      </c>
      <c r="F34" s="9">
        <v>42</v>
      </c>
      <c r="G34" s="9">
        <v>3.7</v>
      </c>
      <c r="H34" s="9">
        <f>IF(MONTH(Call_Table_Data[[#This Row],[Date of Call]])&lt;=6,YEAR(Call_Table_Data[[#This Row],[Date of Call]]),YEAR(Call_Table_Data[[#This Row],[Date of Call]])+1)</f>
        <v>2023</v>
      </c>
      <c r="I34" s="9" t="str">
        <f>TEXT(Call_Table_Data[[#This Row],[Date of Call]],"DDDD")</f>
        <v>Thursday</v>
      </c>
      <c r="J34" s="9" t="str" cm="1">
        <f t="array" ref="J34">_xlfn.IFS(Call_Table_Data[[#This Row],[Duration]]&lt;=10,"Under 10 Mins",Call_Table_Data[[#This Row],[Duration]]&lt;=30,"10 to 30 Mins",Call_Table_Data[[#This Row],[Duration]]&lt;=60,"30 to 60 Mins",Call_Table_Data[[#This Row],[Duration]]&lt;=120,"1 to 2 Hours",TRUE,"More Than 2 Hours")</f>
        <v>1 to 2 Hours</v>
      </c>
      <c r="K34" s="9">
        <f>ROUND(Call_Table_Data[[#This Row],[Satisfaction Rating]],0)</f>
        <v>4</v>
      </c>
      <c r="M34" s="95"/>
    </row>
    <row r="35" spans="1:13" x14ac:dyDescent="0.3">
      <c r="A35" s="9" t="s">
        <v>1659</v>
      </c>
      <c r="B35" s="9" t="s">
        <v>1620</v>
      </c>
      <c r="C35" s="9">
        <v>29</v>
      </c>
      <c r="D35" s="149" t="s">
        <v>1621</v>
      </c>
      <c r="E35" s="150">
        <v>44938</v>
      </c>
      <c r="F35" s="9">
        <v>170</v>
      </c>
      <c r="G35" s="9">
        <v>5</v>
      </c>
      <c r="H35" s="9">
        <f>IF(MONTH(Call_Table_Data[[#This Row],[Date of Call]])&lt;=6,YEAR(Call_Table_Data[[#This Row],[Date of Call]]),YEAR(Call_Table_Data[[#This Row],[Date of Call]])+1)</f>
        <v>2023</v>
      </c>
      <c r="I35" s="9" t="str">
        <f>TEXT(Call_Table_Data[[#This Row],[Date of Call]],"DDDD")</f>
        <v>Thursday</v>
      </c>
      <c r="J35" s="9" t="str" cm="1">
        <f t="array" ref="J35">_xlfn.IFS(Call_Table_Data[[#This Row],[Duration]]&lt;=10,"Under 10 Mins",Call_Table_Data[[#This Row],[Duration]]&lt;=30,"10 to 30 Mins",Call_Table_Data[[#This Row],[Duration]]&lt;=60,"30 to 60 Mins",Call_Table_Data[[#This Row],[Duration]]&lt;=120,"1 to 2 Hours",TRUE,"More Than 2 Hours")</f>
        <v>10 to 30 Mins</v>
      </c>
      <c r="K35" s="9">
        <f>ROUND(Call_Table_Data[[#This Row],[Satisfaction Rating]],0)</f>
        <v>5</v>
      </c>
    </row>
    <row r="36" spans="1:13" x14ac:dyDescent="0.3">
      <c r="A36" s="9" t="s">
        <v>1660</v>
      </c>
      <c r="B36" s="9" t="s">
        <v>1644</v>
      </c>
      <c r="C36" s="9">
        <v>160</v>
      </c>
      <c r="D36" s="149" t="s">
        <v>1616</v>
      </c>
      <c r="E36" s="150">
        <v>44940</v>
      </c>
      <c r="F36" s="9">
        <v>105</v>
      </c>
      <c r="G36" s="9">
        <v>5</v>
      </c>
      <c r="H36" s="9">
        <f>IF(MONTH(Call_Table_Data[[#This Row],[Date of Call]])&lt;=6,YEAR(Call_Table_Data[[#This Row],[Date of Call]]),YEAR(Call_Table_Data[[#This Row],[Date of Call]])+1)</f>
        <v>2023</v>
      </c>
      <c r="I36" s="9" t="str">
        <f>TEXT(Call_Table_Data[[#This Row],[Date of Call]],"DDDD")</f>
        <v>Saturday</v>
      </c>
      <c r="J36" s="9" t="str" cm="1">
        <f t="array" ref="J36">_xlfn.IFS(Call_Table_Data[[#This Row],[Duration]]&lt;=10,"Under 10 Mins",Call_Table_Data[[#This Row],[Duration]]&lt;=30,"10 to 30 Mins",Call_Table_Data[[#This Row],[Duration]]&lt;=60,"30 to 60 Mins",Call_Table_Data[[#This Row],[Duration]]&lt;=120,"1 to 2 Hours",TRUE,"More Than 2 Hours")</f>
        <v>More Than 2 Hours</v>
      </c>
      <c r="K36" s="9">
        <f>ROUND(Call_Table_Data[[#This Row],[Satisfaction Rating]],0)</f>
        <v>5</v>
      </c>
    </row>
    <row r="37" spans="1:13" x14ac:dyDescent="0.3">
      <c r="A37" s="9" t="s">
        <v>1661</v>
      </c>
      <c r="B37" s="9" t="s">
        <v>1662</v>
      </c>
      <c r="C37" s="9">
        <v>105</v>
      </c>
      <c r="D37" s="149" t="s">
        <v>1611</v>
      </c>
      <c r="E37" s="150">
        <v>44941</v>
      </c>
      <c r="F37" s="9">
        <v>125</v>
      </c>
      <c r="G37" s="9">
        <v>4.8</v>
      </c>
      <c r="H37" s="9">
        <f>IF(MONTH(Call_Table_Data[[#This Row],[Date of Call]])&lt;=6,YEAR(Call_Table_Data[[#This Row],[Date of Call]]),YEAR(Call_Table_Data[[#This Row],[Date of Call]])+1)</f>
        <v>2023</v>
      </c>
      <c r="I37" s="9" t="str">
        <f>TEXT(Call_Table_Data[[#This Row],[Date of Call]],"DDDD")</f>
        <v>Sunday</v>
      </c>
      <c r="J37" s="9" t="str" cm="1">
        <f t="array" ref="J37">_xlfn.IFS(Call_Table_Data[[#This Row],[Duration]]&lt;=10,"Under 10 Mins",Call_Table_Data[[#This Row],[Duration]]&lt;=30,"10 to 30 Mins",Call_Table_Data[[#This Row],[Duration]]&lt;=60,"30 to 60 Mins",Call_Table_Data[[#This Row],[Duration]]&lt;=120,"1 to 2 Hours",TRUE,"More Than 2 Hours")</f>
        <v>1 to 2 Hours</v>
      </c>
      <c r="K37" s="9">
        <f>ROUND(Call_Table_Data[[#This Row],[Satisfaction Rating]],0)</f>
        <v>5</v>
      </c>
    </row>
    <row r="38" spans="1:13" x14ac:dyDescent="0.3">
      <c r="A38" s="9" t="s">
        <v>1663</v>
      </c>
      <c r="B38" s="9" t="s">
        <v>1641</v>
      </c>
      <c r="C38" s="9">
        <v>75</v>
      </c>
      <c r="D38" s="149" t="s">
        <v>1630</v>
      </c>
      <c r="E38" s="150">
        <v>44941</v>
      </c>
      <c r="F38" s="9">
        <v>26</v>
      </c>
      <c r="G38" s="9">
        <v>2.4</v>
      </c>
      <c r="H38" s="9">
        <f>IF(MONTH(Call_Table_Data[[#This Row],[Date of Call]])&lt;=6,YEAR(Call_Table_Data[[#This Row],[Date of Call]]),YEAR(Call_Table_Data[[#This Row],[Date of Call]])+1)</f>
        <v>2023</v>
      </c>
      <c r="I38" s="9" t="str">
        <f>TEXT(Call_Table_Data[[#This Row],[Date of Call]],"DDDD")</f>
        <v>Sunday</v>
      </c>
      <c r="J38" s="9" t="str" cm="1">
        <f t="array" ref="J38">_xlfn.IFS(Call_Table_Data[[#This Row],[Duration]]&lt;=10,"Under 10 Mins",Call_Table_Data[[#This Row],[Duration]]&lt;=30,"10 to 30 Mins",Call_Table_Data[[#This Row],[Duration]]&lt;=60,"30 to 60 Mins",Call_Table_Data[[#This Row],[Duration]]&lt;=120,"1 to 2 Hours",TRUE,"More Than 2 Hours")</f>
        <v>1 to 2 Hours</v>
      </c>
      <c r="K38" s="9">
        <f>ROUND(Call_Table_Data[[#This Row],[Satisfaction Rating]],0)</f>
        <v>2</v>
      </c>
    </row>
    <row r="39" spans="1:13" x14ac:dyDescent="0.3">
      <c r="A39" s="9" t="s">
        <v>1664</v>
      </c>
      <c r="B39" s="9" t="s">
        <v>1649</v>
      </c>
      <c r="C39" s="9">
        <v>94</v>
      </c>
      <c r="D39" s="149" t="s">
        <v>1630</v>
      </c>
      <c r="E39" s="150">
        <v>44942</v>
      </c>
      <c r="F39" s="9">
        <v>120</v>
      </c>
      <c r="G39" s="9">
        <v>3.1</v>
      </c>
      <c r="H39" s="9">
        <f>IF(MONTH(Call_Table_Data[[#This Row],[Date of Call]])&lt;=6,YEAR(Call_Table_Data[[#This Row],[Date of Call]]),YEAR(Call_Table_Data[[#This Row],[Date of Call]])+1)</f>
        <v>2023</v>
      </c>
      <c r="I39" s="9" t="str">
        <f>TEXT(Call_Table_Data[[#This Row],[Date of Call]],"DDDD")</f>
        <v>Monday</v>
      </c>
      <c r="J39" s="9" t="str" cm="1">
        <f t="array" ref="J39">_xlfn.IFS(Call_Table_Data[[#This Row],[Duration]]&lt;=10,"Under 10 Mins",Call_Table_Data[[#This Row],[Duration]]&lt;=30,"10 to 30 Mins",Call_Table_Data[[#This Row],[Duration]]&lt;=60,"30 to 60 Mins",Call_Table_Data[[#This Row],[Duration]]&lt;=120,"1 to 2 Hours",TRUE,"More Than 2 Hours")</f>
        <v>1 to 2 Hours</v>
      </c>
      <c r="K39" s="9">
        <f>ROUND(Call_Table_Data[[#This Row],[Satisfaction Rating]],0)</f>
        <v>3</v>
      </c>
    </row>
    <row r="40" spans="1:13" x14ac:dyDescent="0.3">
      <c r="A40" s="9" t="s">
        <v>1665</v>
      </c>
      <c r="B40" s="9" t="s">
        <v>1613</v>
      </c>
      <c r="C40" s="9">
        <v>90</v>
      </c>
      <c r="D40" s="149" t="s">
        <v>1616</v>
      </c>
      <c r="E40" s="150">
        <v>44942</v>
      </c>
      <c r="F40" s="9">
        <v>132</v>
      </c>
      <c r="G40" s="9">
        <v>3.2</v>
      </c>
      <c r="H40" s="9">
        <f>IF(MONTH(Call_Table_Data[[#This Row],[Date of Call]])&lt;=6,YEAR(Call_Table_Data[[#This Row],[Date of Call]]),YEAR(Call_Table_Data[[#This Row],[Date of Call]])+1)</f>
        <v>2023</v>
      </c>
      <c r="I40" s="9" t="str">
        <f>TEXT(Call_Table_Data[[#This Row],[Date of Call]],"DDDD")</f>
        <v>Monday</v>
      </c>
      <c r="J40" s="9" t="str" cm="1">
        <f t="array" ref="J40">_xlfn.IFS(Call_Table_Data[[#This Row],[Duration]]&lt;=10,"Under 10 Mins",Call_Table_Data[[#This Row],[Duration]]&lt;=30,"10 to 30 Mins",Call_Table_Data[[#This Row],[Duration]]&lt;=60,"30 to 60 Mins",Call_Table_Data[[#This Row],[Duration]]&lt;=120,"1 to 2 Hours",TRUE,"More Than 2 Hours")</f>
        <v>1 to 2 Hours</v>
      </c>
      <c r="K40" s="9">
        <f>ROUND(Call_Table_Data[[#This Row],[Satisfaction Rating]],0)</f>
        <v>3</v>
      </c>
    </row>
    <row r="41" spans="1:13" x14ac:dyDescent="0.3">
      <c r="A41" s="9" t="s">
        <v>1666</v>
      </c>
      <c r="B41" s="9" t="s">
        <v>1649</v>
      </c>
      <c r="C41" s="9">
        <v>81</v>
      </c>
      <c r="D41" s="149" t="s">
        <v>1626</v>
      </c>
      <c r="E41" s="150">
        <v>44943</v>
      </c>
      <c r="F41" s="9">
        <v>86</v>
      </c>
      <c r="G41" s="9">
        <v>2.4</v>
      </c>
      <c r="H41" s="9">
        <f>IF(MONTH(Call_Table_Data[[#This Row],[Date of Call]])&lt;=6,YEAR(Call_Table_Data[[#This Row],[Date of Call]]),YEAR(Call_Table_Data[[#This Row],[Date of Call]])+1)</f>
        <v>2023</v>
      </c>
      <c r="I41" s="9" t="str">
        <f>TEXT(Call_Table_Data[[#This Row],[Date of Call]],"DDDD")</f>
        <v>Tuesday</v>
      </c>
      <c r="J41" s="9" t="str" cm="1">
        <f t="array" ref="J41">_xlfn.IFS(Call_Table_Data[[#This Row],[Duration]]&lt;=10,"Under 10 Mins",Call_Table_Data[[#This Row],[Duration]]&lt;=30,"10 to 30 Mins",Call_Table_Data[[#This Row],[Duration]]&lt;=60,"30 to 60 Mins",Call_Table_Data[[#This Row],[Duration]]&lt;=120,"1 to 2 Hours",TRUE,"More Than 2 Hours")</f>
        <v>1 to 2 Hours</v>
      </c>
      <c r="K41" s="9">
        <f>ROUND(Call_Table_Data[[#This Row],[Satisfaction Rating]],0)</f>
        <v>2</v>
      </c>
    </row>
    <row r="42" spans="1:13" x14ac:dyDescent="0.3">
      <c r="A42" s="9" t="s">
        <v>1667</v>
      </c>
      <c r="B42" s="9" t="s">
        <v>1641</v>
      </c>
      <c r="C42" s="9">
        <v>106</v>
      </c>
      <c r="D42" s="149" t="s">
        <v>1611</v>
      </c>
      <c r="E42" s="150">
        <v>44943</v>
      </c>
      <c r="F42" s="9">
        <v>108</v>
      </c>
      <c r="G42" s="9">
        <v>5</v>
      </c>
      <c r="H42" s="9">
        <f>IF(MONTH(Call_Table_Data[[#This Row],[Date of Call]])&lt;=6,YEAR(Call_Table_Data[[#This Row],[Date of Call]]),YEAR(Call_Table_Data[[#This Row],[Date of Call]])+1)</f>
        <v>2023</v>
      </c>
      <c r="I42" s="9" t="str">
        <f>TEXT(Call_Table_Data[[#This Row],[Date of Call]],"DDDD")</f>
        <v>Tuesday</v>
      </c>
      <c r="J42" s="9" t="str" cm="1">
        <f t="array" ref="J42">_xlfn.IFS(Call_Table_Data[[#This Row],[Duration]]&lt;=10,"Under 10 Mins",Call_Table_Data[[#This Row],[Duration]]&lt;=30,"10 to 30 Mins",Call_Table_Data[[#This Row],[Duration]]&lt;=60,"30 to 60 Mins",Call_Table_Data[[#This Row],[Duration]]&lt;=120,"1 to 2 Hours",TRUE,"More Than 2 Hours")</f>
        <v>1 to 2 Hours</v>
      </c>
      <c r="K42" s="9">
        <f>ROUND(Call_Table_Data[[#This Row],[Satisfaction Rating]],0)</f>
        <v>5</v>
      </c>
    </row>
    <row r="43" spans="1:13" x14ac:dyDescent="0.3">
      <c r="A43" s="9" t="s">
        <v>1668</v>
      </c>
      <c r="B43" s="9" t="s">
        <v>1613</v>
      </c>
      <c r="C43" s="9">
        <v>74</v>
      </c>
      <c r="D43" s="149" t="s">
        <v>1626</v>
      </c>
      <c r="E43" s="150">
        <v>44943</v>
      </c>
      <c r="F43" s="9">
        <v>96</v>
      </c>
      <c r="G43" s="9">
        <v>4.7</v>
      </c>
      <c r="H43" s="9">
        <f>IF(MONTH(Call_Table_Data[[#This Row],[Date of Call]])&lt;=6,YEAR(Call_Table_Data[[#This Row],[Date of Call]]),YEAR(Call_Table_Data[[#This Row],[Date of Call]])+1)</f>
        <v>2023</v>
      </c>
      <c r="I43" s="9" t="str">
        <f>TEXT(Call_Table_Data[[#This Row],[Date of Call]],"DDDD")</f>
        <v>Tuesday</v>
      </c>
      <c r="J43" s="9" t="str" cm="1">
        <f t="array" ref="J43">_xlfn.IFS(Call_Table_Data[[#This Row],[Duration]]&lt;=10,"Under 10 Mins",Call_Table_Data[[#This Row],[Duration]]&lt;=30,"10 to 30 Mins",Call_Table_Data[[#This Row],[Duration]]&lt;=60,"30 to 60 Mins",Call_Table_Data[[#This Row],[Duration]]&lt;=120,"1 to 2 Hours",TRUE,"More Than 2 Hours")</f>
        <v>1 to 2 Hours</v>
      </c>
      <c r="K43" s="9">
        <f>ROUND(Call_Table_Data[[#This Row],[Satisfaction Rating]],0)</f>
        <v>5</v>
      </c>
    </row>
    <row r="44" spans="1:13" x14ac:dyDescent="0.3">
      <c r="A44" s="9" t="s">
        <v>1669</v>
      </c>
      <c r="B44" s="9" t="s">
        <v>1629</v>
      </c>
      <c r="C44" s="9">
        <v>105</v>
      </c>
      <c r="D44" s="149" t="s">
        <v>1616</v>
      </c>
      <c r="E44" s="150">
        <v>44944</v>
      </c>
      <c r="F44" s="9">
        <v>80</v>
      </c>
      <c r="G44" s="9">
        <v>4.7</v>
      </c>
      <c r="H44" s="9">
        <f>IF(MONTH(Call_Table_Data[[#This Row],[Date of Call]])&lt;=6,YEAR(Call_Table_Data[[#This Row],[Date of Call]]),YEAR(Call_Table_Data[[#This Row],[Date of Call]])+1)</f>
        <v>2023</v>
      </c>
      <c r="I44" s="9" t="str">
        <f>TEXT(Call_Table_Data[[#This Row],[Date of Call]],"DDDD")</f>
        <v>Wednesday</v>
      </c>
      <c r="J44" s="9" t="str" cm="1">
        <f t="array" ref="J44">_xlfn.IFS(Call_Table_Data[[#This Row],[Duration]]&lt;=10,"Under 10 Mins",Call_Table_Data[[#This Row],[Duration]]&lt;=30,"10 to 30 Mins",Call_Table_Data[[#This Row],[Duration]]&lt;=60,"30 to 60 Mins",Call_Table_Data[[#This Row],[Duration]]&lt;=120,"1 to 2 Hours",TRUE,"More Than 2 Hours")</f>
        <v>1 to 2 Hours</v>
      </c>
      <c r="K44" s="9">
        <f>ROUND(Call_Table_Data[[#This Row],[Satisfaction Rating]],0)</f>
        <v>5</v>
      </c>
    </row>
    <row r="45" spans="1:13" x14ac:dyDescent="0.3">
      <c r="A45" s="9" t="s">
        <v>1670</v>
      </c>
      <c r="B45" s="9" t="s">
        <v>1641</v>
      </c>
      <c r="C45" s="9">
        <v>89</v>
      </c>
      <c r="D45" s="149" t="s">
        <v>1611</v>
      </c>
      <c r="E45" s="150">
        <v>44944</v>
      </c>
      <c r="F45" s="9">
        <v>155</v>
      </c>
      <c r="G45" s="9">
        <v>4.0999999999999996</v>
      </c>
      <c r="H45" s="9">
        <f>IF(MONTH(Call_Table_Data[[#This Row],[Date of Call]])&lt;=6,YEAR(Call_Table_Data[[#This Row],[Date of Call]]),YEAR(Call_Table_Data[[#This Row],[Date of Call]])+1)</f>
        <v>2023</v>
      </c>
      <c r="I45" s="9" t="str">
        <f>TEXT(Call_Table_Data[[#This Row],[Date of Call]],"DDDD")</f>
        <v>Wednesday</v>
      </c>
      <c r="J45" s="9" t="str" cm="1">
        <f t="array" ref="J45">_xlfn.IFS(Call_Table_Data[[#This Row],[Duration]]&lt;=10,"Under 10 Mins",Call_Table_Data[[#This Row],[Duration]]&lt;=30,"10 to 30 Mins",Call_Table_Data[[#This Row],[Duration]]&lt;=60,"30 to 60 Mins",Call_Table_Data[[#This Row],[Duration]]&lt;=120,"1 to 2 Hours",TRUE,"More Than 2 Hours")</f>
        <v>1 to 2 Hours</v>
      </c>
      <c r="K45" s="9">
        <f>ROUND(Call_Table_Data[[#This Row],[Satisfaction Rating]],0)</f>
        <v>4</v>
      </c>
    </row>
    <row r="46" spans="1:13" x14ac:dyDescent="0.3">
      <c r="A46" s="9" t="s">
        <v>1671</v>
      </c>
      <c r="B46" s="9" t="s">
        <v>1633</v>
      </c>
      <c r="C46" s="9">
        <v>132</v>
      </c>
      <c r="D46" s="149" t="s">
        <v>1630</v>
      </c>
      <c r="E46" s="150">
        <v>44944</v>
      </c>
      <c r="F46" s="9">
        <v>168</v>
      </c>
      <c r="G46" s="9">
        <v>4.0999999999999996</v>
      </c>
      <c r="H46" s="9">
        <f>IF(MONTH(Call_Table_Data[[#This Row],[Date of Call]])&lt;=6,YEAR(Call_Table_Data[[#This Row],[Date of Call]]),YEAR(Call_Table_Data[[#This Row],[Date of Call]])+1)</f>
        <v>2023</v>
      </c>
      <c r="I46" s="9" t="str">
        <f>TEXT(Call_Table_Data[[#This Row],[Date of Call]],"DDDD")</f>
        <v>Wednesday</v>
      </c>
      <c r="J46" s="9" t="str" cm="1">
        <f t="array" ref="J46">_xlfn.IFS(Call_Table_Data[[#This Row],[Duration]]&lt;=10,"Under 10 Mins",Call_Table_Data[[#This Row],[Duration]]&lt;=30,"10 to 30 Mins",Call_Table_Data[[#This Row],[Duration]]&lt;=60,"30 to 60 Mins",Call_Table_Data[[#This Row],[Duration]]&lt;=120,"1 to 2 Hours",TRUE,"More Than 2 Hours")</f>
        <v>More Than 2 Hours</v>
      </c>
      <c r="K46" s="9">
        <f>ROUND(Call_Table_Data[[#This Row],[Satisfaction Rating]],0)</f>
        <v>4</v>
      </c>
    </row>
    <row r="47" spans="1:13" x14ac:dyDescent="0.3">
      <c r="A47" s="9" t="s">
        <v>1672</v>
      </c>
      <c r="B47" s="9" t="s">
        <v>1662</v>
      </c>
      <c r="C47" s="9">
        <v>105</v>
      </c>
      <c r="D47" s="149" t="s">
        <v>1621</v>
      </c>
      <c r="E47" s="150">
        <v>44944</v>
      </c>
      <c r="F47" s="9">
        <v>56</v>
      </c>
      <c r="G47" s="9">
        <v>3.6</v>
      </c>
      <c r="H47" s="9">
        <f>IF(MONTH(Call_Table_Data[[#This Row],[Date of Call]])&lt;=6,YEAR(Call_Table_Data[[#This Row],[Date of Call]]),YEAR(Call_Table_Data[[#This Row],[Date of Call]])+1)</f>
        <v>2023</v>
      </c>
      <c r="I47" s="9" t="str">
        <f>TEXT(Call_Table_Data[[#This Row],[Date of Call]],"DDDD")</f>
        <v>Wednesday</v>
      </c>
      <c r="J47" s="9" t="str" cm="1">
        <f t="array" ref="J47">_xlfn.IFS(Call_Table_Data[[#This Row],[Duration]]&lt;=10,"Under 10 Mins",Call_Table_Data[[#This Row],[Duration]]&lt;=30,"10 to 30 Mins",Call_Table_Data[[#This Row],[Duration]]&lt;=60,"30 to 60 Mins",Call_Table_Data[[#This Row],[Duration]]&lt;=120,"1 to 2 Hours",TRUE,"More Than 2 Hours")</f>
        <v>1 to 2 Hours</v>
      </c>
      <c r="K47" s="9">
        <f>ROUND(Call_Table_Data[[#This Row],[Satisfaction Rating]],0)</f>
        <v>4</v>
      </c>
    </row>
    <row r="48" spans="1:13" x14ac:dyDescent="0.3">
      <c r="A48" s="9" t="s">
        <v>1673</v>
      </c>
      <c r="B48" s="9" t="s">
        <v>1620</v>
      </c>
      <c r="C48" s="9">
        <v>13</v>
      </c>
      <c r="D48" s="149" t="s">
        <v>1630</v>
      </c>
      <c r="E48" s="150">
        <v>44945</v>
      </c>
      <c r="F48" s="9">
        <v>32</v>
      </c>
      <c r="G48" s="9">
        <v>4.4000000000000004</v>
      </c>
      <c r="H48" s="9">
        <f>IF(MONTH(Call_Table_Data[[#This Row],[Date of Call]])&lt;=6,YEAR(Call_Table_Data[[#This Row],[Date of Call]]),YEAR(Call_Table_Data[[#This Row],[Date of Call]])+1)</f>
        <v>2023</v>
      </c>
      <c r="I48" s="9" t="str">
        <f>TEXT(Call_Table_Data[[#This Row],[Date of Call]],"DDDD")</f>
        <v>Thursday</v>
      </c>
      <c r="J48" s="9" t="str" cm="1">
        <f t="array" ref="J48">_xlfn.IFS(Call_Table_Data[[#This Row],[Duration]]&lt;=10,"Under 10 Mins",Call_Table_Data[[#This Row],[Duration]]&lt;=30,"10 to 30 Mins",Call_Table_Data[[#This Row],[Duration]]&lt;=60,"30 to 60 Mins",Call_Table_Data[[#This Row],[Duration]]&lt;=120,"1 to 2 Hours",TRUE,"More Than 2 Hours")</f>
        <v>10 to 30 Mins</v>
      </c>
      <c r="K48" s="9">
        <f>ROUND(Call_Table_Data[[#This Row],[Satisfaction Rating]],0)</f>
        <v>4</v>
      </c>
    </row>
    <row r="49" spans="1:11" x14ac:dyDescent="0.3">
      <c r="A49" s="9" t="s">
        <v>1674</v>
      </c>
      <c r="B49" s="9" t="s">
        <v>1618</v>
      </c>
      <c r="C49" s="9">
        <v>131</v>
      </c>
      <c r="D49" s="149" t="s">
        <v>1621</v>
      </c>
      <c r="E49" s="150">
        <v>44945</v>
      </c>
      <c r="F49" s="9">
        <v>78</v>
      </c>
      <c r="G49" s="9">
        <v>4.4000000000000004</v>
      </c>
      <c r="H49" s="9">
        <f>IF(MONTH(Call_Table_Data[[#This Row],[Date of Call]])&lt;=6,YEAR(Call_Table_Data[[#This Row],[Date of Call]]),YEAR(Call_Table_Data[[#This Row],[Date of Call]])+1)</f>
        <v>2023</v>
      </c>
      <c r="I49" s="9" t="str">
        <f>TEXT(Call_Table_Data[[#This Row],[Date of Call]],"DDDD")</f>
        <v>Thursday</v>
      </c>
      <c r="J49" s="9" t="str" cm="1">
        <f t="array" ref="J49">_xlfn.IFS(Call_Table_Data[[#This Row],[Duration]]&lt;=10,"Under 10 Mins",Call_Table_Data[[#This Row],[Duration]]&lt;=30,"10 to 30 Mins",Call_Table_Data[[#This Row],[Duration]]&lt;=60,"30 to 60 Mins",Call_Table_Data[[#This Row],[Duration]]&lt;=120,"1 to 2 Hours",TRUE,"More Than 2 Hours")</f>
        <v>More Than 2 Hours</v>
      </c>
      <c r="K49" s="9">
        <f>ROUND(Call_Table_Data[[#This Row],[Satisfaction Rating]],0)</f>
        <v>4</v>
      </c>
    </row>
    <row r="50" spans="1:11" x14ac:dyDescent="0.3">
      <c r="A50" s="9" t="s">
        <v>1675</v>
      </c>
      <c r="B50" s="9" t="s">
        <v>1613</v>
      </c>
      <c r="C50" s="9">
        <v>104</v>
      </c>
      <c r="D50" s="149" t="s">
        <v>1611</v>
      </c>
      <c r="E50" s="150">
        <v>44945</v>
      </c>
      <c r="F50" s="9">
        <v>86</v>
      </c>
      <c r="G50" s="9">
        <v>4</v>
      </c>
      <c r="H50" s="9">
        <f>IF(MONTH(Call_Table_Data[[#This Row],[Date of Call]])&lt;=6,YEAR(Call_Table_Data[[#This Row],[Date of Call]]),YEAR(Call_Table_Data[[#This Row],[Date of Call]])+1)</f>
        <v>2023</v>
      </c>
      <c r="I50" s="9" t="str">
        <f>TEXT(Call_Table_Data[[#This Row],[Date of Call]],"DDDD")</f>
        <v>Thursday</v>
      </c>
      <c r="J50" s="9" t="str" cm="1">
        <f t="array" ref="J50">_xlfn.IFS(Call_Table_Data[[#This Row],[Duration]]&lt;=10,"Under 10 Mins",Call_Table_Data[[#This Row],[Duration]]&lt;=30,"10 to 30 Mins",Call_Table_Data[[#This Row],[Duration]]&lt;=60,"30 to 60 Mins",Call_Table_Data[[#This Row],[Duration]]&lt;=120,"1 to 2 Hours",TRUE,"More Than 2 Hours")</f>
        <v>1 to 2 Hours</v>
      </c>
      <c r="K50" s="9">
        <f>ROUND(Call_Table_Data[[#This Row],[Satisfaction Rating]],0)</f>
        <v>4</v>
      </c>
    </row>
    <row r="51" spans="1:11" x14ac:dyDescent="0.3">
      <c r="A51" s="9" t="s">
        <v>1676</v>
      </c>
      <c r="B51" s="9" t="s">
        <v>1610</v>
      </c>
      <c r="C51" s="9">
        <v>90</v>
      </c>
      <c r="D51" s="149" t="s">
        <v>1616</v>
      </c>
      <c r="E51" s="150">
        <v>44946</v>
      </c>
      <c r="F51" s="9">
        <v>64</v>
      </c>
      <c r="G51" s="9">
        <v>3.8</v>
      </c>
      <c r="H51" s="9">
        <f>IF(MONTH(Call_Table_Data[[#This Row],[Date of Call]])&lt;=6,YEAR(Call_Table_Data[[#This Row],[Date of Call]]),YEAR(Call_Table_Data[[#This Row],[Date of Call]])+1)</f>
        <v>2023</v>
      </c>
      <c r="I51" s="9" t="str">
        <f>TEXT(Call_Table_Data[[#This Row],[Date of Call]],"DDDD")</f>
        <v>Friday</v>
      </c>
      <c r="J51" s="9" t="str" cm="1">
        <f t="array" ref="J51">_xlfn.IFS(Call_Table_Data[[#This Row],[Duration]]&lt;=10,"Under 10 Mins",Call_Table_Data[[#This Row],[Duration]]&lt;=30,"10 to 30 Mins",Call_Table_Data[[#This Row],[Duration]]&lt;=60,"30 to 60 Mins",Call_Table_Data[[#This Row],[Duration]]&lt;=120,"1 to 2 Hours",TRUE,"More Than 2 Hours")</f>
        <v>1 to 2 Hours</v>
      </c>
      <c r="K51" s="9">
        <f>ROUND(Call_Table_Data[[#This Row],[Satisfaction Rating]],0)</f>
        <v>4</v>
      </c>
    </row>
    <row r="52" spans="1:11" x14ac:dyDescent="0.3">
      <c r="A52" s="9" t="s">
        <v>1677</v>
      </c>
      <c r="B52" s="9" t="s">
        <v>1652</v>
      </c>
      <c r="C52" s="9">
        <v>37</v>
      </c>
      <c r="D52" s="149" t="s">
        <v>1616</v>
      </c>
      <c r="E52" s="150">
        <v>44946</v>
      </c>
      <c r="F52" s="9">
        <v>96</v>
      </c>
      <c r="G52" s="9">
        <v>3.6</v>
      </c>
      <c r="H52" s="9">
        <f>IF(MONTH(Call_Table_Data[[#This Row],[Date of Call]])&lt;=6,YEAR(Call_Table_Data[[#This Row],[Date of Call]]),YEAR(Call_Table_Data[[#This Row],[Date of Call]])+1)</f>
        <v>2023</v>
      </c>
      <c r="I52" s="9" t="str">
        <f>TEXT(Call_Table_Data[[#This Row],[Date of Call]],"DDDD")</f>
        <v>Friday</v>
      </c>
      <c r="J52" s="9" t="str" cm="1">
        <f t="array" ref="J52">_xlfn.IFS(Call_Table_Data[[#This Row],[Duration]]&lt;=10,"Under 10 Mins",Call_Table_Data[[#This Row],[Duration]]&lt;=30,"10 to 30 Mins",Call_Table_Data[[#This Row],[Duration]]&lt;=60,"30 to 60 Mins",Call_Table_Data[[#This Row],[Duration]]&lt;=120,"1 to 2 Hours",TRUE,"More Than 2 Hours")</f>
        <v>30 to 60 Mins</v>
      </c>
      <c r="K52" s="9">
        <f>ROUND(Call_Table_Data[[#This Row],[Satisfaction Rating]],0)</f>
        <v>4</v>
      </c>
    </row>
    <row r="53" spans="1:11" x14ac:dyDescent="0.3">
      <c r="A53" s="9" t="s">
        <v>1678</v>
      </c>
      <c r="B53" s="9" t="s">
        <v>1635</v>
      </c>
      <c r="C53" s="9">
        <v>149</v>
      </c>
      <c r="D53" s="149" t="s">
        <v>1621</v>
      </c>
      <c r="E53" s="150">
        <v>44946</v>
      </c>
      <c r="F53" s="9">
        <v>72</v>
      </c>
      <c r="G53" s="9">
        <v>4.3</v>
      </c>
      <c r="H53" s="9">
        <f>IF(MONTH(Call_Table_Data[[#This Row],[Date of Call]])&lt;=6,YEAR(Call_Table_Data[[#This Row],[Date of Call]]),YEAR(Call_Table_Data[[#This Row],[Date of Call]])+1)</f>
        <v>2023</v>
      </c>
      <c r="I53" s="9" t="str">
        <f>TEXT(Call_Table_Data[[#This Row],[Date of Call]],"DDDD")</f>
        <v>Friday</v>
      </c>
      <c r="J53" s="9" t="str" cm="1">
        <f t="array" ref="J53">_xlfn.IFS(Call_Table_Data[[#This Row],[Duration]]&lt;=10,"Under 10 Mins",Call_Table_Data[[#This Row],[Duration]]&lt;=30,"10 to 30 Mins",Call_Table_Data[[#This Row],[Duration]]&lt;=60,"30 to 60 Mins",Call_Table_Data[[#This Row],[Duration]]&lt;=120,"1 to 2 Hours",TRUE,"More Than 2 Hours")</f>
        <v>More Than 2 Hours</v>
      </c>
      <c r="K53" s="9">
        <f>ROUND(Call_Table_Data[[#This Row],[Satisfaction Rating]],0)</f>
        <v>4</v>
      </c>
    </row>
    <row r="54" spans="1:11" x14ac:dyDescent="0.3">
      <c r="A54" s="9" t="s">
        <v>1679</v>
      </c>
      <c r="B54" s="9" t="s">
        <v>1633</v>
      </c>
      <c r="C54" s="9">
        <v>100</v>
      </c>
      <c r="D54" s="149" t="s">
        <v>1626</v>
      </c>
      <c r="E54" s="150">
        <v>44947</v>
      </c>
      <c r="F54" s="9">
        <v>135</v>
      </c>
      <c r="G54" s="9">
        <v>3.8</v>
      </c>
      <c r="H54" s="9">
        <f>IF(MONTH(Call_Table_Data[[#This Row],[Date of Call]])&lt;=6,YEAR(Call_Table_Data[[#This Row],[Date of Call]]),YEAR(Call_Table_Data[[#This Row],[Date of Call]])+1)</f>
        <v>2023</v>
      </c>
      <c r="I54" s="9" t="str">
        <f>TEXT(Call_Table_Data[[#This Row],[Date of Call]],"DDDD")</f>
        <v>Saturday</v>
      </c>
      <c r="J54" s="9" t="str" cm="1">
        <f t="array" ref="J54">_xlfn.IFS(Call_Table_Data[[#This Row],[Duration]]&lt;=10,"Under 10 Mins",Call_Table_Data[[#This Row],[Duration]]&lt;=30,"10 to 30 Mins",Call_Table_Data[[#This Row],[Duration]]&lt;=60,"30 to 60 Mins",Call_Table_Data[[#This Row],[Duration]]&lt;=120,"1 to 2 Hours",TRUE,"More Than 2 Hours")</f>
        <v>1 to 2 Hours</v>
      </c>
      <c r="K54" s="9">
        <f>ROUND(Call_Table_Data[[#This Row],[Satisfaction Rating]],0)</f>
        <v>4</v>
      </c>
    </row>
    <row r="55" spans="1:11" x14ac:dyDescent="0.3">
      <c r="A55" s="9" t="s">
        <v>1680</v>
      </c>
      <c r="B55" s="9" t="s">
        <v>1633</v>
      </c>
      <c r="C55" s="9">
        <v>79</v>
      </c>
      <c r="D55" s="149" t="s">
        <v>1630</v>
      </c>
      <c r="E55" s="150">
        <v>44947</v>
      </c>
      <c r="F55" s="9">
        <v>140</v>
      </c>
      <c r="G55" s="9">
        <v>4.5</v>
      </c>
      <c r="H55" s="9">
        <f>IF(MONTH(Call_Table_Data[[#This Row],[Date of Call]])&lt;=6,YEAR(Call_Table_Data[[#This Row],[Date of Call]]),YEAR(Call_Table_Data[[#This Row],[Date of Call]])+1)</f>
        <v>2023</v>
      </c>
      <c r="I55" s="9" t="str">
        <f>TEXT(Call_Table_Data[[#This Row],[Date of Call]],"DDDD")</f>
        <v>Saturday</v>
      </c>
      <c r="J55" s="9" t="str" cm="1">
        <f t="array" ref="J55">_xlfn.IFS(Call_Table_Data[[#This Row],[Duration]]&lt;=10,"Under 10 Mins",Call_Table_Data[[#This Row],[Duration]]&lt;=30,"10 to 30 Mins",Call_Table_Data[[#This Row],[Duration]]&lt;=60,"30 to 60 Mins",Call_Table_Data[[#This Row],[Duration]]&lt;=120,"1 to 2 Hours",TRUE,"More Than 2 Hours")</f>
        <v>1 to 2 Hours</v>
      </c>
      <c r="K55" s="9">
        <f>ROUND(Call_Table_Data[[#This Row],[Satisfaction Rating]],0)</f>
        <v>5</v>
      </c>
    </row>
    <row r="56" spans="1:11" x14ac:dyDescent="0.3">
      <c r="A56" s="9" t="s">
        <v>1681</v>
      </c>
      <c r="B56" s="9" t="s">
        <v>1682</v>
      </c>
      <c r="C56" s="9">
        <v>157</v>
      </c>
      <c r="D56" s="149" t="s">
        <v>1621</v>
      </c>
      <c r="E56" s="150">
        <v>44947</v>
      </c>
      <c r="F56" s="9">
        <v>69</v>
      </c>
      <c r="G56" s="9">
        <v>4.5</v>
      </c>
      <c r="H56" s="9">
        <f>IF(MONTH(Call_Table_Data[[#This Row],[Date of Call]])&lt;=6,YEAR(Call_Table_Data[[#This Row],[Date of Call]]),YEAR(Call_Table_Data[[#This Row],[Date of Call]])+1)</f>
        <v>2023</v>
      </c>
      <c r="I56" s="9" t="str">
        <f>TEXT(Call_Table_Data[[#This Row],[Date of Call]],"DDDD")</f>
        <v>Saturday</v>
      </c>
      <c r="J56" s="9" t="str" cm="1">
        <f t="array" ref="J56">_xlfn.IFS(Call_Table_Data[[#This Row],[Duration]]&lt;=10,"Under 10 Mins",Call_Table_Data[[#This Row],[Duration]]&lt;=30,"10 to 30 Mins",Call_Table_Data[[#This Row],[Duration]]&lt;=60,"30 to 60 Mins",Call_Table_Data[[#This Row],[Duration]]&lt;=120,"1 to 2 Hours",TRUE,"More Than 2 Hours")</f>
        <v>More Than 2 Hours</v>
      </c>
      <c r="K56" s="9">
        <f>ROUND(Call_Table_Data[[#This Row],[Satisfaction Rating]],0)</f>
        <v>5</v>
      </c>
    </row>
    <row r="57" spans="1:11" x14ac:dyDescent="0.3">
      <c r="A57" s="9" t="s">
        <v>1683</v>
      </c>
      <c r="B57" s="9" t="s">
        <v>1633</v>
      </c>
      <c r="C57" s="9">
        <v>59</v>
      </c>
      <c r="D57" s="149" t="s">
        <v>1611</v>
      </c>
      <c r="E57" s="150">
        <v>44948</v>
      </c>
      <c r="F57" s="9">
        <v>136</v>
      </c>
      <c r="G57" s="9">
        <v>4.5999999999999996</v>
      </c>
      <c r="H57" s="9">
        <f>IF(MONTH(Call_Table_Data[[#This Row],[Date of Call]])&lt;=6,YEAR(Call_Table_Data[[#This Row],[Date of Call]]),YEAR(Call_Table_Data[[#This Row],[Date of Call]])+1)</f>
        <v>2023</v>
      </c>
      <c r="I57" s="9" t="str">
        <f>TEXT(Call_Table_Data[[#This Row],[Date of Call]],"DDDD")</f>
        <v>Sunday</v>
      </c>
      <c r="J57" s="9" t="str" cm="1">
        <f t="array" ref="J57">_xlfn.IFS(Call_Table_Data[[#This Row],[Duration]]&lt;=10,"Under 10 Mins",Call_Table_Data[[#This Row],[Duration]]&lt;=30,"10 to 30 Mins",Call_Table_Data[[#This Row],[Duration]]&lt;=60,"30 to 60 Mins",Call_Table_Data[[#This Row],[Duration]]&lt;=120,"1 to 2 Hours",TRUE,"More Than 2 Hours")</f>
        <v>30 to 60 Mins</v>
      </c>
      <c r="K57" s="9">
        <f>ROUND(Call_Table_Data[[#This Row],[Satisfaction Rating]],0)</f>
        <v>5</v>
      </c>
    </row>
    <row r="58" spans="1:11" x14ac:dyDescent="0.3">
      <c r="A58" s="9" t="s">
        <v>1684</v>
      </c>
      <c r="B58" s="9" t="s">
        <v>1652</v>
      </c>
      <c r="C58" s="9">
        <v>83</v>
      </c>
      <c r="D58" s="149" t="s">
        <v>1621</v>
      </c>
      <c r="E58" s="150">
        <v>44948</v>
      </c>
      <c r="F58" s="9">
        <v>28</v>
      </c>
      <c r="G58" s="9">
        <v>4.5</v>
      </c>
      <c r="H58" s="9">
        <f>IF(MONTH(Call_Table_Data[[#This Row],[Date of Call]])&lt;=6,YEAR(Call_Table_Data[[#This Row],[Date of Call]]),YEAR(Call_Table_Data[[#This Row],[Date of Call]])+1)</f>
        <v>2023</v>
      </c>
      <c r="I58" s="9" t="str">
        <f>TEXT(Call_Table_Data[[#This Row],[Date of Call]],"DDDD")</f>
        <v>Sunday</v>
      </c>
      <c r="J58" s="9" t="str" cm="1">
        <f t="array" ref="J58">_xlfn.IFS(Call_Table_Data[[#This Row],[Duration]]&lt;=10,"Under 10 Mins",Call_Table_Data[[#This Row],[Duration]]&lt;=30,"10 to 30 Mins",Call_Table_Data[[#This Row],[Duration]]&lt;=60,"30 to 60 Mins",Call_Table_Data[[#This Row],[Duration]]&lt;=120,"1 to 2 Hours",TRUE,"More Than 2 Hours")</f>
        <v>1 to 2 Hours</v>
      </c>
      <c r="K58" s="9">
        <f>ROUND(Call_Table_Data[[#This Row],[Satisfaction Rating]],0)</f>
        <v>5</v>
      </c>
    </row>
    <row r="59" spans="1:11" x14ac:dyDescent="0.3">
      <c r="A59" s="9" t="s">
        <v>1685</v>
      </c>
      <c r="B59" s="9" t="s">
        <v>1682</v>
      </c>
      <c r="C59" s="9">
        <v>58</v>
      </c>
      <c r="D59" s="149" t="s">
        <v>1616</v>
      </c>
      <c r="E59" s="150">
        <v>44949</v>
      </c>
      <c r="F59" s="9">
        <v>135</v>
      </c>
      <c r="G59" s="9">
        <v>3.3</v>
      </c>
      <c r="H59" s="9">
        <f>IF(MONTH(Call_Table_Data[[#This Row],[Date of Call]])&lt;=6,YEAR(Call_Table_Data[[#This Row],[Date of Call]]),YEAR(Call_Table_Data[[#This Row],[Date of Call]])+1)</f>
        <v>2023</v>
      </c>
      <c r="I59" s="9" t="str">
        <f>TEXT(Call_Table_Data[[#This Row],[Date of Call]],"DDDD")</f>
        <v>Monday</v>
      </c>
      <c r="J59" s="9" t="str" cm="1">
        <f t="array" ref="J59">_xlfn.IFS(Call_Table_Data[[#This Row],[Duration]]&lt;=10,"Under 10 Mins",Call_Table_Data[[#This Row],[Duration]]&lt;=30,"10 to 30 Mins",Call_Table_Data[[#This Row],[Duration]]&lt;=60,"30 to 60 Mins",Call_Table_Data[[#This Row],[Duration]]&lt;=120,"1 to 2 Hours",TRUE,"More Than 2 Hours")</f>
        <v>30 to 60 Mins</v>
      </c>
      <c r="K59" s="9">
        <f>ROUND(Call_Table_Data[[#This Row],[Satisfaction Rating]],0)</f>
        <v>3</v>
      </c>
    </row>
    <row r="60" spans="1:11" x14ac:dyDescent="0.3">
      <c r="A60" s="9" t="s">
        <v>1686</v>
      </c>
      <c r="B60" s="9" t="s">
        <v>1649</v>
      </c>
      <c r="C60" s="9">
        <v>118</v>
      </c>
      <c r="D60" s="149" t="s">
        <v>1616</v>
      </c>
      <c r="E60" s="150">
        <v>44949</v>
      </c>
      <c r="F60" s="9">
        <v>126</v>
      </c>
      <c r="G60" s="9">
        <v>2.2999999999999998</v>
      </c>
      <c r="H60" s="9">
        <f>IF(MONTH(Call_Table_Data[[#This Row],[Date of Call]])&lt;=6,YEAR(Call_Table_Data[[#This Row],[Date of Call]]),YEAR(Call_Table_Data[[#This Row],[Date of Call]])+1)</f>
        <v>2023</v>
      </c>
      <c r="I60" s="9" t="str">
        <f>TEXT(Call_Table_Data[[#This Row],[Date of Call]],"DDDD")</f>
        <v>Monday</v>
      </c>
      <c r="J60" s="9" t="str" cm="1">
        <f t="array" ref="J60">_xlfn.IFS(Call_Table_Data[[#This Row],[Duration]]&lt;=10,"Under 10 Mins",Call_Table_Data[[#This Row],[Duration]]&lt;=30,"10 to 30 Mins",Call_Table_Data[[#This Row],[Duration]]&lt;=60,"30 to 60 Mins",Call_Table_Data[[#This Row],[Duration]]&lt;=120,"1 to 2 Hours",TRUE,"More Than 2 Hours")</f>
        <v>1 to 2 Hours</v>
      </c>
      <c r="K60" s="9">
        <f>ROUND(Call_Table_Data[[#This Row],[Satisfaction Rating]],0)</f>
        <v>2</v>
      </c>
    </row>
    <row r="61" spans="1:11" x14ac:dyDescent="0.3">
      <c r="A61" s="9" t="s">
        <v>1687</v>
      </c>
      <c r="B61" s="9" t="s">
        <v>1620</v>
      </c>
      <c r="C61" s="9">
        <v>63</v>
      </c>
      <c r="D61" s="149" t="s">
        <v>1611</v>
      </c>
      <c r="E61" s="150">
        <v>44949</v>
      </c>
      <c r="F61" s="9">
        <v>160</v>
      </c>
      <c r="G61" s="9">
        <v>4.3</v>
      </c>
      <c r="H61" s="9">
        <f>IF(MONTH(Call_Table_Data[[#This Row],[Date of Call]])&lt;=6,YEAR(Call_Table_Data[[#This Row],[Date of Call]]),YEAR(Call_Table_Data[[#This Row],[Date of Call]])+1)</f>
        <v>2023</v>
      </c>
      <c r="I61" s="9" t="str">
        <f>TEXT(Call_Table_Data[[#This Row],[Date of Call]],"DDDD")</f>
        <v>Monday</v>
      </c>
      <c r="J61" s="9" t="str" cm="1">
        <f t="array" ref="J61">_xlfn.IFS(Call_Table_Data[[#This Row],[Duration]]&lt;=10,"Under 10 Mins",Call_Table_Data[[#This Row],[Duration]]&lt;=30,"10 to 30 Mins",Call_Table_Data[[#This Row],[Duration]]&lt;=60,"30 to 60 Mins",Call_Table_Data[[#This Row],[Duration]]&lt;=120,"1 to 2 Hours",TRUE,"More Than 2 Hours")</f>
        <v>1 to 2 Hours</v>
      </c>
      <c r="K61" s="9">
        <f>ROUND(Call_Table_Data[[#This Row],[Satisfaction Rating]],0)</f>
        <v>4</v>
      </c>
    </row>
    <row r="62" spans="1:11" x14ac:dyDescent="0.3">
      <c r="A62" s="9" t="s">
        <v>1688</v>
      </c>
      <c r="B62" s="9" t="s">
        <v>1682</v>
      </c>
      <c r="C62" s="9">
        <v>95</v>
      </c>
      <c r="D62" s="149" t="s">
        <v>1616</v>
      </c>
      <c r="E62" s="150">
        <v>44950</v>
      </c>
      <c r="F62" s="9">
        <v>48</v>
      </c>
      <c r="G62" s="9">
        <v>4.5999999999999996</v>
      </c>
      <c r="H62" s="9">
        <f>IF(MONTH(Call_Table_Data[[#This Row],[Date of Call]])&lt;=6,YEAR(Call_Table_Data[[#This Row],[Date of Call]]),YEAR(Call_Table_Data[[#This Row],[Date of Call]])+1)</f>
        <v>2023</v>
      </c>
      <c r="I62" s="9" t="str">
        <f>TEXT(Call_Table_Data[[#This Row],[Date of Call]],"DDDD")</f>
        <v>Tuesday</v>
      </c>
      <c r="J62" s="9" t="str" cm="1">
        <f t="array" ref="J62">_xlfn.IFS(Call_Table_Data[[#This Row],[Duration]]&lt;=10,"Under 10 Mins",Call_Table_Data[[#This Row],[Duration]]&lt;=30,"10 to 30 Mins",Call_Table_Data[[#This Row],[Duration]]&lt;=60,"30 to 60 Mins",Call_Table_Data[[#This Row],[Duration]]&lt;=120,"1 to 2 Hours",TRUE,"More Than 2 Hours")</f>
        <v>1 to 2 Hours</v>
      </c>
      <c r="K62" s="9">
        <f>ROUND(Call_Table_Data[[#This Row],[Satisfaction Rating]],0)</f>
        <v>5</v>
      </c>
    </row>
    <row r="63" spans="1:11" x14ac:dyDescent="0.3">
      <c r="A63" s="9" t="s">
        <v>1689</v>
      </c>
      <c r="B63" s="9" t="s">
        <v>1633</v>
      </c>
      <c r="C63" s="9">
        <v>74</v>
      </c>
      <c r="D63" s="149" t="s">
        <v>1621</v>
      </c>
      <c r="E63" s="150">
        <v>44950</v>
      </c>
      <c r="F63" s="9">
        <v>66</v>
      </c>
      <c r="G63" s="9">
        <v>4</v>
      </c>
      <c r="H63" s="9">
        <f>IF(MONTH(Call_Table_Data[[#This Row],[Date of Call]])&lt;=6,YEAR(Call_Table_Data[[#This Row],[Date of Call]]),YEAR(Call_Table_Data[[#This Row],[Date of Call]])+1)</f>
        <v>2023</v>
      </c>
      <c r="I63" s="9" t="str">
        <f>TEXT(Call_Table_Data[[#This Row],[Date of Call]],"DDDD")</f>
        <v>Tuesday</v>
      </c>
      <c r="J63" s="9" t="str" cm="1">
        <f t="array" ref="J63">_xlfn.IFS(Call_Table_Data[[#This Row],[Duration]]&lt;=10,"Under 10 Mins",Call_Table_Data[[#This Row],[Duration]]&lt;=30,"10 to 30 Mins",Call_Table_Data[[#This Row],[Duration]]&lt;=60,"30 to 60 Mins",Call_Table_Data[[#This Row],[Duration]]&lt;=120,"1 to 2 Hours",TRUE,"More Than 2 Hours")</f>
        <v>1 to 2 Hours</v>
      </c>
      <c r="K63" s="9">
        <f>ROUND(Call_Table_Data[[#This Row],[Satisfaction Rating]],0)</f>
        <v>4</v>
      </c>
    </row>
    <row r="64" spans="1:11" x14ac:dyDescent="0.3">
      <c r="A64" s="9" t="s">
        <v>1690</v>
      </c>
      <c r="B64" s="9" t="s">
        <v>1629</v>
      </c>
      <c r="C64" s="9">
        <v>130</v>
      </c>
      <c r="D64" s="149" t="s">
        <v>1626</v>
      </c>
      <c r="E64" s="150">
        <v>44950</v>
      </c>
      <c r="F64" s="9">
        <v>126</v>
      </c>
      <c r="G64" s="9">
        <v>2.5</v>
      </c>
      <c r="H64" s="9">
        <f>IF(MONTH(Call_Table_Data[[#This Row],[Date of Call]])&lt;=6,YEAR(Call_Table_Data[[#This Row],[Date of Call]]),YEAR(Call_Table_Data[[#This Row],[Date of Call]])+1)</f>
        <v>2023</v>
      </c>
      <c r="I64" s="9" t="str">
        <f>TEXT(Call_Table_Data[[#This Row],[Date of Call]],"DDDD")</f>
        <v>Tuesday</v>
      </c>
      <c r="J64" s="9" t="str" cm="1">
        <f t="array" ref="J64">_xlfn.IFS(Call_Table_Data[[#This Row],[Duration]]&lt;=10,"Under 10 Mins",Call_Table_Data[[#This Row],[Duration]]&lt;=30,"10 to 30 Mins",Call_Table_Data[[#This Row],[Duration]]&lt;=60,"30 to 60 Mins",Call_Table_Data[[#This Row],[Duration]]&lt;=120,"1 to 2 Hours",TRUE,"More Than 2 Hours")</f>
        <v>More Than 2 Hours</v>
      </c>
      <c r="K64" s="9">
        <f>ROUND(Call_Table_Data[[#This Row],[Satisfaction Rating]],0)</f>
        <v>3</v>
      </c>
    </row>
    <row r="65" spans="1:11" x14ac:dyDescent="0.3">
      <c r="A65" s="9" t="s">
        <v>1691</v>
      </c>
      <c r="B65" s="9" t="s">
        <v>1649</v>
      </c>
      <c r="C65" s="9">
        <v>110</v>
      </c>
      <c r="D65" s="149" t="s">
        <v>1630</v>
      </c>
      <c r="E65" s="150">
        <v>44950</v>
      </c>
      <c r="F65" s="9">
        <v>96</v>
      </c>
      <c r="G65" s="9">
        <v>5</v>
      </c>
      <c r="H65" s="9">
        <f>IF(MONTH(Call_Table_Data[[#This Row],[Date of Call]])&lt;=6,YEAR(Call_Table_Data[[#This Row],[Date of Call]]),YEAR(Call_Table_Data[[#This Row],[Date of Call]])+1)</f>
        <v>2023</v>
      </c>
      <c r="I65" s="9" t="str">
        <f>TEXT(Call_Table_Data[[#This Row],[Date of Call]],"DDDD")</f>
        <v>Tuesday</v>
      </c>
      <c r="J65" s="9" t="str" cm="1">
        <f t="array" ref="J65">_xlfn.IFS(Call_Table_Data[[#This Row],[Duration]]&lt;=10,"Under 10 Mins",Call_Table_Data[[#This Row],[Duration]]&lt;=30,"10 to 30 Mins",Call_Table_Data[[#This Row],[Duration]]&lt;=60,"30 to 60 Mins",Call_Table_Data[[#This Row],[Duration]]&lt;=120,"1 to 2 Hours",TRUE,"More Than 2 Hours")</f>
        <v>1 to 2 Hours</v>
      </c>
      <c r="K65" s="9">
        <f>ROUND(Call_Table_Data[[#This Row],[Satisfaction Rating]],0)</f>
        <v>5</v>
      </c>
    </row>
    <row r="66" spans="1:11" x14ac:dyDescent="0.3">
      <c r="A66" s="9" t="s">
        <v>1692</v>
      </c>
      <c r="B66" s="9" t="s">
        <v>1633</v>
      </c>
      <c r="C66" s="9">
        <v>71</v>
      </c>
      <c r="D66" s="149" t="s">
        <v>1611</v>
      </c>
      <c r="E66" s="150">
        <v>44951</v>
      </c>
      <c r="F66" s="9">
        <v>90</v>
      </c>
      <c r="G66" s="9">
        <v>3.8</v>
      </c>
      <c r="H66" s="9">
        <f>IF(MONTH(Call_Table_Data[[#This Row],[Date of Call]])&lt;=6,YEAR(Call_Table_Data[[#This Row],[Date of Call]]),YEAR(Call_Table_Data[[#This Row],[Date of Call]])+1)</f>
        <v>2023</v>
      </c>
      <c r="I66" s="9" t="str">
        <f>TEXT(Call_Table_Data[[#This Row],[Date of Call]],"DDDD")</f>
        <v>Wednesday</v>
      </c>
      <c r="J66" s="9" t="str" cm="1">
        <f t="array" ref="J66">_xlfn.IFS(Call_Table_Data[[#This Row],[Duration]]&lt;=10,"Under 10 Mins",Call_Table_Data[[#This Row],[Duration]]&lt;=30,"10 to 30 Mins",Call_Table_Data[[#This Row],[Duration]]&lt;=60,"30 to 60 Mins",Call_Table_Data[[#This Row],[Duration]]&lt;=120,"1 to 2 Hours",TRUE,"More Than 2 Hours")</f>
        <v>1 to 2 Hours</v>
      </c>
      <c r="K66" s="9">
        <f>ROUND(Call_Table_Data[[#This Row],[Satisfaction Rating]],0)</f>
        <v>4</v>
      </c>
    </row>
    <row r="67" spans="1:11" x14ac:dyDescent="0.3">
      <c r="A67" s="9" t="s">
        <v>1693</v>
      </c>
      <c r="B67" s="9" t="s">
        <v>1662</v>
      </c>
      <c r="C67" s="9">
        <v>147</v>
      </c>
      <c r="D67" s="149" t="s">
        <v>1626</v>
      </c>
      <c r="E67" s="150">
        <v>44951</v>
      </c>
      <c r="F67" s="9">
        <v>105</v>
      </c>
      <c r="G67" s="9">
        <v>4.4000000000000004</v>
      </c>
      <c r="H67" s="9">
        <f>IF(MONTH(Call_Table_Data[[#This Row],[Date of Call]])&lt;=6,YEAR(Call_Table_Data[[#This Row],[Date of Call]]),YEAR(Call_Table_Data[[#This Row],[Date of Call]])+1)</f>
        <v>2023</v>
      </c>
      <c r="I67" s="9" t="str">
        <f>TEXT(Call_Table_Data[[#This Row],[Date of Call]],"DDDD")</f>
        <v>Wednesday</v>
      </c>
      <c r="J67" s="9" t="str" cm="1">
        <f t="array" ref="J67">_xlfn.IFS(Call_Table_Data[[#This Row],[Duration]]&lt;=10,"Under 10 Mins",Call_Table_Data[[#This Row],[Duration]]&lt;=30,"10 to 30 Mins",Call_Table_Data[[#This Row],[Duration]]&lt;=60,"30 to 60 Mins",Call_Table_Data[[#This Row],[Duration]]&lt;=120,"1 to 2 Hours",TRUE,"More Than 2 Hours")</f>
        <v>More Than 2 Hours</v>
      </c>
      <c r="K67" s="9">
        <f>ROUND(Call_Table_Data[[#This Row],[Satisfaction Rating]],0)</f>
        <v>4</v>
      </c>
    </row>
    <row r="68" spans="1:11" x14ac:dyDescent="0.3">
      <c r="A68" s="9" t="s">
        <v>1694</v>
      </c>
      <c r="B68" s="9" t="s">
        <v>1613</v>
      </c>
      <c r="C68" s="9">
        <v>69</v>
      </c>
      <c r="D68" s="149" t="s">
        <v>1616</v>
      </c>
      <c r="E68" s="150">
        <v>44952</v>
      </c>
      <c r="F68" s="9">
        <v>40</v>
      </c>
      <c r="G68" s="9">
        <v>3.8</v>
      </c>
      <c r="H68" s="9">
        <f>IF(MONTH(Call_Table_Data[[#This Row],[Date of Call]])&lt;=6,YEAR(Call_Table_Data[[#This Row],[Date of Call]]),YEAR(Call_Table_Data[[#This Row],[Date of Call]])+1)</f>
        <v>2023</v>
      </c>
      <c r="I68" s="9" t="str">
        <f>TEXT(Call_Table_Data[[#This Row],[Date of Call]],"DDDD")</f>
        <v>Thursday</v>
      </c>
      <c r="J68" s="9" t="str" cm="1">
        <f t="array" ref="J68">_xlfn.IFS(Call_Table_Data[[#This Row],[Duration]]&lt;=10,"Under 10 Mins",Call_Table_Data[[#This Row],[Duration]]&lt;=30,"10 to 30 Mins",Call_Table_Data[[#This Row],[Duration]]&lt;=60,"30 to 60 Mins",Call_Table_Data[[#This Row],[Duration]]&lt;=120,"1 to 2 Hours",TRUE,"More Than 2 Hours")</f>
        <v>1 to 2 Hours</v>
      </c>
      <c r="K68" s="9">
        <f>ROUND(Call_Table_Data[[#This Row],[Satisfaction Rating]],0)</f>
        <v>4</v>
      </c>
    </row>
    <row r="69" spans="1:11" x14ac:dyDescent="0.3">
      <c r="A69" s="9" t="s">
        <v>1695</v>
      </c>
      <c r="B69" s="9" t="s">
        <v>1649</v>
      </c>
      <c r="C69" s="9">
        <v>50</v>
      </c>
      <c r="D69" s="149" t="s">
        <v>1611</v>
      </c>
      <c r="E69" s="150">
        <v>44952</v>
      </c>
      <c r="F69" s="9">
        <v>60</v>
      </c>
      <c r="G69" s="9">
        <v>2</v>
      </c>
      <c r="H69" s="9">
        <f>IF(MONTH(Call_Table_Data[[#This Row],[Date of Call]])&lt;=6,YEAR(Call_Table_Data[[#This Row],[Date of Call]]),YEAR(Call_Table_Data[[#This Row],[Date of Call]])+1)</f>
        <v>2023</v>
      </c>
      <c r="I69" s="9" t="str">
        <f>TEXT(Call_Table_Data[[#This Row],[Date of Call]],"DDDD")</f>
        <v>Thursday</v>
      </c>
      <c r="J69" s="9" t="str" cm="1">
        <f t="array" ref="J69">_xlfn.IFS(Call_Table_Data[[#This Row],[Duration]]&lt;=10,"Under 10 Mins",Call_Table_Data[[#This Row],[Duration]]&lt;=30,"10 to 30 Mins",Call_Table_Data[[#This Row],[Duration]]&lt;=60,"30 to 60 Mins",Call_Table_Data[[#This Row],[Duration]]&lt;=120,"1 to 2 Hours",TRUE,"More Than 2 Hours")</f>
        <v>30 to 60 Mins</v>
      </c>
      <c r="K69" s="9">
        <f>ROUND(Call_Table_Data[[#This Row],[Satisfaction Rating]],0)</f>
        <v>2</v>
      </c>
    </row>
    <row r="70" spans="1:11" x14ac:dyDescent="0.3">
      <c r="A70" s="9" t="s">
        <v>1696</v>
      </c>
      <c r="B70" s="9" t="s">
        <v>1629</v>
      </c>
      <c r="C70" s="9">
        <v>124</v>
      </c>
      <c r="D70" s="149" t="s">
        <v>1626</v>
      </c>
      <c r="E70" s="150">
        <v>44953</v>
      </c>
      <c r="F70" s="9">
        <v>215</v>
      </c>
      <c r="G70" s="9">
        <v>4.0999999999999996</v>
      </c>
      <c r="H70" s="9">
        <f>IF(MONTH(Call_Table_Data[[#This Row],[Date of Call]])&lt;=6,YEAR(Call_Table_Data[[#This Row],[Date of Call]]),YEAR(Call_Table_Data[[#This Row],[Date of Call]])+1)</f>
        <v>2023</v>
      </c>
      <c r="I70" s="9" t="str">
        <f>TEXT(Call_Table_Data[[#This Row],[Date of Call]],"DDDD")</f>
        <v>Friday</v>
      </c>
      <c r="J70" s="9" t="str" cm="1">
        <f t="array" ref="J70">_xlfn.IFS(Call_Table_Data[[#This Row],[Duration]]&lt;=10,"Under 10 Mins",Call_Table_Data[[#This Row],[Duration]]&lt;=30,"10 to 30 Mins",Call_Table_Data[[#This Row],[Duration]]&lt;=60,"30 to 60 Mins",Call_Table_Data[[#This Row],[Duration]]&lt;=120,"1 to 2 Hours",TRUE,"More Than 2 Hours")</f>
        <v>More Than 2 Hours</v>
      </c>
      <c r="K70" s="9">
        <f>ROUND(Call_Table_Data[[#This Row],[Satisfaction Rating]],0)</f>
        <v>4</v>
      </c>
    </row>
    <row r="71" spans="1:11" x14ac:dyDescent="0.3">
      <c r="A71" s="9" t="s">
        <v>1697</v>
      </c>
      <c r="B71" s="9" t="s">
        <v>1615</v>
      </c>
      <c r="C71" s="9">
        <v>81</v>
      </c>
      <c r="D71" s="149" t="s">
        <v>1621</v>
      </c>
      <c r="E71" s="150">
        <v>44953</v>
      </c>
      <c r="F71" s="9">
        <v>156</v>
      </c>
      <c r="G71" s="9">
        <v>2.6</v>
      </c>
      <c r="H71" s="9">
        <f>IF(MONTH(Call_Table_Data[[#This Row],[Date of Call]])&lt;=6,YEAR(Call_Table_Data[[#This Row],[Date of Call]]),YEAR(Call_Table_Data[[#This Row],[Date of Call]])+1)</f>
        <v>2023</v>
      </c>
      <c r="I71" s="9" t="str">
        <f>TEXT(Call_Table_Data[[#This Row],[Date of Call]],"DDDD")</f>
        <v>Friday</v>
      </c>
      <c r="J71" s="9" t="str" cm="1">
        <f t="array" ref="J71">_xlfn.IFS(Call_Table_Data[[#This Row],[Duration]]&lt;=10,"Under 10 Mins",Call_Table_Data[[#This Row],[Duration]]&lt;=30,"10 to 30 Mins",Call_Table_Data[[#This Row],[Duration]]&lt;=60,"30 to 60 Mins",Call_Table_Data[[#This Row],[Duration]]&lt;=120,"1 to 2 Hours",TRUE,"More Than 2 Hours")</f>
        <v>1 to 2 Hours</v>
      </c>
      <c r="K71" s="9">
        <f>ROUND(Call_Table_Data[[#This Row],[Satisfaction Rating]],0)</f>
        <v>3</v>
      </c>
    </row>
    <row r="72" spans="1:11" x14ac:dyDescent="0.3">
      <c r="A72" s="9" t="s">
        <v>1698</v>
      </c>
      <c r="B72" s="9" t="s">
        <v>1644</v>
      </c>
      <c r="C72" s="9">
        <v>141</v>
      </c>
      <c r="D72" s="149" t="s">
        <v>1630</v>
      </c>
      <c r="E72" s="150">
        <v>44953</v>
      </c>
      <c r="F72" s="9">
        <v>54</v>
      </c>
      <c r="G72" s="9">
        <v>0</v>
      </c>
      <c r="H72" s="9">
        <f>IF(MONTH(Call_Table_Data[[#This Row],[Date of Call]])&lt;=6,YEAR(Call_Table_Data[[#This Row],[Date of Call]]),YEAR(Call_Table_Data[[#This Row],[Date of Call]])+1)</f>
        <v>2023</v>
      </c>
      <c r="I72" s="9" t="str">
        <f>TEXT(Call_Table_Data[[#This Row],[Date of Call]],"DDDD")</f>
        <v>Friday</v>
      </c>
      <c r="J72" s="9" t="str" cm="1">
        <f t="array" ref="J72">_xlfn.IFS(Call_Table_Data[[#This Row],[Duration]]&lt;=10,"Under 10 Mins",Call_Table_Data[[#This Row],[Duration]]&lt;=30,"10 to 30 Mins",Call_Table_Data[[#This Row],[Duration]]&lt;=60,"30 to 60 Mins",Call_Table_Data[[#This Row],[Duration]]&lt;=120,"1 to 2 Hours",TRUE,"More Than 2 Hours")</f>
        <v>More Than 2 Hours</v>
      </c>
      <c r="K72" s="9">
        <f>ROUND(Call_Table_Data[[#This Row],[Satisfaction Rating]],0)</f>
        <v>0</v>
      </c>
    </row>
    <row r="73" spans="1:11" x14ac:dyDescent="0.3">
      <c r="A73" s="9" t="s">
        <v>1699</v>
      </c>
      <c r="B73" s="9" t="s">
        <v>1644</v>
      </c>
      <c r="C73" s="9">
        <v>168</v>
      </c>
      <c r="D73" s="149" t="s">
        <v>1630</v>
      </c>
      <c r="E73" s="150">
        <v>44954</v>
      </c>
      <c r="F73" s="9">
        <v>160</v>
      </c>
      <c r="G73" s="9">
        <v>3.9</v>
      </c>
      <c r="H73" s="9">
        <f>IF(MONTH(Call_Table_Data[[#This Row],[Date of Call]])&lt;=6,YEAR(Call_Table_Data[[#This Row],[Date of Call]]),YEAR(Call_Table_Data[[#This Row],[Date of Call]])+1)</f>
        <v>2023</v>
      </c>
      <c r="I73" s="9" t="str">
        <f>TEXT(Call_Table_Data[[#This Row],[Date of Call]],"DDDD")</f>
        <v>Saturday</v>
      </c>
      <c r="J73" s="9" t="str" cm="1">
        <f t="array" ref="J73">_xlfn.IFS(Call_Table_Data[[#This Row],[Duration]]&lt;=10,"Under 10 Mins",Call_Table_Data[[#This Row],[Duration]]&lt;=30,"10 to 30 Mins",Call_Table_Data[[#This Row],[Duration]]&lt;=60,"30 to 60 Mins",Call_Table_Data[[#This Row],[Duration]]&lt;=120,"1 to 2 Hours",TRUE,"More Than 2 Hours")</f>
        <v>More Than 2 Hours</v>
      </c>
      <c r="K73" s="9">
        <f>ROUND(Call_Table_Data[[#This Row],[Satisfaction Rating]],0)</f>
        <v>4</v>
      </c>
    </row>
    <row r="74" spans="1:11" x14ac:dyDescent="0.3">
      <c r="A74" s="9" t="s">
        <v>1700</v>
      </c>
      <c r="B74" s="9" t="s">
        <v>1662</v>
      </c>
      <c r="C74" s="9">
        <v>101</v>
      </c>
      <c r="D74" s="149" t="s">
        <v>1621</v>
      </c>
      <c r="E74" s="150">
        <v>44954</v>
      </c>
      <c r="F74" s="9">
        <v>80</v>
      </c>
      <c r="G74" s="9">
        <v>4.8</v>
      </c>
      <c r="H74" s="9">
        <f>IF(MONTH(Call_Table_Data[[#This Row],[Date of Call]])&lt;=6,YEAR(Call_Table_Data[[#This Row],[Date of Call]]),YEAR(Call_Table_Data[[#This Row],[Date of Call]])+1)</f>
        <v>2023</v>
      </c>
      <c r="I74" s="9" t="str">
        <f>TEXT(Call_Table_Data[[#This Row],[Date of Call]],"DDDD")</f>
        <v>Saturday</v>
      </c>
      <c r="J74" s="9" t="str" cm="1">
        <f t="array" ref="J74">_xlfn.IFS(Call_Table_Data[[#This Row],[Duration]]&lt;=10,"Under 10 Mins",Call_Table_Data[[#This Row],[Duration]]&lt;=30,"10 to 30 Mins",Call_Table_Data[[#This Row],[Duration]]&lt;=60,"30 to 60 Mins",Call_Table_Data[[#This Row],[Duration]]&lt;=120,"1 to 2 Hours",TRUE,"More Than 2 Hours")</f>
        <v>1 to 2 Hours</v>
      </c>
      <c r="K74" s="9">
        <f>ROUND(Call_Table_Data[[#This Row],[Satisfaction Rating]],0)</f>
        <v>5</v>
      </c>
    </row>
    <row r="75" spans="1:11" x14ac:dyDescent="0.3">
      <c r="A75" s="9" t="s">
        <v>1701</v>
      </c>
      <c r="B75" s="9" t="s">
        <v>1633</v>
      </c>
      <c r="C75" s="9">
        <v>67</v>
      </c>
      <c r="D75" s="149" t="s">
        <v>1621</v>
      </c>
      <c r="E75" s="150">
        <v>44954</v>
      </c>
      <c r="F75" s="9">
        <v>168</v>
      </c>
      <c r="G75" s="9">
        <v>2.6</v>
      </c>
      <c r="H75" s="9">
        <f>IF(MONTH(Call_Table_Data[[#This Row],[Date of Call]])&lt;=6,YEAR(Call_Table_Data[[#This Row],[Date of Call]]),YEAR(Call_Table_Data[[#This Row],[Date of Call]])+1)</f>
        <v>2023</v>
      </c>
      <c r="I75" s="9" t="str">
        <f>TEXT(Call_Table_Data[[#This Row],[Date of Call]],"DDDD")</f>
        <v>Saturday</v>
      </c>
      <c r="J75" s="9" t="str" cm="1">
        <f t="array" ref="J75">_xlfn.IFS(Call_Table_Data[[#This Row],[Duration]]&lt;=10,"Under 10 Mins",Call_Table_Data[[#This Row],[Duration]]&lt;=30,"10 to 30 Mins",Call_Table_Data[[#This Row],[Duration]]&lt;=60,"30 to 60 Mins",Call_Table_Data[[#This Row],[Duration]]&lt;=120,"1 to 2 Hours",TRUE,"More Than 2 Hours")</f>
        <v>1 to 2 Hours</v>
      </c>
      <c r="K75" s="9">
        <f>ROUND(Call_Table_Data[[#This Row],[Satisfaction Rating]],0)</f>
        <v>3</v>
      </c>
    </row>
    <row r="76" spans="1:11" x14ac:dyDescent="0.3">
      <c r="A76" s="9" t="s">
        <v>1702</v>
      </c>
      <c r="B76" s="9" t="s">
        <v>1682</v>
      </c>
      <c r="C76" s="9">
        <v>114</v>
      </c>
      <c r="D76" s="149" t="s">
        <v>1630</v>
      </c>
      <c r="E76" s="150">
        <v>44956</v>
      </c>
      <c r="F76" s="9">
        <v>42</v>
      </c>
      <c r="G76" s="9">
        <v>2.6</v>
      </c>
      <c r="H76" s="9">
        <f>IF(MONTH(Call_Table_Data[[#This Row],[Date of Call]])&lt;=6,YEAR(Call_Table_Data[[#This Row],[Date of Call]]),YEAR(Call_Table_Data[[#This Row],[Date of Call]])+1)</f>
        <v>2023</v>
      </c>
      <c r="I76" s="9" t="str">
        <f>TEXT(Call_Table_Data[[#This Row],[Date of Call]],"DDDD")</f>
        <v>Monday</v>
      </c>
      <c r="J76" s="9" t="str" cm="1">
        <f t="array" ref="J76">_xlfn.IFS(Call_Table_Data[[#This Row],[Duration]]&lt;=10,"Under 10 Mins",Call_Table_Data[[#This Row],[Duration]]&lt;=30,"10 to 30 Mins",Call_Table_Data[[#This Row],[Duration]]&lt;=60,"30 to 60 Mins",Call_Table_Data[[#This Row],[Duration]]&lt;=120,"1 to 2 Hours",TRUE,"More Than 2 Hours")</f>
        <v>1 to 2 Hours</v>
      </c>
      <c r="K76" s="9">
        <f>ROUND(Call_Table_Data[[#This Row],[Satisfaction Rating]],0)</f>
        <v>3</v>
      </c>
    </row>
    <row r="77" spans="1:11" x14ac:dyDescent="0.3">
      <c r="A77" s="9" t="s">
        <v>1703</v>
      </c>
      <c r="B77" s="9" t="s">
        <v>1615</v>
      </c>
      <c r="C77" s="9">
        <v>42</v>
      </c>
      <c r="D77" s="149" t="s">
        <v>1621</v>
      </c>
      <c r="E77" s="150">
        <v>44956</v>
      </c>
      <c r="F77" s="9">
        <v>205</v>
      </c>
      <c r="G77" s="9">
        <v>3.6</v>
      </c>
      <c r="H77" s="9">
        <f>IF(MONTH(Call_Table_Data[[#This Row],[Date of Call]])&lt;=6,YEAR(Call_Table_Data[[#This Row],[Date of Call]]),YEAR(Call_Table_Data[[#This Row],[Date of Call]])+1)</f>
        <v>2023</v>
      </c>
      <c r="I77" s="9" t="str">
        <f>TEXT(Call_Table_Data[[#This Row],[Date of Call]],"DDDD")</f>
        <v>Monday</v>
      </c>
      <c r="J77" s="9" t="str" cm="1">
        <f t="array" ref="J77">_xlfn.IFS(Call_Table_Data[[#This Row],[Duration]]&lt;=10,"Under 10 Mins",Call_Table_Data[[#This Row],[Duration]]&lt;=30,"10 to 30 Mins",Call_Table_Data[[#This Row],[Duration]]&lt;=60,"30 to 60 Mins",Call_Table_Data[[#This Row],[Duration]]&lt;=120,"1 to 2 Hours",TRUE,"More Than 2 Hours")</f>
        <v>30 to 60 Mins</v>
      </c>
      <c r="K77" s="9">
        <f>ROUND(Call_Table_Data[[#This Row],[Satisfaction Rating]],0)</f>
        <v>4</v>
      </c>
    </row>
    <row r="78" spans="1:11" x14ac:dyDescent="0.3">
      <c r="A78" s="9" t="s">
        <v>1704</v>
      </c>
      <c r="B78" s="9" t="s">
        <v>1620</v>
      </c>
      <c r="C78" s="9">
        <v>69</v>
      </c>
      <c r="D78" s="149" t="s">
        <v>1630</v>
      </c>
      <c r="E78" s="150">
        <v>44956</v>
      </c>
      <c r="F78" s="9">
        <v>108</v>
      </c>
      <c r="G78" s="9">
        <v>3.3</v>
      </c>
      <c r="H78" s="9">
        <f>IF(MONTH(Call_Table_Data[[#This Row],[Date of Call]])&lt;=6,YEAR(Call_Table_Data[[#This Row],[Date of Call]]),YEAR(Call_Table_Data[[#This Row],[Date of Call]])+1)</f>
        <v>2023</v>
      </c>
      <c r="I78" s="9" t="str">
        <f>TEXT(Call_Table_Data[[#This Row],[Date of Call]],"DDDD")</f>
        <v>Monday</v>
      </c>
      <c r="J78" s="9" t="str" cm="1">
        <f t="array" ref="J78">_xlfn.IFS(Call_Table_Data[[#This Row],[Duration]]&lt;=10,"Under 10 Mins",Call_Table_Data[[#This Row],[Duration]]&lt;=30,"10 to 30 Mins",Call_Table_Data[[#This Row],[Duration]]&lt;=60,"30 to 60 Mins",Call_Table_Data[[#This Row],[Duration]]&lt;=120,"1 to 2 Hours",TRUE,"More Than 2 Hours")</f>
        <v>1 to 2 Hours</v>
      </c>
      <c r="K78" s="9">
        <f>ROUND(Call_Table_Data[[#This Row],[Satisfaction Rating]],0)</f>
        <v>3</v>
      </c>
    </row>
    <row r="79" spans="1:11" x14ac:dyDescent="0.3">
      <c r="A79" s="9" t="s">
        <v>1705</v>
      </c>
      <c r="B79" s="9" t="s">
        <v>1629</v>
      </c>
      <c r="C79" s="9">
        <v>145</v>
      </c>
      <c r="D79" s="149" t="s">
        <v>1616</v>
      </c>
      <c r="E79" s="150">
        <v>44956</v>
      </c>
      <c r="F79" s="9">
        <v>78</v>
      </c>
      <c r="G79" s="9">
        <v>1.9</v>
      </c>
      <c r="H79" s="9">
        <f>IF(MONTH(Call_Table_Data[[#This Row],[Date of Call]])&lt;=6,YEAR(Call_Table_Data[[#This Row],[Date of Call]]),YEAR(Call_Table_Data[[#This Row],[Date of Call]])+1)</f>
        <v>2023</v>
      </c>
      <c r="I79" s="9" t="str">
        <f>TEXT(Call_Table_Data[[#This Row],[Date of Call]],"DDDD")</f>
        <v>Monday</v>
      </c>
      <c r="J79" s="9" t="str" cm="1">
        <f t="array" ref="J79">_xlfn.IFS(Call_Table_Data[[#This Row],[Duration]]&lt;=10,"Under 10 Mins",Call_Table_Data[[#This Row],[Duration]]&lt;=30,"10 to 30 Mins",Call_Table_Data[[#This Row],[Duration]]&lt;=60,"30 to 60 Mins",Call_Table_Data[[#This Row],[Duration]]&lt;=120,"1 to 2 Hours",TRUE,"More Than 2 Hours")</f>
        <v>More Than 2 Hours</v>
      </c>
      <c r="K79" s="9">
        <f>ROUND(Call_Table_Data[[#This Row],[Satisfaction Rating]],0)</f>
        <v>2</v>
      </c>
    </row>
    <row r="80" spans="1:11" x14ac:dyDescent="0.3">
      <c r="A80" s="9" t="s">
        <v>1706</v>
      </c>
      <c r="B80" s="9" t="s">
        <v>1613</v>
      </c>
      <c r="C80" s="9">
        <v>43</v>
      </c>
      <c r="D80" s="149" t="s">
        <v>1630</v>
      </c>
      <c r="E80" s="150">
        <v>44956</v>
      </c>
      <c r="F80" s="9">
        <v>23</v>
      </c>
      <c r="G80" s="9">
        <v>4.9000000000000004</v>
      </c>
      <c r="H80" s="9">
        <f>IF(MONTH(Call_Table_Data[[#This Row],[Date of Call]])&lt;=6,YEAR(Call_Table_Data[[#This Row],[Date of Call]]),YEAR(Call_Table_Data[[#This Row],[Date of Call]])+1)</f>
        <v>2023</v>
      </c>
      <c r="I80" s="9" t="str">
        <f>TEXT(Call_Table_Data[[#This Row],[Date of Call]],"DDDD")</f>
        <v>Monday</v>
      </c>
      <c r="J80" s="9" t="str" cm="1">
        <f t="array" ref="J80">_xlfn.IFS(Call_Table_Data[[#This Row],[Duration]]&lt;=10,"Under 10 Mins",Call_Table_Data[[#This Row],[Duration]]&lt;=30,"10 to 30 Mins",Call_Table_Data[[#This Row],[Duration]]&lt;=60,"30 to 60 Mins",Call_Table_Data[[#This Row],[Duration]]&lt;=120,"1 to 2 Hours",TRUE,"More Than 2 Hours")</f>
        <v>30 to 60 Mins</v>
      </c>
      <c r="K80" s="9">
        <f>ROUND(Call_Table_Data[[#This Row],[Satisfaction Rating]],0)</f>
        <v>5</v>
      </c>
    </row>
    <row r="81" spans="1:11" x14ac:dyDescent="0.3">
      <c r="A81" s="9" t="s">
        <v>1707</v>
      </c>
      <c r="B81" s="9" t="s">
        <v>1620</v>
      </c>
      <c r="C81" s="9">
        <v>62</v>
      </c>
      <c r="D81" s="149" t="s">
        <v>1611</v>
      </c>
      <c r="E81" s="150">
        <v>44957</v>
      </c>
      <c r="F81" s="9">
        <v>99</v>
      </c>
      <c r="G81" s="9">
        <v>3.6</v>
      </c>
      <c r="H81" s="9">
        <f>IF(MONTH(Call_Table_Data[[#This Row],[Date of Call]])&lt;=6,YEAR(Call_Table_Data[[#This Row],[Date of Call]]),YEAR(Call_Table_Data[[#This Row],[Date of Call]])+1)</f>
        <v>2023</v>
      </c>
      <c r="I81" s="9" t="str">
        <f>TEXT(Call_Table_Data[[#This Row],[Date of Call]],"DDDD")</f>
        <v>Tuesday</v>
      </c>
      <c r="J81" s="9" t="str" cm="1">
        <f t="array" ref="J81">_xlfn.IFS(Call_Table_Data[[#This Row],[Duration]]&lt;=10,"Under 10 Mins",Call_Table_Data[[#This Row],[Duration]]&lt;=30,"10 to 30 Mins",Call_Table_Data[[#This Row],[Duration]]&lt;=60,"30 to 60 Mins",Call_Table_Data[[#This Row],[Duration]]&lt;=120,"1 to 2 Hours",TRUE,"More Than 2 Hours")</f>
        <v>1 to 2 Hours</v>
      </c>
      <c r="K81" s="9">
        <f>ROUND(Call_Table_Data[[#This Row],[Satisfaction Rating]],0)</f>
        <v>4</v>
      </c>
    </row>
    <row r="82" spans="1:11" x14ac:dyDescent="0.3">
      <c r="A82" s="9" t="s">
        <v>1708</v>
      </c>
      <c r="B82" s="9" t="s">
        <v>1641</v>
      </c>
      <c r="C82" s="9">
        <v>79</v>
      </c>
      <c r="D82" s="149" t="s">
        <v>1630</v>
      </c>
      <c r="E82" s="150">
        <v>44958</v>
      </c>
      <c r="F82" s="9">
        <v>148</v>
      </c>
      <c r="G82" s="9">
        <v>4.5</v>
      </c>
      <c r="H82" s="9">
        <f>IF(MONTH(Call_Table_Data[[#This Row],[Date of Call]])&lt;=6,YEAR(Call_Table_Data[[#This Row],[Date of Call]]),YEAR(Call_Table_Data[[#This Row],[Date of Call]])+1)</f>
        <v>2023</v>
      </c>
      <c r="I82" s="9" t="str">
        <f>TEXT(Call_Table_Data[[#This Row],[Date of Call]],"DDDD")</f>
        <v>Wednesday</v>
      </c>
      <c r="J82" s="9" t="str" cm="1">
        <f t="array" ref="J82">_xlfn.IFS(Call_Table_Data[[#This Row],[Duration]]&lt;=10,"Under 10 Mins",Call_Table_Data[[#This Row],[Duration]]&lt;=30,"10 to 30 Mins",Call_Table_Data[[#This Row],[Duration]]&lt;=60,"30 to 60 Mins",Call_Table_Data[[#This Row],[Duration]]&lt;=120,"1 to 2 Hours",TRUE,"More Than 2 Hours")</f>
        <v>1 to 2 Hours</v>
      </c>
      <c r="K82" s="9">
        <f>ROUND(Call_Table_Data[[#This Row],[Satisfaction Rating]],0)</f>
        <v>5</v>
      </c>
    </row>
    <row r="83" spans="1:11" x14ac:dyDescent="0.3">
      <c r="A83" s="9" t="s">
        <v>1709</v>
      </c>
      <c r="B83" s="9" t="s">
        <v>1629</v>
      </c>
      <c r="C83" s="9">
        <v>45</v>
      </c>
      <c r="D83" s="149" t="s">
        <v>1626</v>
      </c>
      <c r="E83" s="150">
        <v>44958</v>
      </c>
      <c r="F83" s="9">
        <v>34</v>
      </c>
      <c r="G83" s="9">
        <v>3.7</v>
      </c>
      <c r="H83" s="9">
        <f>IF(MONTH(Call_Table_Data[[#This Row],[Date of Call]])&lt;=6,YEAR(Call_Table_Data[[#This Row],[Date of Call]]),YEAR(Call_Table_Data[[#This Row],[Date of Call]])+1)</f>
        <v>2023</v>
      </c>
      <c r="I83" s="9" t="str">
        <f>TEXT(Call_Table_Data[[#This Row],[Date of Call]],"DDDD")</f>
        <v>Wednesday</v>
      </c>
      <c r="J83" s="9" t="str" cm="1">
        <f t="array" ref="J83">_xlfn.IFS(Call_Table_Data[[#This Row],[Duration]]&lt;=10,"Under 10 Mins",Call_Table_Data[[#This Row],[Duration]]&lt;=30,"10 to 30 Mins",Call_Table_Data[[#This Row],[Duration]]&lt;=60,"30 to 60 Mins",Call_Table_Data[[#This Row],[Duration]]&lt;=120,"1 to 2 Hours",TRUE,"More Than 2 Hours")</f>
        <v>30 to 60 Mins</v>
      </c>
      <c r="K83" s="9">
        <f>ROUND(Call_Table_Data[[#This Row],[Satisfaction Rating]],0)</f>
        <v>4</v>
      </c>
    </row>
    <row r="84" spans="1:11" x14ac:dyDescent="0.3">
      <c r="A84" s="9" t="s">
        <v>1710</v>
      </c>
      <c r="B84" s="9" t="s">
        <v>1620</v>
      </c>
      <c r="C84" s="9">
        <v>137</v>
      </c>
      <c r="D84" s="149" t="s">
        <v>1630</v>
      </c>
      <c r="E84" s="150">
        <v>44958</v>
      </c>
      <c r="F84" s="9">
        <v>86</v>
      </c>
      <c r="G84" s="9">
        <v>4.8</v>
      </c>
      <c r="H84" s="9">
        <f>IF(MONTH(Call_Table_Data[[#This Row],[Date of Call]])&lt;=6,YEAR(Call_Table_Data[[#This Row],[Date of Call]]),YEAR(Call_Table_Data[[#This Row],[Date of Call]])+1)</f>
        <v>2023</v>
      </c>
      <c r="I84" s="9" t="str">
        <f>TEXT(Call_Table_Data[[#This Row],[Date of Call]],"DDDD")</f>
        <v>Wednesday</v>
      </c>
      <c r="J84" s="9" t="str" cm="1">
        <f t="array" ref="J84">_xlfn.IFS(Call_Table_Data[[#This Row],[Duration]]&lt;=10,"Under 10 Mins",Call_Table_Data[[#This Row],[Duration]]&lt;=30,"10 to 30 Mins",Call_Table_Data[[#This Row],[Duration]]&lt;=60,"30 to 60 Mins",Call_Table_Data[[#This Row],[Duration]]&lt;=120,"1 to 2 Hours",TRUE,"More Than 2 Hours")</f>
        <v>More Than 2 Hours</v>
      </c>
      <c r="K84" s="9">
        <f>ROUND(Call_Table_Data[[#This Row],[Satisfaction Rating]],0)</f>
        <v>5</v>
      </c>
    </row>
    <row r="85" spans="1:11" x14ac:dyDescent="0.3">
      <c r="A85" s="9" t="s">
        <v>1711</v>
      </c>
      <c r="B85" s="9" t="s">
        <v>1682</v>
      </c>
      <c r="C85" s="9">
        <v>109</v>
      </c>
      <c r="D85" s="149" t="s">
        <v>1611</v>
      </c>
      <c r="E85" s="150">
        <v>44958</v>
      </c>
      <c r="F85" s="9">
        <v>105</v>
      </c>
      <c r="G85" s="9">
        <v>3.3</v>
      </c>
      <c r="H85" s="9">
        <f>IF(MONTH(Call_Table_Data[[#This Row],[Date of Call]])&lt;=6,YEAR(Call_Table_Data[[#This Row],[Date of Call]]),YEAR(Call_Table_Data[[#This Row],[Date of Call]])+1)</f>
        <v>2023</v>
      </c>
      <c r="I85" s="9" t="str">
        <f>TEXT(Call_Table_Data[[#This Row],[Date of Call]],"DDDD")</f>
        <v>Wednesday</v>
      </c>
      <c r="J85" s="9" t="str" cm="1">
        <f t="array" ref="J85">_xlfn.IFS(Call_Table_Data[[#This Row],[Duration]]&lt;=10,"Under 10 Mins",Call_Table_Data[[#This Row],[Duration]]&lt;=30,"10 to 30 Mins",Call_Table_Data[[#This Row],[Duration]]&lt;=60,"30 to 60 Mins",Call_Table_Data[[#This Row],[Duration]]&lt;=120,"1 to 2 Hours",TRUE,"More Than 2 Hours")</f>
        <v>1 to 2 Hours</v>
      </c>
      <c r="K85" s="9">
        <f>ROUND(Call_Table_Data[[#This Row],[Satisfaction Rating]],0)</f>
        <v>3</v>
      </c>
    </row>
    <row r="86" spans="1:11" x14ac:dyDescent="0.3">
      <c r="A86" s="9" t="s">
        <v>1712</v>
      </c>
      <c r="B86" s="9" t="s">
        <v>1613</v>
      </c>
      <c r="C86" s="9">
        <v>78</v>
      </c>
      <c r="D86" s="149" t="s">
        <v>1611</v>
      </c>
      <c r="E86" s="150">
        <v>44958</v>
      </c>
      <c r="F86" s="9">
        <v>62</v>
      </c>
      <c r="G86" s="9">
        <v>3.1</v>
      </c>
      <c r="H86" s="9">
        <f>IF(MONTH(Call_Table_Data[[#This Row],[Date of Call]])&lt;=6,YEAR(Call_Table_Data[[#This Row],[Date of Call]]),YEAR(Call_Table_Data[[#This Row],[Date of Call]])+1)</f>
        <v>2023</v>
      </c>
      <c r="I86" s="9" t="str">
        <f>TEXT(Call_Table_Data[[#This Row],[Date of Call]],"DDDD")</f>
        <v>Wednesday</v>
      </c>
      <c r="J86" s="9" t="str" cm="1">
        <f t="array" ref="J86">_xlfn.IFS(Call_Table_Data[[#This Row],[Duration]]&lt;=10,"Under 10 Mins",Call_Table_Data[[#This Row],[Duration]]&lt;=30,"10 to 30 Mins",Call_Table_Data[[#This Row],[Duration]]&lt;=60,"30 to 60 Mins",Call_Table_Data[[#This Row],[Duration]]&lt;=120,"1 to 2 Hours",TRUE,"More Than 2 Hours")</f>
        <v>1 to 2 Hours</v>
      </c>
      <c r="K86" s="9">
        <f>ROUND(Call_Table_Data[[#This Row],[Satisfaction Rating]],0)</f>
        <v>3</v>
      </c>
    </row>
    <row r="87" spans="1:11" x14ac:dyDescent="0.3">
      <c r="A87" s="9" t="s">
        <v>1713</v>
      </c>
      <c r="B87" s="9" t="s">
        <v>1620</v>
      </c>
      <c r="C87" s="9">
        <v>137</v>
      </c>
      <c r="D87" s="149" t="s">
        <v>1626</v>
      </c>
      <c r="E87" s="150">
        <v>44958</v>
      </c>
      <c r="F87" s="9">
        <v>90</v>
      </c>
      <c r="G87" s="9">
        <v>4.0999999999999996</v>
      </c>
      <c r="H87" s="9">
        <f>IF(MONTH(Call_Table_Data[[#This Row],[Date of Call]])&lt;=6,YEAR(Call_Table_Data[[#This Row],[Date of Call]]),YEAR(Call_Table_Data[[#This Row],[Date of Call]])+1)</f>
        <v>2023</v>
      </c>
      <c r="I87" s="9" t="str">
        <f>TEXT(Call_Table_Data[[#This Row],[Date of Call]],"DDDD")</f>
        <v>Wednesday</v>
      </c>
      <c r="J87" s="9" t="str" cm="1">
        <f t="array" ref="J87">_xlfn.IFS(Call_Table_Data[[#This Row],[Duration]]&lt;=10,"Under 10 Mins",Call_Table_Data[[#This Row],[Duration]]&lt;=30,"10 to 30 Mins",Call_Table_Data[[#This Row],[Duration]]&lt;=60,"30 to 60 Mins",Call_Table_Data[[#This Row],[Duration]]&lt;=120,"1 to 2 Hours",TRUE,"More Than 2 Hours")</f>
        <v>More Than 2 Hours</v>
      </c>
      <c r="K87" s="9">
        <f>ROUND(Call_Table_Data[[#This Row],[Satisfaction Rating]],0)</f>
        <v>4</v>
      </c>
    </row>
    <row r="88" spans="1:11" x14ac:dyDescent="0.3">
      <c r="A88" s="9" t="s">
        <v>1714</v>
      </c>
      <c r="B88" s="9" t="s">
        <v>1618</v>
      </c>
      <c r="C88" s="9">
        <v>99</v>
      </c>
      <c r="D88" s="149" t="s">
        <v>1611</v>
      </c>
      <c r="E88" s="150">
        <v>44959</v>
      </c>
      <c r="F88" s="9">
        <v>112</v>
      </c>
      <c r="G88" s="9">
        <v>4.9000000000000004</v>
      </c>
      <c r="H88" s="9">
        <f>IF(MONTH(Call_Table_Data[[#This Row],[Date of Call]])&lt;=6,YEAR(Call_Table_Data[[#This Row],[Date of Call]]),YEAR(Call_Table_Data[[#This Row],[Date of Call]])+1)</f>
        <v>2023</v>
      </c>
      <c r="I88" s="9" t="str">
        <f>TEXT(Call_Table_Data[[#This Row],[Date of Call]],"DDDD")</f>
        <v>Thursday</v>
      </c>
      <c r="J88" s="9" t="str" cm="1">
        <f t="array" ref="J88">_xlfn.IFS(Call_Table_Data[[#This Row],[Duration]]&lt;=10,"Under 10 Mins",Call_Table_Data[[#This Row],[Duration]]&lt;=30,"10 to 30 Mins",Call_Table_Data[[#This Row],[Duration]]&lt;=60,"30 to 60 Mins",Call_Table_Data[[#This Row],[Duration]]&lt;=120,"1 to 2 Hours",TRUE,"More Than 2 Hours")</f>
        <v>1 to 2 Hours</v>
      </c>
      <c r="K88" s="9">
        <f>ROUND(Call_Table_Data[[#This Row],[Satisfaction Rating]],0)</f>
        <v>5</v>
      </c>
    </row>
    <row r="89" spans="1:11" x14ac:dyDescent="0.3">
      <c r="A89" s="9" t="s">
        <v>1715</v>
      </c>
      <c r="B89" s="9" t="s">
        <v>1649</v>
      </c>
      <c r="C89" s="9">
        <v>100</v>
      </c>
      <c r="D89" s="149" t="s">
        <v>1611</v>
      </c>
      <c r="E89" s="150">
        <v>44959</v>
      </c>
      <c r="F89" s="9">
        <v>135</v>
      </c>
      <c r="G89" s="9">
        <v>4</v>
      </c>
      <c r="H89" s="9">
        <f>IF(MONTH(Call_Table_Data[[#This Row],[Date of Call]])&lt;=6,YEAR(Call_Table_Data[[#This Row],[Date of Call]]),YEAR(Call_Table_Data[[#This Row],[Date of Call]])+1)</f>
        <v>2023</v>
      </c>
      <c r="I89" s="9" t="str">
        <f>TEXT(Call_Table_Data[[#This Row],[Date of Call]],"DDDD")</f>
        <v>Thursday</v>
      </c>
      <c r="J89" s="9" t="str" cm="1">
        <f t="array" ref="J89">_xlfn.IFS(Call_Table_Data[[#This Row],[Duration]]&lt;=10,"Under 10 Mins",Call_Table_Data[[#This Row],[Duration]]&lt;=30,"10 to 30 Mins",Call_Table_Data[[#This Row],[Duration]]&lt;=60,"30 to 60 Mins",Call_Table_Data[[#This Row],[Duration]]&lt;=120,"1 to 2 Hours",TRUE,"More Than 2 Hours")</f>
        <v>1 to 2 Hours</v>
      </c>
      <c r="K89" s="9">
        <f>ROUND(Call_Table_Data[[#This Row],[Satisfaction Rating]],0)</f>
        <v>4</v>
      </c>
    </row>
    <row r="90" spans="1:11" x14ac:dyDescent="0.3">
      <c r="A90" s="9" t="s">
        <v>1716</v>
      </c>
      <c r="B90" s="9" t="s">
        <v>1613</v>
      </c>
      <c r="C90" s="9">
        <v>47</v>
      </c>
      <c r="D90" s="149" t="s">
        <v>1616</v>
      </c>
      <c r="E90" s="150">
        <v>44959</v>
      </c>
      <c r="F90" s="9">
        <v>34</v>
      </c>
      <c r="G90" s="9">
        <v>2.1</v>
      </c>
      <c r="H90" s="9">
        <f>IF(MONTH(Call_Table_Data[[#This Row],[Date of Call]])&lt;=6,YEAR(Call_Table_Data[[#This Row],[Date of Call]]),YEAR(Call_Table_Data[[#This Row],[Date of Call]])+1)</f>
        <v>2023</v>
      </c>
      <c r="I90" s="9" t="str">
        <f>TEXT(Call_Table_Data[[#This Row],[Date of Call]],"DDDD")</f>
        <v>Thursday</v>
      </c>
      <c r="J90" s="9" t="str" cm="1">
        <f t="array" ref="J90">_xlfn.IFS(Call_Table_Data[[#This Row],[Duration]]&lt;=10,"Under 10 Mins",Call_Table_Data[[#This Row],[Duration]]&lt;=30,"10 to 30 Mins",Call_Table_Data[[#This Row],[Duration]]&lt;=60,"30 to 60 Mins",Call_Table_Data[[#This Row],[Duration]]&lt;=120,"1 to 2 Hours",TRUE,"More Than 2 Hours")</f>
        <v>30 to 60 Mins</v>
      </c>
      <c r="K90" s="9">
        <f>ROUND(Call_Table_Data[[#This Row],[Satisfaction Rating]],0)</f>
        <v>2</v>
      </c>
    </row>
    <row r="91" spans="1:11" x14ac:dyDescent="0.3">
      <c r="A91" s="9" t="s">
        <v>1717</v>
      </c>
      <c r="B91" s="9" t="s">
        <v>1682</v>
      </c>
      <c r="C91" s="9">
        <v>87</v>
      </c>
      <c r="D91" s="149" t="s">
        <v>1621</v>
      </c>
      <c r="E91" s="150">
        <v>44959</v>
      </c>
      <c r="F91" s="9">
        <v>155</v>
      </c>
      <c r="G91" s="9">
        <v>4.5</v>
      </c>
      <c r="H91" s="9">
        <f>IF(MONTH(Call_Table_Data[[#This Row],[Date of Call]])&lt;=6,YEAR(Call_Table_Data[[#This Row],[Date of Call]]),YEAR(Call_Table_Data[[#This Row],[Date of Call]])+1)</f>
        <v>2023</v>
      </c>
      <c r="I91" s="9" t="str">
        <f>TEXT(Call_Table_Data[[#This Row],[Date of Call]],"DDDD")</f>
        <v>Thursday</v>
      </c>
      <c r="J91" s="9" t="str" cm="1">
        <f t="array" ref="J91">_xlfn.IFS(Call_Table_Data[[#This Row],[Duration]]&lt;=10,"Under 10 Mins",Call_Table_Data[[#This Row],[Duration]]&lt;=30,"10 to 30 Mins",Call_Table_Data[[#This Row],[Duration]]&lt;=60,"30 to 60 Mins",Call_Table_Data[[#This Row],[Duration]]&lt;=120,"1 to 2 Hours",TRUE,"More Than 2 Hours")</f>
        <v>1 to 2 Hours</v>
      </c>
      <c r="K91" s="9">
        <f>ROUND(Call_Table_Data[[#This Row],[Satisfaction Rating]],0)</f>
        <v>5</v>
      </c>
    </row>
    <row r="92" spans="1:11" x14ac:dyDescent="0.3">
      <c r="A92" s="9" t="s">
        <v>1718</v>
      </c>
      <c r="B92" s="9" t="s">
        <v>1618</v>
      </c>
      <c r="C92" s="9">
        <v>143</v>
      </c>
      <c r="D92" s="149" t="s">
        <v>1621</v>
      </c>
      <c r="E92" s="150">
        <v>44961</v>
      </c>
      <c r="F92" s="9">
        <v>124</v>
      </c>
      <c r="G92" s="9">
        <v>4.9000000000000004</v>
      </c>
      <c r="H92" s="9">
        <f>IF(MONTH(Call_Table_Data[[#This Row],[Date of Call]])&lt;=6,YEAR(Call_Table_Data[[#This Row],[Date of Call]]),YEAR(Call_Table_Data[[#This Row],[Date of Call]])+1)</f>
        <v>2023</v>
      </c>
      <c r="I92" s="9" t="str">
        <f>TEXT(Call_Table_Data[[#This Row],[Date of Call]],"DDDD")</f>
        <v>Saturday</v>
      </c>
      <c r="J92" s="9" t="str" cm="1">
        <f t="array" ref="J92">_xlfn.IFS(Call_Table_Data[[#This Row],[Duration]]&lt;=10,"Under 10 Mins",Call_Table_Data[[#This Row],[Duration]]&lt;=30,"10 to 30 Mins",Call_Table_Data[[#This Row],[Duration]]&lt;=60,"30 to 60 Mins",Call_Table_Data[[#This Row],[Duration]]&lt;=120,"1 to 2 Hours",TRUE,"More Than 2 Hours")</f>
        <v>More Than 2 Hours</v>
      </c>
      <c r="K92" s="9">
        <f>ROUND(Call_Table_Data[[#This Row],[Satisfaction Rating]],0)</f>
        <v>5</v>
      </c>
    </row>
    <row r="93" spans="1:11" x14ac:dyDescent="0.3">
      <c r="A93" s="9" t="s">
        <v>1719</v>
      </c>
      <c r="B93" s="9" t="s">
        <v>1649</v>
      </c>
      <c r="C93" s="9">
        <v>84</v>
      </c>
      <c r="D93" s="149" t="s">
        <v>1611</v>
      </c>
      <c r="E93" s="150">
        <v>44961</v>
      </c>
      <c r="F93" s="9">
        <v>195</v>
      </c>
      <c r="G93" s="9">
        <v>4.0999999999999996</v>
      </c>
      <c r="H93" s="9">
        <f>IF(MONTH(Call_Table_Data[[#This Row],[Date of Call]])&lt;=6,YEAR(Call_Table_Data[[#This Row],[Date of Call]]),YEAR(Call_Table_Data[[#This Row],[Date of Call]])+1)</f>
        <v>2023</v>
      </c>
      <c r="I93" s="9" t="str">
        <f>TEXT(Call_Table_Data[[#This Row],[Date of Call]],"DDDD")</f>
        <v>Saturday</v>
      </c>
      <c r="J93" s="9" t="str" cm="1">
        <f t="array" ref="J93">_xlfn.IFS(Call_Table_Data[[#This Row],[Duration]]&lt;=10,"Under 10 Mins",Call_Table_Data[[#This Row],[Duration]]&lt;=30,"10 to 30 Mins",Call_Table_Data[[#This Row],[Duration]]&lt;=60,"30 to 60 Mins",Call_Table_Data[[#This Row],[Duration]]&lt;=120,"1 to 2 Hours",TRUE,"More Than 2 Hours")</f>
        <v>1 to 2 Hours</v>
      </c>
      <c r="K93" s="9">
        <f>ROUND(Call_Table_Data[[#This Row],[Satisfaction Rating]],0)</f>
        <v>4</v>
      </c>
    </row>
    <row r="94" spans="1:11" x14ac:dyDescent="0.3">
      <c r="A94" s="9" t="s">
        <v>1720</v>
      </c>
      <c r="B94" s="9" t="s">
        <v>1662</v>
      </c>
      <c r="C94" s="9">
        <v>55</v>
      </c>
      <c r="D94" s="149" t="s">
        <v>1621</v>
      </c>
      <c r="E94" s="150">
        <v>44962</v>
      </c>
      <c r="F94" s="9">
        <v>78</v>
      </c>
      <c r="G94" s="9">
        <v>4.5</v>
      </c>
      <c r="H94" s="9">
        <f>IF(MONTH(Call_Table_Data[[#This Row],[Date of Call]])&lt;=6,YEAR(Call_Table_Data[[#This Row],[Date of Call]]),YEAR(Call_Table_Data[[#This Row],[Date of Call]])+1)</f>
        <v>2023</v>
      </c>
      <c r="I94" s="9" t="str">
        <f>TEXT(Call_Table_Data[[#This Row],[Date of Call]],"DDDD")</f>
        <v>Sunday</v>
      </c>
      <c r="J94" s="9" t="str" cm="1">
        <f t="array" ref="J94">_xlfn.IFS(Call_Table_Data[[#This Row],[Duration]]&lt;=10,"Under 10 Mins",Call_Table_Data[[#This Row],[Duration]]&lt;=30,"10 to 30 Mins",Call_Table_Data[[#This Row],[Duration]]&lt;=60,"30 to 60 Mins",Call_Table_Data[[#This Row],[Duration]]&lt;=120,"1 to 2 Hours",TRUE,"More Than 2 Hours")</f>
        <v>30 to 60 Mins</v>
      </c>
      <c r="K94" s="9">
        <f>ROUND(Call_Table_Data[[#This Row],[Satisfaction Rating]],0)</f>
        <v>5</v>
      </c>
    </row>
    <row r="95" spans="1:11" x14ac:dyDescent="0.3">
      <c r="A95" s="9" t="s">
        <v>1721</v>
      </c>
      <c r="B95" s="9" t="s">
        <v>1624</v>
      </c>
      <c r="C95" s="9">
        <v>135</v>
      </c>
      <c r="D95" s="149" t="s">
        <v>1626</v>
      </c>
      <c r="E95" s="150">
        <v>44964</v>
      </c>
      <c r="F95" s="9">
        <v>35</v>
      </c>
      <c r="G95" s="9">
        <v>4.8</v>
      </c>
      <c r="H95" s="9">
        <f>IF(MONTH(Call_Table_Data[[#This Row],[Date of Call]])&lt;=6,YEAR(Call_Table_Data[[#This Row],[Date of Call]]),YEAR(Call_Table_Data[[#This Row],[Date of Call]])+1)</f>
        <v>2023</v>
      </c>
      <c r="I95" s="9" t="str">
        <f>TEXT(Call_Table_Data[[#This Row],[Date of Call]],"DDDD")</f>
        <v>Tuesday</v>
      </c>
      <c r="J95" s="9" t="str" cm="1">
        <f t="array" ref="J95">_xlfn.IFS(Call_Table_Data[[#This Row],[Duration]]&lt;=10,"Under 10 Mins",Call_Table_Data[[#This Row],[Duration]]&lt;=30,"10 to 30 Mins",Call_Table_Data[[#This Row],[Duration]]&lt;=60,"30 to 60 Mins",Call_Table_Data[[#This Row],[Duration]]&lt;=120,"1 to 2 Hours",TRUE,"More Than 2 Hours")</f>
        <v>More Than 2 Hours</v>
      </c>
      <c r="K95" s="9">
        <f>ROUND(Call_Table_Data[[#This Row],[Satisfaction Rating]],0)</f>
        <v>5</v>
      </c>
    </row>
    <row r="96" spans="1:11" x14ac:dyDescent="0.3">
      <c r="A96" s="9" t="s">
        <v>1722</v>
      </c>
      <c r="B96" s="9" t="s">
        <v>1652</v>
      </c>
      <c r="C96" s="9">
        <v>152</v>
      </c>
      <c r="D96" s="149" t="s">
        <v>1616</v>
      </c>
      <c r="E96" s="150">
        <v>44964</v>
      </c>
      <c r="F96" s="9">
        <v>123</v>
      </c>
      <c r="G96" s="9">
        <v>4.5999999999999996</v>
      </c>
      <c r="H96" s="9">
        <f>IF(MONTH(Call_Table_Data[[#This Row],[Date of Call]])&lt;=6,YEAR(Call_Table_Data[[#This Row],[Date of Call]]),YEAR(Call_Table_Data[[#This Row],[Date of Call]])+1)</f>
        <v>2023</v>
      </c>
      <c r="I96" s="9" t="str">
        <f>TEXT(Call_Table_Data[[#This Row],[Date of Call]],"DDDD")</f>
        <v>Tuesday</v>
      </c>
      <c r="J96" s="9" t="str" cm="1">
        <f t="array" ref="J96">_xlfn.IFS(Call_Table_Data[[#This Row],[Duration]]&lt;=10,"Under 10 Mins",Call_Table_Data[[#This Row],[Duration]]&lt;=30,"10 to 30 Mins",Call_Table_Data[[#This Row],[Duration]]&lt;=60,"30 to 60 Mins",Call_Table_Data[[#This Row],[Duration]]&lt;=120,"1 to 2 Hours",TRUE,"More Than 2 Hours")</f>
        <v>More Than 2 Hours</v>
      </c>
      <c r="K96" s="9">
        <f>ROUND(Call_Table_Data[[#This Row],[Satisfaction Rating]],0)</f>
        <v>5</v>
      </c>
    </row>
    <row r="97" spans="1:11" x14ac:dyDescent="0.3">
      <c r="A97" s="9" t="s">
        <v>1723</v>
      </c>
      <c r="B97" s="9" t="s">
        <v>1615</v>
      </c>
      <c r="C97" s="9">
        <v>132</v>
      </c>
      <c r="D97" s="149" t="s">
        <v>1616</v>
      </c>
      <c r="E97" s="150">
        <v>44964</v>
      </c>
      <c r="F97" s="9">
        <v>43</v>
      </c>
      <c r="G97" s="9">
        <v>4.5999999999999996</v>
      </c>
      <c r="H97" s="9">
        <f>IF(MONTH(Call_Table_Data[[#This Row],[Date of Call]])&lt;=6,YEAR(Call_Table_Data[[#This Row],[Date of Call]]),YEAR(Call_Table_Data[[#This Row],[Date of Call]])+1)</f>
        <v>2023</v>
      </c>
      <c r="I97" s="9" t="str">
        <f>TEXT(Call_Table_Data[[#This Row],[Date of Call]],"DDDD")</f>
        <v>Tuesday</v>
      </c>
      <c r="J97" s="9" t="str" cm="1">
        <f t="array" ref="J97">_xlfn.IFS(Call_Table_Data[[#This Row],[Duration]]&lt;=10,"Under 10 Mins",Call_Table_Data[[#This Row],[Duration]]&lt;=30,"10 to 30 Mins",Call_Table_Data[[#This Row],[Duration]]&lt;=60,"30 to 60 Mins",Call_Table_Data[[#This Row],[Duration]]&lt;=120,"1 to 2 Hours",TRUE,"More Than 2 Hours")</f>
        <v>More Than 2 Hours</v>
      </c>
      <c r="K97" s="9">
        <f>ROUND(Call_Table_Data[[#This Row],[Satisfaction Rating]],0)</f>
        <v>5</v>
      </c>
    </row>
    <row r="98" spans="1:11" x14ac:dyDescent="0.3">
      <c r="A98" s="9" t="s">
        <v>1724</v>
      </c>
      <c r="B98" s="9" t="s">
        <v>1644</v>
      </c>
      <c r="C98" s="9">
        <v>60</v>
      </c>
      <c r="D98" s="149" t="s">
        <v>1611</v>
      </c>
      <c r="E98" s="150">
        <v>44965</v>
      </c>
      <c r="F98" s="9">
        <v>69</v>
      </c>
      <c r="G98" s="9">
        <v>4.3</v>
      </c>
      <c r="H98" s="9">
        <f>IF(MONTH(Call_Table_Data[[#This Row],[Date of Call]])&lt;=6,YEAR(Call_Table_Data[[#This Row],[Date of Call]]),YEAR(Call_Table_Data[[#This Row],[Date of Call]])+1)</f>
        <v>2023</v>
      </c>
      <c r="I98" s="9" t="str">
        <f>TEXT(Call_Table_Data[[#This Row],[Date of Call]],"DDDD")</f>
        <v>Wednesday</v>
      </c>
      <c r="J98" s="9" t="str" cm="1">
        <f t="array" ref="J98">_xlfn.IFS(Call_Table_Data[[#This Row],[Duration]]&lt;=10,"Under 10 Mins",Call_Table_Data[[#This Row],[Duration]]&lt;=30,"10 to 30 Mins",Call_Table_Data[[#This Row],[Duration]]&lt;=60,"30 to 60 Mins",Call_Table_Data[[#This Row],[Duration]]&lt;=120,"1 to 2 Hours",TRUE,"More Than 2 Hours")</f>
        <v>30 to 60 Mins</v>
      </c>
      <c r="K98" s="9">
        <f>ROUND(Call_Table_Data[[#This Row],[Satisfaction Rating]],0)</f>
        <v>4</v>
      </c>
    </row>
    <row r="99" spans="1:11" x14ac:dyDescent="0.3">
      <c r="A99" s="9" t="s">
        <v>1725</v>
      </c>
      <c r="B99" s="9" t="s">
        <v>1652</v>
      </c>
      <c r="C99" s="9">
        <v>95</v>
      </c>
      <c r="D99" s="149" t="s">
        <v>1616</v>
      </c>
      <c r="E99" s="150">
        <v>44965</v>
      </c>
      <c r="F99" s="9">
        <v>130</v>
      </c>
      <c r="G99" s="9">
        <v>5</v>
      </c>
      <c r="H99" s="9">
        <f>IF(MONTH(Call_Table_Data[[#This Row],[Date of Call]])&lt;=6,YEAR(Call_Table_Data[[#This Row],[Date of Call]]),YEAR(Call_Table_Data[[#This Row],[Date of Call]])+1)</f>
        <v>2023</v>
      </c>
      <c r="I99" s="9" t="str">
        <f>TEXT(Call_Table_Data[[#This Row],[Date of Call]],"DDDD")</f>
        <v>Wednesday</v>
      </c>
      <c r="J99" s="9" t="str" cm="1">
        <f t="array" ref="J99">_xlfn.IFS(Call_Table_Data[[#This Row],[Duration]]&lt;=10,"Under 10 Mins",Call_Table_Data[[#This Row],[Duration]]&lt;=30,"10 to 30 Mins",Call_Table_Data[[#This Row],[Duration]]&lt;=60,"30 to 60 Mins",Call_Table_Data[[#This Row],[Duration]]&lt;=120,"1 to 2 Hours",TRUE,"More Than 2 Hours")</f>
        <v>1 to 2 Hours</v>
      </c>
      <c r="K99" s="9">
        <f>ROUND(Call_Table_Data[[#This Row],[Satisfaction Rating]],0)</f>
        <v>5</v>
      </c>
    </row>
    <row r="100" spans="1:11" x14ac:dyDescent="0.3">
      <c r="A100" s="9" t="s">
        <v>1726</v>
      </c>
      <c r="B100" s="9" t="s">
        <v>1610</v>
      </c>
      <c r="C100" s="9">
        <v>96</v>
      </c>
      <c r="D100" s="149" t="s">
        <v>1630</v>
      </c>
      <c r="E100" s="150">
        <v>44965</v>
      </c>
      <c r="F100" s="9">
        <v>120</v>
      </c>
      <c r="G100" s="9">
        <v>4</v>
      </c>
      <c r="H100" s="9">
        <f>IF(MONTH(Call_Table_Data[[#This Row],[Date of Call]])&lt;=6,YEAR(Call_Table_Data[[#This Row],[Date of Call]]),YEAR(Call_Table_Data[[#This Row],[Date of Call]])+1)</f>
        <v>2023</v>
      </c>
      <c r="I100" s="9" t="str">
        <f>TEXT(Call_Table_Data[[#This Row],[Date of Call]],"DDDD")</f>
        <v>Wednesday</v>
      </c>
      <c r="J100" s="9" t="str" cm="1">
        <f t="array" ref="J100">_xlfn.IFS(Call_Table_Data[[#This Row],[Duration]]&lt;=10,"Under 10 Mins",Call_Table_Data[[#This Row],[Duration]]&lt;=30,"10 to 30 Mins",Call_Table_Data[[#This Row],[Duration]]&lt;=60,"30 to 60 Mins",Call_Table_Data[[#This Row],[Duration]]&lt;=120,"1 to 2 Hours",TRUE,"More Than 2 Hours")</f>
        <v>1 to 2 Hours</v>
      </c>
      <c r="K100" s="9">
        <f>ROUND(Call_Table_Data[[#This Row],[Satisfaction Rating]],0)</f>
        <v>4</v>
      </c>
    </row>
    <row r="101" spans="1:11" x14ac:dyDescent="0.3">
      <c r="A101" s="9" t="s">
        <v>1727</v>
      </c>
      <c r="B101" s="9" t="s">
        <v>1662</v>
      </c>
      <c r="C101" s="9">
        <v>45</v>
      </c>
      <c r="D101" s="149" t="s">
        <v>1611</v>
      </c>
      <c r="E101" s="150">
        <v>44966</v>
      </c>
      <c r="F101" s="9">
        <v>84</v>
      </c>
      <c r="G101" s="9">
        <v>4.5999999999999996</v>
      </c>
      <c r="H101" s="9">
        <f>IF(MONTH(Call_Table_Data[[#This Row],[Date of Call]])&lt;=6,YEAR(Call_Table_Data[[#This Row],[Date of Call]]),YEAR(Call_Table_Data[[#This Row],[Date of Call]])+1)</f>
        <v>2023</v>
      </c>
      <c r="I101" s="9" t="str">
        <f>TEXT(Call_Table_Data[[#This Row],[Date of Call]],"DDDD")</f>
        <v>Thursday</v>
      </c>
      <c r="J101" s="9" t="str" cm="1">
        <f t="array" ref="J101">_xlfn.IFS(Call_Table_Data[[#This Row],[Duration]]&lt;=10,"Under 10 Mins",Call_Table_Data[[#This Row],[Duration]]&lt;=30,"10 to 30 Mins",Call_Table_Data[[#This Row],[Duration]]&lt;=60,"30 to 60 Mins",Call_Table_Data[[#This Row],[Duration]]&lt;=120,"1 to 2 Hours",TRUE,"More Than 2 Hours")</f>
        <v>30 to 60 Mins</v>
      </c>
      <c r="K101" s="9">
        <f>ROUND(Call_Table_Data[[#This Row],[Satisfaction Rating]],0)</f>
        <v>5</v>
      </c>
    </row>
    <row r="102" spans="1:11" x14ac:dyDescent="0.3">
      <c r="A102" s="9" t="s">
        <v>1728</v>
      </c>
      <c r="B102" s="9" t="s">
        <v>1610</v>
      </c>
      <c r="C102" s="9">
        <v>132</v>
      </c>
      <c r="D102" s="149" t="s">
        <v>1630</v>
      </c>
      <c r="E102" s="150">
        <v>44967</v>
      </c>
      <c r="F102" s="9">
        <v>112</v>
      </c>
      <c r="G102" s="9">
        <v>4.5</v>
      </c>
      <c r="H102" s="9">
        <f>IF(MONTH(Call_Table_Data[[#This Row],[Date of Call]])&lt;=6,YEAR(Call_Table_Data[[#This Row],[Date of Call]]),YEAR(Call_Table_Data[[#This Row],[Date of Call]])+1)</f>
        <v>2023</v>
      </c>
      <c r="I102" s="9" t="str">
        <f>TEXT(Call_Table_Data[[#This Row],[Date of Call]],"DDDD")</f>
        <v>Friday</v>
      </c>
      <c r="J102" s="9" t="str" cm="1">
        <f t="array" ref="J102">_xlfn.IFS(Call_Table_Data[[#This Row],[Duration]]&lt;=10,"Under 10 Mins",Call_Table_Data[[#This Row],[Duration]]&lt;=30,"10 to 30 Mins",Call_Table_Data[[#This Row],[Duration]]&lt;=60,"30 to 60 Mins",Call_Table_Data[[#This Row],[Duration]]&lt;=120,"1 to 2 Hours",TRUE,"More Than 2 Hours")</f>
        <v>More Than 2 Hours</v>
      </c>
      <c r="K102" s="9">
        <f>ROUND(Call_Table_Data[[#This Row],[Satisfaction Rating]],0)</f>
        <v>5</v>
      </c>
    </row>
    <row r="103" spans="1:11" x14ac:dyDescent="0.3">
      <c r="A103" s="9" t="s">
        <v>1729</v>
      </c>
      <c r="B103" s="9" t="s">
        <v>1633</v>
      </c>
      <c r="C103" s="9">
        <v>95</v>
      </c>
      <c r="D103" s="149" t="s">
        <v>1611</v>
      </c>
      <c r="E103" s="150">
        <v>44967</v>
      </c>
      <c r="F103" s="9">
        <v>66</v>
      </c>
      <c r="G103" s="9">
        <v>4.5999999999999996</v>
      </c>
      <c r="H103" s="9">
        <f>IF(MONTH(Call_Table_Data[[#This Row],[Date of Call]])&lt;=6,YEAR(Call_Table_Data[[#This Row],[Date of Call]]),YEAR(Call_Table_Data[[#This Row],[Date of Call]])+1)</f>
        <v>2023</v>
      </c>
      <c r="I103" s="9" t="str">
        <f>TEXT(Call_Table_Data[[#This Row],[Date of Call]],"DDDD")</f>
        <v>Friday</v>
      </c>
      <c r="J103" s="9" t="str" cm="1">
        <f t="array" ref="J103">_xlfn.IFS(Call_Table_Data[[#This Row],[Duration]]&lt;=10,"Under 10 Mins",Call_Table_Data[[#This Row],[Duration]]&lt;=30,"10 to 30 Mins",Call_Table_Data[[#This Row],[Duration]]&lt;=60,"30 to 60 Mins",Call_Table_Data[[#This Row],[Duration]]&lt;=120,"1 to 2 Hours",TRUE,"More Than 2 Hours")</f>
        <v>1 to 2 Hours</v>
      </c>
      <c r="K103" s="9">
        <f>ROUND(Call_Table_Data[[#This Row],[Satisfaction Rating]],0)</f>
        <v>5</v>
      </c>
    </row>
    <row r="104" spans="1:11" x14ac:dyDescent="0.3">
      <c r="A104" s="9" t="s">
        <v>1730</v>
      </c>
      <c r="B104" s="9" t="s">
        <v>1652</v>
      </c>
      <c r="C104" s="9">
        <v>131</v>
      </c>
      <c r="D104" s="149" t="s">
        <v>1621</v>
      </c>
      <c r="E104" s="150">
        <v>44967</v>
      </c>
      <c r="F104" s="9">
        <v>172</v>
      </c>
      <c r="G104" s="9">
        <v>2.6</v>
      </c>
      <c r="H104" s="9">
        <f>IF(MONTH(Call_Table_Data[[#This Row],[Date of Call]])&lt;=6,YEAR(Call_Table_Data[[#This Row],[Date of Call]]),YEAR(Call_Table_Data[[#This Row],[Date of Call]])+1)</f>
        <v>2023</v>
      </c>
      <c r="I104" s="9" t="str">
        <f>TEXT(Call_Table_Data[[#This Row],[Date of Call]],"DDDD")</f>
        <v>Friday</v>
      </c>
      <c r="J104" s="9" t="str" cm="1">
        <f t="array" ref="J104">_xlfn.IFS(Call_Table_Data[[#This Row],[Duration]]&lt;=10,"Under 10 Mins",Call_Table_Data[[#This Row],[Duration]]&lt;=30,"10 to 30 Mins",Call_Table_Data[[#This Row],[Duration]]&lt;=60,"30 to 60 Mins",Call_Table_Data[[#This Row],[Duration]]&lt;=120,"1 to 2 Hours",TRUE,"More Than 2 Hours")</f>
        <v>More Than 2 Hours</v>
      </c>
      <c r="K104" s="9">
        <f>ROUND(Call_Table_Data[[#This Row],[Satisfaction Rating]],0)</f>
        <v>3</v>
      </c>
    </row>
    <row r="105" spans="1:11" x14ac:dyDescent="0.3">
      <c r="A105" s="9" t="s">
        <v>1731</v>
      </c>
      <c r="B105" s="9" t="s">
        <v>1641</v>
      </c>
      <c r="C105" s="9">
        <v>67</v>
      </c>
      <c r="D105" s="149" t="s">
        <v>1626</v>
      </c>
      <c r="E105" s="150">
        <v>44968</v>
      </c>
      <c r="F105" s="9">
        <v>24</v>
      </c>
      <c r="G105" s="9">
        <v>4.3</v>
      </c>
      <c r="H105" s="9">
        <f>IF(MONTH(Call_Table_Data[[#This Row],[Date of Call]])&lt;=6,YEAR(Call_Table_Data[[#This Row],[Date of Call]]),YEAR(Call_Table_Data[[#This Row],[Date of Call]])+1)</f>
        <v>2023</v>
      </c>
      <c r="I105" s="9" t="str">
        <f>TEXT(Call_Table_Data[[#This Row],[Date of Call]],"DDDD")</f>
        <v>Saturday</v>
      </c>
      <c r="J105" s="9" t="str" cm="1">
        <f t="array" ref="J105">_xlfn.IFS(Call_Table_Data[[#This Row],[Duration]]&lt;=10,"Under 10 Mins",Call_Table_Data[[#This Row],[Duration]]&lt;=30,"10 to 30 Mins",Call_Table_Data[[#This Row],[Duration]]&lt;=60,"30 to 60 Mins",Call_Table_Data[[#This Row],[Duration]]&lt;=120,"1 to 2 Hours",TRUE,"More Than 2 Hours")</f>
        <v>1 to 2 Hours</v>
      </c>
      <c r="K105" s="9">
        <f>ROUND(Call_Table_Data[[#This Row],[Satisfaction Rating]],0)</f>
        <v>4</v>
      </c>
    </row>
    <row r="106" spans="1:11" x14ac:dyDescent="0.3">
      <c r="A106" s="9" t="s">
        <v>1732</v>
      </c>
      <c r="B106" s="9" t="s">
        <v>1618</v>
      </c>
      <c r="C106" s="9">
        <v>111</v>
      </c>
      <c r="D106" s="149" t="s">
        <v>1621</v>
      </c>
      <c r="E106" s="150">
        <v>44969</v>
      </c>
      <c r="F106" s="9">
        <v>43</v>
      </c>
      <c r="G106" s="9">
        <v>3.9</v>
      </c>
      <c r="H106" s="9">
        <f>IF(MONTH(Call_Table_Data[[#This Row],[Date of Call]])&lt;=6,YEAR(Call_Table_Data[[#This Row],[Date of Call]]),YEAR(Call_Table_Data[[#This Row],[Date of Call]])+1)</f>
        <v>2023</v>
      </c>
      <c r="I106" s="9" t="str">
        <f>TEXT(Call_Table_Data[[#This Row],[Date of Call]],"DDDD")</f>
        <v>Sunday</v>
      </c>
      <c r="J106" s="9" t="str" cm="1">
        <f t="array" ref="J106">_xlfn.IFS(Call_Table_Data[[#This Row],[Duration]]&lt;=10,"Under 10 Mins",Call_Table_Data[[#This Row],[Duration]]&lt;=30,"10 to 30 Mins",Call_Table_Data[[#This Row],[Duration]]&lt;=60,"30 to 60 Mins",Call_Table_Data[[#This Row],[Duration]]&lt;=120,"1 to 2 Hours",TRUE,"More Than 2 Hours")</f>
        <v>1 to 2 Hours</v>
      </c>
      <c r="K106" s="9">
        <f>ROUND(Call_Table_Data[[#This Row],[Satisfaction Rating]],0)</f>
        <v>4</v>
      </c>
    </row>
    <row r="107" spans="1:11" x14ac:dyDescent="0.3">
      <c r="A107" s="9" t="s">
        <v>1733</v>
      </c>
      <c r="B107" s="9" t="s">
        <v>1615</v>
      </c>
      <c r="C107" s="9">
        <v>78</v>
      </c>
      <c r="D107" s="149" t="s">
        <v>1616</v>
      </c>
      <c r="E107" s="150">
        <v>44969</v>
      </c>
      <c r="F107" s="9">
        <v>23</v>
      </c>
      <c r="G107" s="9">
        <v>5</v>
      </c>
      <c r="H107" s="9">
        <f>IF(MONTH(Call_Table_Data[[#This Row],[Date of Call]])&lt;=6,YEAR(Call_Table_Data[[#This Row],[Date of Call]]),YEAR(Call_Table_Data[[#This Row],[Date of Call]])+1)</f>
        <v>2023</v>
      </c>
      <c r="I107" s="9" t="str">
        <f>TEXT(Call_Table_Data[[#This Row],[Date of Call]],"DDDD")</f>
        <v>Sunday</v>
      </c>
      <c r="J107" s="9" t="str" cm="1">
        <f t="array" ref="J107">_xlfn.IFS(Call_Table_Data[[#This Row],[Duration]]&lt;=10,"Under 10 Mins",Call_Table_Data[[#This Row],[Duration]]&lt;=30,"10 to 30 Mins",Call_Table_Data[[#This Row],[Duration]]&lt;=60,"30 to 60 Mins",Call_Table_Data[[#This Row],[Duration]]&lt;=120,"1 to 2 Hours",TRUE,"More Than 2 Hours")</f>
        <v>1 to 2 Hours</v>
      </c>
      <c r="K107" s="9">
        <f>ROUND(Call_Table_Data[[#This Row],[Satisfaction Rating]],0)</f>
        <v>5</v>
      </c>
    </row>
    <row r="108" spans="1:11" x14ac:dyDescent="0.3">
      <c r="A108" s="9" t="s">
        <v>1734</v>
      </c>
      <c r="B108" s="9" t="s">
        <v>1635</v>
      </c>
      <c r="C108" s="9">
        <v>28</v>
      </c>
      <c r="D108" s="149" t="s">
        <v>1630</v>
      </c>
      <c r="E108" s="150">
        <v>44969</v>
      </c>
      <c r="F108" s="9">
        <v>74</v>
      </c>
      <c r="G108" s="9">
        <v>3.5</v>
      </c>
      <c r="H108" s="9">
        <f>IF(MONTH(Call_Table_Data[[#This Row],[Date of Call]])&lt;=6,YEAR(Call_Table_Data[[#This Row],[Date of Call]]),YEAR(Call_Table_Data[[#This Row],[Date of Call]])+1)</f>
        <v>2023</v>
      </c>
      <c r="I108" s="9" t="str">
        <f>TEXT(Call_Table_Data[[#This Row],[Date of Call]],"DDDD")</f>
        <v>Sunday</v>
      </c>
      <c r="J108" s="9" t="str" cm="1">
        <f t="array" ref="J108">_xlfn.IFS(Call_Table_Data[[#This Row],[Duration]]&lt;=10,"Under 10 Mins",Call_Table_Data[[#This Row],[Duration]]&lt;=30,"10 to 30 Mins",Call_Table_Data[[#This Row],[Duration]]&lt;=60,"30 to 60 Mins",Call_Table_Data[[#This Row],[Duration]]&lt;=120,"1 to 2 Hours",TRUE,"More Than 2 Hours")</f>
        <v>10 to 30 Mins</v>
      </c>
      <c r="K108" s="9">
        <f>ROUND(Call_Table_Data[[#This Row],[Satisfaction Rating]],0)</f>
        <v>4</v>
      </c>
    </row>
    <row r="109" spans="1:11" x14ac:dyDescent="0.3">
      <c r="A109" s="9" t="s">
        <v>1735</v>
      </c>
      <c r="B109" s="9" t="s">
        <v>1613</v>
      </c>
      <c r="C109" s="9">
        <v>127</v>
      </c>
      <c r="D109" s="149" t="s">
        <v>1626</v>
      </c>
      <c r="E109" s="150">
        <v>44970</v>
      </c>
      <c r="F109" s="9">
        <v>165</v>
      </c>
      <c r="G109" s="9">
        <v>4.7</v>
      </c>
      <c r="H109" s="9">
        <f>IF(MONTH(Call_Table_Data[[#This Row],[Date of Call]])&lt;=6,YEAR(Call_Table_Data[[#This Row],[Date of Call]]),YEAR(Call_Table_Data[[#This Row],[Date of Call]])+1)</f>
        <v>2023</v>
      </c>
      <c r="I109" s="9" t="str">
        <f>TEXT(Call_Table_Data[[#This Row],[Date of Call]],"DDDD")</f>
        <v>Monday</v>
      </c>
      <c r="J109" s="9" t="str" cm="1">
        <f t="array" ref="J109">_xlfn.IFS(Call_Table_Data[[#This Row],[Duration]]&lt;=10,"Under 10 Mins",Call_Table_Data[[#This Row],[Duration]]&lt;=30,"10 to 30 Mins",Call_Table_Data[[#This Row],[Duration]]&lt;=60,"30 to 60 Mins",Call_Table_Data[[#This Row],[Duration]]&lt;=120,"1 to 2 Hours",TRUE,"More Than 2 Hours")</f>
        <v>More Than 2 Hours</v>
      </c>
      <c r="K109" s="9">
        <f>ROUND(Call_Table_Data[[#This Row],[Satisfaction Rating]],0)</f>
        <v>5</v>
      </c>
    </row>
    <row r="110" spans="1:11" x14ac:dyDescent="0.3">
      <c r="A110" s="9" t="s">
        <v>1736</v>
      </c>
      <c r="B110" s="9" t="s">
        <v>1649</v>
      </c>
      <c r="C110" s="9">
        <v>137</v>
      </c>
      <c r="D110" s="149" t="s">
        <v>1621</v>
      </c>
      <c r="E110" s="150">
        <v>44970</v>
      </c>
      <c r="F110" s="9">
        <v>34</v>
      </c>
      <c r="G110" s="9">
        <v>2.9</v>
      </c>
      <c r="H110" s="9">
        <f>IF(MONTH(Call_Table_Data[[#This Row],[Date of Call]])&lt;=6,YEAR(Call_Table_Data[[#This Row],[Date of Call]]),YEAR(Call_Table_Data[[#This Row],[Date of Call]])+1)</f>
        <v>2023</v>
      </c>
      <c r="I110" s="9" t="str">
        <f>TEXT(Call_Table_Data[[#This Row],[Date of Call]],"DDDD")</f>
        <v>Monday</v>
      </c>
      <c r="J110" s="9" t="str" cm="1">
        <f t="array" ref="J110">_xlfn.IFS(Call_Table_Data[[#This Row],[Duration]]&lt;=10,"Under 10 Mins",Call_Table_Data[[#This Row],[Duration]]&lt;=30,"10 to 30 Mins",Call_Table_Data[[#This Row],[Duration]]&lt;=60,"30 to 60 Mins",Call_Table_Data[[#This Row],[Duration]]&lt;=120,"1 to 2 Hours",TRUE,"More Than 2 Hours")</f>
        <v>More Than 2 Hours</v>
      </c>
      <c r="K110" s="9">
        <f>ROUND(Call_Table_Data[[#This Row],[Satisfaction Rating]],0)</f>
        <v>3</v>
      </c>
    </row>
    <row r="111" spans="1:11" x14ac:dyDescent="0.3">
      <c r="A111" s="9" t="s">
        <v>1737</v>
      </c>
      <c r="B111" s="9" t="s">
        <v>1613</v>
      </c>
      <c r="C111" s="9">
        <v>76</v>
      </c>
      <c r="D111" s="149" t="s">
        <v>1630</v>
      </c>
      <c r="E111" s="150">
        <v>44970</v>
      </c>
      <c r="F111" s="9">
        <v>64</v>
      </c>
      <c r="G111" s="9">
        <v>3.4</v>
      </c>
      <c r="H111" s="9">
        <f>IF(MONTH(Call_Table_Data[[#This Row],[Date of Call]])&lt;=6,YEAR(Call_Table_Data[[#This Row],[Date of Call]]),YEAR(Call_Table_Data[[#This Row],[Date of Call]])+1)</f>
        <v>2023</v>
      </c>
      <c r="I111" s="9" t="str">
        <f>TEXT(Call_Table_Data[[#This Row],[Date of Call]],"DDDD")</f>
        <v>Monday</v>
      </c>
      <c r="J111" s="9" t="str" cm="1">
        <f t="array" ref="J111">_xlfn.IFS(Call_Table_Data[[#This Row],[Duration]]&lt;=10,"Under 10 Mins",Call_Table_Data[[#This Row],[Duration]]&lt;=30,"10 to 30 Mins",Call_Table_Data[[#This Row],[Duration]]&lt;=60,"30 to 60 Mins",Call_Table_Data[[#This Row],[Duration]]&lt;=120,"1 to 2 Hours",TRUE,"More Than 2 Hours")</f>
        <v>1 to 2 Hours</v>
      </c>
      <c r="K111" s="9">
        <f>ROUND(Call_Table_Data[[#This Row],[Satisfaction Rating]],0)</f>
        <v>3</v>
      </c>
    </row>
    <row r="112" spans="1:11" x14ac:dyDescent="0.3">
      <c r="A112" s="9" t="s">
        <v>1738</v>
      </c>
      <c r="B112" s="9" t="s">
        <v>1615</v>
      </c>
      <c r="C112" s="9">
        <v>80</v>
      </c>
      <c r="D112" s="149" t="s">
        <v>1626</v>
      </c>
      <c r="E112" s="150">
        <v>44971</v>
      </c>
      <c r="F112" s="9">
        <v>155</v>
      </c>
      <c r="G112" s="9">
        <v>3.2</v>
      </c>
      <c r="H112" s="9">
        <f>IF(MONTH(Call_Table_Data[[#This Row],[Date of Call]])&lt;=6,YEAR(Call_Table_Data[[#This Row],[Date of Call]]),YEAR(Call_Table_Data[[#This Row],[Date of Call]])+1)</f>
        <v>2023</v>
      </c>
      <c r="I112" s="9" t="str">
        <f>TEXT(Call_Table_Data[[#This Row],[Date of Call]],"DDDD")</f>
        <v>Tuesday</v>
      </c>
      <c r="J112" s="9" t="str" cm="1">
        <f t="array" ref="J112">_xlfn.IFS(Call_Table_Data[[#This Row],[Duration]]&lt;=10,"Under 10 Mins",Call_Table_Data[[#This Row],[Duration]]&lt;=30,"10 to 30 Mins",Call_Table_Data[[#This Row],[Duration]]&lt;=60,"30 to 60 Mins",Call_Table_Data[[#This Row],[Duration]]&lt;=120,"1 to 2 Hours",TRUE,"More Than 2 Hours")</f>
        <v>1 to 2 Hours</v>
      </c>
      <c r="K112" s="9">
        <f>ROUND(Call_Table_Data[[#This Row],[Satisfaction Rating]],0)</f>
        <v>3</v>
      </c>
    </row>
    <row r="113" spans="1:11" x14ac:dyDescent="0.3">
      <c r="A113" s="9" t="s">
        <v>1739</v>
      </c>
      <c r="B113" s="9" t="s">
        <v>1613</v>
      </c>
      <c r="C113" s="9">
        <v>95</v>
      </c>
      <c r="D113" s="149" t="s">
        <v>1616</v>
      </c>
      <c r="E113" s="150">
        <v>44972</v>
      </c>
      <c r="F113" s="9">
        <v>120</v>
      </c>
      <c r="G113" s="9">
        <v>4.8</v>
      </c>
      <c r="H113" s="9">
        <f>IF(MONTH(Call_Table_Data[[#This Row],[Date of Call]])&lt;=6,YEAR(Call_Table_Data[[#This Row],[Date of Call]]),YEAR(Call_Table_Data[[#This Row],[Date of Call]])+1)</f>
        <v>2023</v>
      </c>
      <c r="I113" s="9" t="str">
        <f>TEXT(Call_Table_Data[[#This Row],[Date of Call]],"DDDD")</f>
        <v>Wednesday</v>
      </c>
      <c r="J113" s="9" t="str" cm="1">
        <f t="array" ref="J113">_xlfn.IFS(Call_Table_Data[[#This Row],[Duration]]&lt;=10,"Under 10 Mins",Call_Table_Data[[#This Row],[Duration]]&lt;=30,"10 to 30 Mins",Call_Table_Data[[#This Row],[Duration]]&lt;=60,"30 to 60 Mins",Call_Table_Data[[#This Row],[Duration]]&lt;=120,"1 to 2 Hours",TRUE,"More Than 2 Hours")</f>
        <v>1 to 2 Hours</v>
      </c>
      <c r="K113" s="9">
        <f>ROUND(Call_Table_Data[[#This Row],[Satisfaction Rating]],0)</f>
        <v>5</v>
      </c>
    </row>
    <row r="114" spans="1:11" x14ac:dyDescent="0.3">
      <c r="A114" s="9" t="s">
        <v>1740</v>
      </c>
      <c r="B114" s="9" t="s">
        <v>1644</v>
      </c>
      <c r="C114" s="9">
        <v>30</v>
      </c>
      <c r="D114" s="149" t="s">
        <v>1630</v>
      </c>
      <c r="E114" s="150">
        <v>44972</v>
      </c>
      <c r="F114" s="9">
        <v>105</v>
      </c>
      <c r="G114" s="9">
        <v>3.6</v>
      </c>
      <c r="H114" s="9">
        <f>IF(MONTH(Call_Table_Data[[#This Row],[Date of Call]])&lt;=6,YEAR(Call_Table_Data[[#This Row],[Date of Call]]),YEAR(Call_Table_Data[[#This Row],[Date of Call]])+1)</f>
        <v>2023</v>
      </c>
      <c r="I114" s="9" t="str">
        <f>TEXT(Call_Table_Data[[#This Row],[Date of Call]],"DDDD")</f>
        <v>Wednesday</v>
      </c>
      <c r="J114" s="9" t="str" cm="1">
        <f t="array" ref="J114">_xlfn.IFS(Call_Table_Data[[#This Row],[Duration]]&lt;=10,"Under 10 Mins",Call_Table_Data[[#This Row],[Duration]]&lt;=30,"10 to 30 Mins",Call_Table_Data[[#This Row],[Duration]]&lt;=60,"30 to 60 Mins",Call_Table_Data[[#This Row],[Duration]]&lt;=120,"1 to 2 Hours",TRUE,"More Than 2 Hours")</f>
        <v>10 to 30 Mins</v>
      </c>
      <c r="K114" s="9">
        <f>ROUND(Call_Table_Data[[#This Row],[Satisfaction Rating]],0)</f>
        <v>4</v>
      </c>
    </row>
    <row r="115" spans="1:11" x14ac:dyDescent="0.3">
      <c r="A115" s="9" t="s">
        <v>1741</v>
      </c>
      <c r="B115" s="9" t="s">
        <v>1620</v>
      </c>
      <c r="C115" s="9">
        <v>19</v>
      </c>
      <c r="D115" s="149" t="s">
        <v>1621</v>
      </c>
      <c r="E115" s="150">
        <v>44972</v>
      </c>
      <c r="F115" s="9">
        <v>28</v>
      </c>
      <c r="G115" s="9">
        <v>4.9000000000000004</v>
      </c>
      <c r="H115" s="9">
        <f>IF(MONTH(Call_Table_Data[[#This Row],[Date of Call]])&lt;=6,YEAR(Call_Table_Data[[#This Row],[Date of Call]]),YEAR(Call_Table_Data[[#This Row],[Date of Call]])+1)</f>
        <v>2023</v>
      </c>
      <c r="I115" s="9" t="str">
        <f>TEXT(Call_Table_Data[[#This Row],[Date of Call]],"DDDD")</f>
        <v>Wednesday</v>
      </c>
      <c r="J115" s="9" t="str" cm="1">
        <f t="array" ref="J115">_xlfn.IFS(Call_Table_Data[[#This Row],[Duration]]&lt;=10,"Under 10 Mins",Call_Table_Data[[#This Row],[Duration]]&lt;=30,"10 to 30 Mins",Call_Table_Data[[#This Row],[Duration]]&lt;=60,"30 to 60 Mins",Call_Table_Data[[#This Row],[Duration]]&lt;=120,"1 to 2 Hours",TRUE,"More Than 2 Hours")</f>
        <v>10 to 30 Mins</v>
      </c>
      <c r="K115" s="9">
        <f>ROUND(Call_Table_Data[[#This Row],[Satisfaction Rating]],0)</f>
        <v>5</v>
      </c>
    </row>
    <row r="116" spans="1:11" x14ac:dyDescent="0.3">
      <c r="A116" s="9" t="s">
        <v>1742</v>
      </c>
      <c r="B116" s="9" t="s">
        <v>1629</v>
      </c>
      <c r="C116" s="9">
        <v>38</v>
      </c>
      <c r="D116" s="149" t="s">
        <v>1626</v>
      </c>
      <c r="E116" s="150">
        <v>44972</v>
      </c>
      <c r="F116" s="9">
        <v>100</v>
      </c>
      <c r="G116" s="9">
        <v>4.8</v>
      </c>
      <c r="H116" s="9">
        <f>IF(MONTH(Call_Table_Data[[#This Row],[Date of Call]])&lt;=6,YEAR(Call_Table_Data[[#This Row],[Date of Call]]),YEAR(Call_Table_Data[[#This Row],[Date of Call]])+1)</f>
        <v>2023</v>
      </c>
      <c r="I116" s="9" t="str">
        <f>TEXT(Call_Table_Data[[#This Row],[Date of Call]],"DDDD")</f>
        <v>Wednesday</v>
      </c>
      <c r="J116" s="9" t="str" cm="1">
        <f t="array" ref="J116">_xlfn.IFS(Call_Table_Data[[#This Row],[Duration]]&lt;=10,"Under 10 Mins",Call_Table_Data[[#This Row],[Duration]]&lt;=30,"10 to 30 Mins",Call_Table_Data[[#This Row],[Duration]]&lt;=60,"30 to 60 Mins",Call_Table_Data[[#This Row],[Duration]]&lt;=120,"1 to 2 Hours",TRUE,"More Than 2 Hours")</f>
        <v>30 to 60 Mins</v>
      </c>
      <c r="K116" s="9">
        <f>ROUND(Call_Table_Data[[#This Row],[Satisfaction Rating]],0)</f>
        <v>5</v>
      </c>
    </row>
    <row r="117" spans="1:11" x14ac:dyDescent="0.3">
      <c r="A117" s="9" t="s">
        <v>1743</v>
      </c>
      <c r="B117" s="9" t="s">
        <v>1633</v>
      </c>
      <c r="C117" s="9">
        <v>55</v>
      </c>
      <c r="D117" s="149" t="s">
        <v>1621</v>
      </c>
      <c r="E117" s="150">
        <v>44972</v>
      </c>
      <c r="F117" s="9">
        <v>23</v>
      </c>
      <c r="G117" s="9">
        <v>3.6</v>
      </c>
      <c r="H117" s="9">
        <f>IF(MONTH(Call_Table_Data[[#This Row],[Date of Call]])&lt;=6,YEAR(Call_Table_Data[[#This Row],[Date of Call]]),YEAR(Call_Table_Data[[#This Row],[Date of Call]])+1)</f>
        <v>2023</v>
      </c>
      <c r="I117" s="9" t="str">
        <f>TEXT(Call_Table_Data[[#This Row],[Date of Call]],"DDDD")</f>
        <v>Wednesday</v>
      </c>
      <c r="J117" s="9" t="str" cm="1">
        <f t="array" ref="J117">_xlfn.IFS(Call_Table_Data[[#This Row],[Duration]]&lt;=10,"Under 10 Mins",Call_Table_Data[[#This Row],[Duration]]&lt;=30,"10 to 30 Mins",Call_Table_Data[[#This Row],[Duration]]&lt;=60,"30 to 60 Mins",Call_Table_Data[[#This Row],[Duration]]&lt;=120,"1 to 2 Hours",TRUE,"More Than 2 Hours")</f>
        <v>30 to 60 Mins</v>
      </c>
      <c r="K117" s="9">
        <f>ROUND(Call_Table_Data[[#This Row],[Satisfaction Rating]],0)</f>
        <v>4</v>
      </c>
    </row>
    <row r="118" spans="1:11" x14ac:dyDescent="0.3">
      <c r="A118" s="9" t="s">
        <v>1744</v>
      </c>
      <c r="B118" s="9" t="s">
        <v>1641</v>
      </c>
      <c r="C118" s="9">
        <v>27</v>
      </c>
      <c r="D118" s="149" t="s">
        <v>1630</v>
      </c>
      <c r="E118" s="150">
        <v>44973</v>
      </c>
      <c r="F118" s="9">
        <v>70</v>
      </c>
      <c r="G118" s="9">
        <v>3.9</v>
      </c>
      <c r="H118" s="9">
        <f>IF(MONTH(Call_Table_Data[[#This Row],[Date of Call]])&lt;=6,YEAR(Call_Table_Data[[#This Row],[Date of Call]]),YEAR(Call_Table_Data[[#This Row],[Date of Call]])+1)</f>
        <v>2023</v>
      </c>
      <c r="I118" s="9" t="str">
        <f>TEXT(Call_Table_Data[[#This Row],[Date of Call]],"DDDD")</f>
        <v>Thursday</v>
      </c>
      <c r="J118" s="9" t="str" cm="1">
        <f t="array" ref="J118">_xlfn.IFS(Call_Table_Data[[#This Row],[Duration]]&lt;=10,"Under 10 Mins",Call_Table_Data[[#This Row],[Duration]]&lt;=30,"10 to 30 Mins",Call_Table_Data[[#This Row],[Duration]]&lt;=60,"30 to 60 Mins",Call_Table_Data[[#This Row],[Duration]]&lt;=120,"1 to 2 Hours",TRUE,"More Than 2 Hours")</f>
        <v>10 to 30 Mins</v>
      </c>
      <c r="K118" s="9">
        <f>ROUND(Call_Table_Data[[#This Row],[Satisfaction Rating]],0)</f>
        <v>4</v>
      </c>
    </row>
    <row r="119" spans="1:11" x14ac:dyDescent="0.3">
      <c r="A119" s="9" t="s">
        <v>1745</v>
      </c>
      <c r="B119" s="9" t="s">
        <v>1641</v>
      </c>
      <c r="C119" s="9">
        <v>32</v>
      </c>
      <c r="D119" s="149" t="s">
        <v>1630</v>
      </c>
      <c r="E119" s="150">
        <v>44973</v>
      </c>
      <c r="F119" s="9">
        <v>37</v>
      </c>
      <c r="G119" s="9">
        <v>1.9</v>
      </c>
      <c r="H119" s="9">
        <f>IF(MONTH(Call_Table_Data[[#This Row],[Date of Call]])&lt;=6,YEAR(Call_Table_Data[[#This Row],[Date of Call]]),YEAR(Call_Table_Data[[#This Row],[Date of Call]])+1)</f>
        <v>2023</v>
      </c>
      <c r="I119" s="9" t="str">
        <f>TEXT(Call_Table_Data[[#This Row],[Date of Call]],"DDDD")</f>
        <v>Thursday</v>
      </c>
      <c r="J119" s="9" t="str" cm="1">
        <f t="array" ref="J119">_xlfn.IFS(Call_Table_Data[[#This Row],[Duration]]&lt;=10,"Under 10 Mins",Call_Table_Data[[#This Row],[Duration]]&lt;=30,"10 to 30 Mins",Call_Table_Data[[#This Row],[Duration]]&lt;=60,"30 to 60 Mins",Call_Table_Data[[#This Row],[Duration]]&lt;=120,"1 to 2 Hours",TRUE,"More Than 2 Hours")</f>
        <v>30 to 60 Mins</v>
      </c>
      <c r="K119" s="9">
        <f>ROUND(Call_Table_Data[[#This Row],[Satisfaction Rating]],0)</f>
        <v>2</v>
      </c>
    </row>
    <row r="120" spans="1:11" x14ac:dyDescent="0.3">
      <c r="A120" s="9" t="s">
        <v>1746</v>
      </c>
      <c r="B120" s="9" t="s">
        <v>1635</v>
      </c>
      <c r="C120" s="9">
        <v>116</v>
      </c>
      <c r="D120" s="149" t="s">
        <v>1611</v>
      </c>
      <c r="E120" s="150">
        <v>44973</v>
      </c>
      <c r="F120" s="9">
        <v>140</v>
      </c>
      <c r="G120" s="9">
        <v>3.6</v>
      </c>
      <c r="H120" s="9">
        <f>IF(MONTH(Call_Table_Data[[#This Row],[Date of Call]])&lt;=6,YEAR(Call_Table_Data[[#This Row],[Date of Call]]),YEAR(Call_Table_Data[[#This Row],[Date of Call]])+1)</f>
        <v>2023</v>
      </c>
      <c r="I120" s="9" t="str">
        <f>TEXT(Call_Table_Data[[#This Row],[Date of Call]],"DDDD")</f>
        <v>Thursday</v>
      </c>
      <c r="J120" s="9" t="str" cm="1">
        <f t="array" ref="J120">_xlfn.IFS(Call_Table_Data[[#This Row],[Duration]]&lt;=10,"Under 10 Mins",Call_Table_Data[[#This Row],[Duration]]&lt;=30,"10 to 30 Mins",Call_Table_Data[[#This Row],[Duration]]&lt;=60,"30 to 60 Mins",Call_Table_Data[[#This Row],[Duration]]&lt;=120,"1 to 2 Hours",TRUE,"More Than 2 Hours")</f>
        <v>1 to 2 Hours</v>
      </c>
      <c r="K120" s="9">
        <f>ROUND(Call_Table_Data[[#This Row],[Satisfaction Rating]],0)</f>
        <v>4</v>
      </c>
    </row>
    <row r="121" spans="1:11" x14ac:dyDescent="0.3">
      <c r="A121" s="9" t="s">
        <v>1747</v>
      </c>
      <c r="B121" s="9" t="s">
        <v>1610</v>
      </c>
      <c r="C121" s="9">
        <v>99</v>
      </c>
      <c r="D121" s="149" t="s">
        <v>1616</v>
      </c>
      <c r="E121" s="150">
        <v>44973</v>
      </c>
      <c r="F121" s="9">
        <v>78</v>
      </c>
      <c r="G121" s="9">
        <v>4.0999999999999996</v>
      </c>
      <c r="H121" s="9">
        <f>IF(MONTH(Call_Table_Data[[#This Row],[Date of Call]])&lt;=6,YEAR(Call_Table_Data[[#This Row],[Date of Call]]),YEAR(Call_Table_Data[[#This Row],[Date of Call]])+1)</f>
        <v>2023</v>
      </c>
      <c r="I121" s="9" t="str">
        <f>TEXT(Call_Table_Data[[#This Row],[Date of Call]],"DDDD")</f>
        <v>Thursday</v>
      </c>
      <c r="J121" s="9" t="str" cm="1">
        <f t="array" ref="J121">_xlfn.IFS(Call_Table_Data[[#This Row],[Duration]]&lt;=10,"Under 10 Mins",Call_Table_Data[[#This Row],[Duration]]&lt;=30,"10 to 30 Mins",Call_Table_Data[[#This Row],[Duration]]&lt;=60,"30 to 60 Mins",Call_Table_Data[[#This Row],[Duration]]&lt;=120,"1 to 2 Hours",TRUE,"More Than 2 Hours")</f>
        <v>1 to 2 Hours</v>
      </c>
      <c r="K121" s="9">
        <f>ROUND(Call_Table_Data[[#This Row],[Satisfaction Rating]],0)</f>
        <v>4</v>
      </c>
    </row>
    <row r="122" spans="1:11" x14ac:dyDescent="0.3">
      <c r="A122" s="9" t="s">
        <v>1748</v>
      </c>
      <c r="B122" s="9" t="s">
        <v>1613</v>
      </c>
      <c r="C122" s="9">
        <v>75</v>
      </c>
      <c r="D122" s="149" t="s">
        <v>1630</v>
      </c>
      <c r="E122" s="150">
        <v>44974</v>
      </c>
      <c r="F122" s="9">
        <v>21</v>
      </c>
      <c r="G122" s="9">
        <v>4.2</v>
      </c>
      <c r="H122" s="9">
        <f>IF(MONTH(Call_Table_Data[[#This Row],[Date of Call]])&lt;=6,YEAR(Call_Table_Data[[#This Row],[Date of Call]]),YEAR(Call_Table_Data[[#This Row],[Date of Call]])+1)</f>
        <v>2023</v>
      </c>
      <c r="I122" s="9" t="str">
        <f>TEXT(Call_Table_Data[[#This Row],[Date of Call]],"DDDD")</f>
        <v>Friday</v>
      </c>
      <c r="J122" s="9" t="str" cm="1">
        <f t="array" ref="J122">_xlfn.IFS(Call_Table_Data[[#This Row],[Duration]]&lt;=10,"Under 10 Mins",Call_Table_Data[[#This Row],[Duration]]&lt;=30,"10 to 30 Mins",Call_Table_Data[[#This Row],[Duration]]&lt;=60,"30 to 60 Mins",Call_Table_Data[[#This Row],[Duration]]&lt;=120,"1 to 2 Hours",TRUE,"More Than 2 Hours")</f>
        <v>1 to 2 Hours</v>
      </c>
      <c r="K122" s="9">
        <f>ROUND(Call_Table_Data[[#This Row],[Satisfaction Rating]],0)</f>
        <v>4</v>
      </c>
    </row>
    <row r="123" spans="1:11" x14ac:dyDescent="0.3">
      <c r="A123" s="9" t="s">
        <v>1749</v>
      </c>
      <c r="B123" s="9" t="s">
        <v>1615</v>
      </c>
      <c r="C123" s="9">
        <v>57</v>
      </c>
      <c r="D123" s="149" t="s">
        <v>1611</v>
      </c>
      <c r="E123" s="150">
        <v>44974</v>
      </c>
      <c r="F123" s="9">
        <v>88</v>
      </c>
      <c r="G123" s="9">
        <v>4.3</v>
      </c>
      <c r="H123" s="9">
        <f>IF(MONTH(Call_Table_Data[[#This Row],[Date of Call]])&lt;=6,YEAR(Call_Table_Data[[#This Row],[Date of Call]]),YEAR(Call_Table_Data[[#This Row],[Date of Call]])+1)</f>
        <v>2023</v>
      </c>
      <c r="I123" s="9" t="str">
        <f>TEXT(Call_Table_Data[[#This Row],[Date of Call]],"DDDD")</f>
        <v>Friday</v>
      </c>
      <c r="J123" s="9" t="str" cm="1">
        <f t="array" ref="J123">_xlfn.IFS(Call_Table_Data[[#This Row],[Duration]]&lt;=10,"Under 10 Mins",Call_Table_Data[[#This Row],[Duration]]&lt;=30,"10 to 30 Mins",Call_Table_Data[[#This Row],[Duration]]&lt;=60,"30 to 60 Mins",Call_Table_Data[[#This Row],[Duration]]&lt;=120,"1 to 2 Hours",TRUE,"More Than 2 Hours")</f>
        <v>30 to 60 Mins</v>
      </c>
      <c r="K123" s="9">
        <f>ROUND(Call_Table_Data[[#This Row],[Satisfaction Rating]],0)</f>
        <v>4</v>
      </c>
    </row>
    <row r="124" spans="1:11" x14ac:dyDescent="0.3">
      <c r="A124" s="9" t="s">
        <v>1750</v>
      </c>
      <c r="B124" s="9" t="s">
        <v>1624</v>
      </c>
      <c r="C124" s="9">
        <v>155</v>
      </c>
      <c r="D124" s="149" t="s">
        <v>1611</v>
      </c>
      <c r="E124" s="150">
        <v>44975</v>
      </c>
      <c r="F124" s="9">
        <v>180</v>
      </c>
      <c r="G124" s="9">
        <v>2.2000000000000002</v>
      </c>
      <c r="H124" s="9">
        <f>IF(MONTH(Call_Table_Data[[#This Row],[Date of Call]])&lt;=6,YEAR(Call_Table_Data[[#This Row],[Date of Call]]),YEAR(Call_Table_Data[[#This Row],[Date of Call]])+1)</f>
        <v>2023</v>
      </c>
      <c r="I124" s="9" t="str">
        <f>TEXT(Call_Table_Data[[#This Row],[Date of Call]],"DDDD")</f>
        <v>Saturday</v>
      </c>
      <c r="J124" s="9" t="str" cm="1">
        <f t="array" ref="J124">_xlfn.IFS(Call_Table_Data[[#This Row],[Duration]]&lt;=10,"Under 10 Mins",Call_Table_Data[[#This Row],[Duration]]&lt;=30,"10 to 30 Mins",Call_Table_Data[[#This Row],[Duration]]&lt;=60,"30 to 60 Mins",Call_Table_Data[[#This Row],[Duration]]&lt;=120,"1 to 2 Hours",TRUE,"More Than 2 Hours")</f>
        <v>More Than 2 Hours</v>
      </c>
      <c r="K124" s="9">
        <f>ROUND(Call_Table_Data[[#This Row],[Satisfaction Rating]],0)</f>
        <v>2</v>
      </c>
    </row>
    <row r="125" spans="1:11" x14ac:dyDescent="0.3">
      <c r="A125" s="9" t="s">
        <v>1751</v>
      </c>
      <c r="B125" s="9" t="s">
        <v>1610</v>
      </c>
      <c r="C125" s="9">
        <v>68</v>
      </c>
      <c r="D125" s="149" t="s">
        <v>1616</v>
      </c>
      <c r="E125" s="150">
        <v>44975</v>
      </c>
      <c r="F125" s="9">
        <v>22</v>
      </c>
      <c r="G125" s="9">
        <v>3.3</v>
      </c>
      <c r="H125" s="9">
        <f>IF(MONTH(Call_Table_Data[[#This Row],[Date of Call]])&lt;=6,YEAR(Call_Table_Data[[#This Row],[Date of Call]]),YEAR(Call_Table_Data[[#This Row],[Date of Call]])+1)</f>
        <v>2023</v>
      </c>
      <c r="I125" s="9" t="str">
        <f>TEXT(Call_Table_Data[[#This Row],[Date of Call]],"DDDD")</f>
        <v>Saturday</v>
      </c>
      <c r="J125" s="9" t="str" cm="1">
        <f t="array" ref="J125">_xlfn.IFS(Call_Table_Data[[#This Row],[Duration]]&lt;=10,"Under 10 Mins",Call_Table_Data[[#This Row],[Duration]]&lt;=30,"10 to 30 Mins",Call_Table_Data[[#This Row],[Duration]]&lt;=60,"30 to 60 Mins",Call_Table_Data[[#This Row],[Duration]]&lt;=120,"1 to 2 Hours",TRUE,"More Than 2 Hours")</f>
        <v>1 to 2 Hours</v>
      </c>
      <c r="K125" s="9">
        <f>ROUND(Call_Table_Data[[#This Row],[Satisfaction Rating]],0)</f>
        <v>3</v>
      </c>
    </row>
    <row r="126" spans="1:11" x14ac:dyDescent="0.3">
      <c r="A126" s="9" t="s">
        <v>1752</v>
      </c>
      <c r="B126" s="9" t="s">
        <v>1629</v>
      </c>
      <c r="C126" s="9">
        <v>95</v>
      </c>
      <c r="D126" s="149" t="s">
        <v>1616</v>
      </c>
      <c r="E126" s="150">
        <v>44975</v>
      </c>
      <c r="F126" s="9">
        <v>52</v>
      </c>
      <c r="G126" s="9">
        <v>4.8</v>
      </c>
      <c r="H126" s="9">
        <f>IF(MONTH(Call_Table_Data[[#This Row],[Date of Call]])&lt;=6,YEAR(Call_Table_Data[[#This Row],[Date of Call]]),YEAR(Call_Table_Data[[#This Row],[Date of Call]])+1)</f>
        <v>2023</v>
      </c>
      <c r="I126" s="9" t="str">
        <f>TEXT(Call_Table_Data[[#This Row],[Date of Call]],"DDDD")</f>
        <v>Saturday</v>
      </c>
      <c r="J126" s="9" t="str" cm="1">
        <f t="array" ref="J126">_xlfn.IFS(Call_Table_Data[[#This Row],[Duration]]&lt;=10,"Under 10 Mins",Call_Table_Data[[#This Row],[Duration]]&lt;=30,"10 to 30 Mins",Call_Table_Data[[#This Row],[Duration]]&lt;=60,"30 to 60 Mins",Call_Table_Data[[#This Row],[Duration]]&lt;=120,"1 to 2 Hours",TRUE,"More Than 2 Hours")</f>
        <v>1 to 2 Hours</v>
      </c>
      <c r="K126" s="9">
        <f>ROUND(Call_Table_Data[[#This Row],[Satisfaction Rating]],0)</f>
        <v>5</v>
      </c>
    </row>
    <row r="127" spans="1:11" x14ac:dyDescent="0.3">
      <c r="A127" s="9" t="s">
        <v>1753</v>
      </c>
      <c r="B127" s="9" t="s">
        <v>1649</v>
      </c>
      <c r="C127" s="9">
        <v>65</v>
      </c>
      <c r="D127" s="149" t="s">
        <v>1611</v>
      </c>
      <c r="E127" s="150">
        <v>44976</v>
      </c>
      <c r="F127" s="9">
        <v>80</v>
      </c>
      <c r="G127" s="9">
        <v>4</v>
      </c>
      <c r="H127" s="9">
        <f>IF(MONTH(Call_Table_Data[[#This Row],[Date of Call]])&lt;=6,YEAR(Call_Table_Data[[#This Row],[Date of Call]]),YEAR(Call_Table_Data[[#This Row],[Date of Call]])+1)</f>
        <v>2023</v>
      </c>
      <c r="I127" s="9" t="str">
        <f>TEXT(Call_Table_Data[[#This Row],[Date of Call]],"DDDD")</f>
        <v>Sunday</v>
      </c>
      <c r="J127" s="9" t="str" cm="1">
        <f t="array" ref="J127">_xlfn.IFS(Call_Table_Data[[#This Row],[Duration]]&lt;=10,"Under 10 Mins",Call_Table_Data[[#This Row],[Duration]]&lt;=30,"10 to 30 Mins",Call_Table_Data[[#This Row],[Duration]]&lt;=60,"30 to 60 Mins",Call_Table_Data[[#This Row],[Duration]]&lt;=120,"1 to 2 Hours",TRUE,"More Than 2 Hours")</f>
        <v>1 to 2 Hours</v>
      </c>
      <c r="K127" s="9">
        <f>ROUND(Call_Table_Data[[#This Row],[Satisfaction Rating]],0)</f>
        <v>4</v>
      </c>
    </row>
    <row r="128" spans="1:11" x14ac:dyDescent="0.3">
      <c r="A128" s="9" t="s">
        <v>1754</v>
      </c>
      <c r="B128" s="9" t="s">
        <v>1620</v>
      </c>
      <c r="C128" s="9">
        <v>114</v>
      </c>
      <c r="D128" s="149" t="s">
        <v>1621</v>
      </c>
      <c r="E128" s="150">
        <v>44976</v>
      </c>
      <c r="F128" s="9">
        <v>54</v>
      </c>
      <c r="G128" s="9">
        <v>1.1000000000000001</v>
      </c>
      <c r="H128" s="9">
        <f>IF(MONTH(Call_Table_Data[[#This Row],[Date of Call]])&lt;=6,YEAR(Call_Table_Data[[#This Row],[Date of Call]]),YEAR(Call_Table_Data[[#This Row],[Date of Call]])+1)</f>
        <v>2023</v>
      </c>
      <c r="I128" s="9" t="str">
        <f>TEXT(Call_Table_Data[[#This Row],[Date of Call]],"DDDD")</f>
        <v>Sunday</v>
      </c>
      <c r="J128" s="9" t="str" cm="1">
        <f t="array" ref="J128">_xlfn.IFS(Call_Table_Data[[#This Row],[Duration]]&lt;=10,"Under 10 Mins",Call_Table_Data[[#This Row],[Duration]]&lt;=30,"10 to 30 Mins",Call_Table_Data[[#This Row],[Duration]]&lt;=60,"30 to 60 Mins",Call_Table_Data[[#This Row],[Duration]]&lt;=120,"1 to 2 Hours",TRUE,"More Than 2 Hours")</f>
        <v>1 to 2 Hours</v>
      </c>
      <c r="K128" s="9">
        <f>ROUND(Call_Table_Data[[#This Row],[Satisfaction Rating]],0)</f>
        <v>1</v>
      </c>
    </row>
    <row r="129" spans="1:11" x14ac:dyDescent="0.3">
      <c r="A129" s="9" t="s">
        <v>1755</v>
      </c>
      <c r="B129" s="9" t="s">
        <v>1613</v>
      </c>
      <c r="C129" s="9">
        <v>155</v>
      </c>
      <c r="D129" s="149" t="s">
        <v>1621</v>
      </c>
      <c r="E129" s="150">
        <v>44977</v>
      </c>
      <c r="F129" s="9">
        <v>80</v>
      </c>
      <c r="G129" s="9">
        <v>3.9</v>
      </c>
      <c r="H129" s="9">
        <f>IF(MONTH(Call_Table_Data[[#This Row],[Date of Call]])&lt;=6,YEAR(Call_Table_Data[[#This Row],[Date of Call]]),YEAR(Call_Table_Data[[#This Row],[Date of Call]])+1)</f>
        <v>2023</v>
      </c>
      <c r="I129" s="9" t="str">
        <f>TEXT(Call_Table_Data[[#This Row],[Date of Call]],"DDDD")</f>
        <v>Monday</v>
      </c>
      <c r="J129" s="9" t="str" cm="1">
        <f t="array" ref="J129">_xlfn.IFS(Call_Table_Data[[#This Row],[Duration]]&lt;=10,"Under 10 Mins",Call_Table_Data[[#This Row],[Duration]]&lt;=30,"10 to 30 Mins",Call_Table_Data[[#This Row],[Duration]]&lt;=60,"30 to 60 Mins",Call_Table_Data[[#This Row],[Duration]]&lt;=120,"1 to 2 Hours",TRUE,"More Than 2 Hours")</f>
        <v>More Than 2 Hours</v>
      </c>
      <c r="K129" s="9">
        <f>ROUND(Call_Table_Data[[#This Row],[Satisfaction Rating]],0)</f>
        <v>4</v>
      </c>
    </row>
    <row r="130" spans="1:11" x14ac:dyDescent="0.3">
      <c r="A130" s="9" t="s">
        <v>1756</v>
      </c>
      <c r="B130" s="9" t="s">
        <v>1649</v>
      </c>
      <c r="C130" s="9">
        <v>114</v>
      </c>
      <c r="D130" s="149" t="s">
        <v>1611</v>
      </c>
      <c r="E130" s="150">
        <v>44978</v>
      </c>
      <c r="F130" s="9">
        <v>120</v>
      </c>
      <c r="G130" s="9">
        <v>1.8</v>
      </c>
      <c r="H130" s="9">
        <f>IF(MONTH(Call_Table_Data[[#This Row],[Date of Call]])&lt;=6,YEAR(Call_Table_Data[[#This Row],[Date of Call]]),YEAR(Call_Table_Data[[#This Row],[Date of Call]])+1)</f>
        <v>2023</v>
      </c>
      <c r="I130" s="9" t="str">
        <f>TEXT(Call_Table_Data[[#This Row],[Date of Call]],"DDDD")</f>
        <v>Tuesday</v>
      </c>
      <c r="J130" s="9" t="str" cm="1">
        <f t="array" ref="J130">_xlfn.IFS(Call_Table_Data[[#This Row],[Duration]]&lt;=10,"Under 10 Mins",Call_Table_Data[[#This Row],[Duration]]&lt;=30,"10 to 30 Mins",Call_Table_Data[[#This Row],[Duration]]&lt;=60,"30 to 60 Mins",Call_Table_Data[[#This Row],[Duration]]&lt;=120,"1 to 2 Hours",TRUE,"More Than 2 Hours")</f>
        <v>1 to 2 Hours</v>
      </c>
      <c r="K130" s="9">
        <f>ROUND(Call_Table_Data[[#This Row],[Satisfaction Rating]],0)</f>
        <v>2</v>
      </c>
    </row>
    <row r="131" spans="1:11" x14ac:dyDescent="0.3">
      <c r="A131" s="9" t="s">
        <v>1757</v>
      </c>
      <c r="B131" s="9" t="s">
        <v>1624</v>
      </c>
      <c r="C131" s="9">
        <v>130</v>
      </c>
      <c r="D131" s="149" t="s">
        <v>1626</v>
      </c>
      <c r="E131" s="150">
        <v>44978</v>
      </c>
      <c r="F131" s="9">
        <v>150</v>
      </c>
      <c r="G131" s="9">
        <v>1</v>
      </c>
      <c r="H131" s="9">
        <f>IF(MONTH(Call_Table_Data[[#This Row],[Date of Call]])&lt;=6,YEAR(Call_Table_Data[[#This Row],[Date of Call]]),YEAR(Call_Table_Data[[#This Row],[Date of Call]])+1)</f>
        <v>2023</v>
      </c>
      <c r="I131" s="9" t="str">
        <f>TEXT(Call_Table_Data[[#This Row],[Date of Call]],"DDDD")</f>
        <v>Tuesday</v>
      </c>
      <c r="J131" s="9" t="str" cm="1">
        <f t="array" ref="J131">_xlfn.IFS(Call_Table_Data[[#This Row],[Duration]]&lt;=10,"Under 10 Mins",Call_Table_Data[[#This Row],[Duration]]&lt;=30,"10 to 30 Mins",Call_Table_Data[[#This Row],[Duration]]&lt;=60,"30 to 60 Mins",Call_Table_Data[[#This Row],[Duration]]&lt;=120,"1 to 2 Hours",TRUE,"More Than 2 Hours")</f>
        <v>More Than 2 Hours</v>
      </c>
      <c r="K131" s="9">
        <f>ROUND(Call_Table_Data[[#This Row],[Satisfaction Rating]],0)</f>
        <v>1</v>
      </c>
    </row>
    <row r="132" spans="1:11" x14ac:dyDescent="0.3">
      <c r="A132" s="9" t="s">
        <v>1758</v>
      </c>
      <c r="B132" s="9" t="s">
        <v>1613</v>
      </c>
      <c r="C132" s="9">
        <v>89</v>
      </c>
      <c r="D132" s="149" t="s">
        <v>1611</v>
      </c>
      <c r="E132" s="150">
        <v>44978</v>
      </c>
      <c r="F132" s="9">
        <v>90</v>
      </c>
      <c r="G132" s="9">
        <v>4.3</v>
      </c>
      <c r="H132" s="9">
        <f>IF(MONTH(Call_Table_Data[[#This Row],[Date of Call]])&lt;=6,YEAR(Call_Table_Data[[#This Row],[Date of Call]]),YEAR(Call_Table_Data[[#This Row],[Date of Call]])+1)</f>
        <v>2023</v>
      </c>
      <c r="I132" s="9" t="str">
        <f>TEXT(Call_Table_Data[[#This Row],[Date of Call]],"DDDD")</f>
        <v>Tuesday</v>
      </c>
      <c r="J132" s="9" t="str" cm="1">
        <f t="array" ref="J132">_xlfn.IFS(Call_Table_Data[[#This Row],[Duration]]&lt;=10,"Under 10 Mins",Call_Table_Data[[#This Row],[Duration]]&lt;=30,"10 to 30 Mins",Call_Table_Data[[#This Row],[Duration]]&lt;=60,"30 to 60 Mins",Call_Table_Data[[#This Row],[Duration]]&lt;=120,"1 to 2 Hours",TRUE,"More Than 2 Hours")</f>
        <v>1 to 2 Hours</v>
      </c>
      <c r="K132" s="9">
        <f>ROUND(Call_Table_Data[[#This Row],[Satisfaction Rating]],0)</f>
        <v>4</v>
      </c>
    </row>
    <row r="133" spans="1:11" x14ac:dyDescent="0.3">
      <c r="A133" s="9" t="s">
        <v>1759</v>
      </c>
      <c r="B133" s="9" t="s">
        <v>1662</v>
      </c>
      <c r="C133" s="9">
        <v>61</v>
      </c>
      <c r="D133" s="149" t="s">
        <v>1630</v>
      </c>
      <c r="E133" s="150">
        <v>44979</v>
      </c>
      <c r="F133" s="9">
        <v>140</v>
      </c>
      <c r="G133" s="9">
        <v>3.4</v>
      </c>
      <c r="H133" s="9">
        <f>IF(MONTH(Call_Table_Data[[#This Row],[Date of Call]])&lt;=6,YEAR(Call_Table_Data[[#This Row],[Date of Call]]),YEAR(Call_Table_Data[[#This Row],[Date of Call]])+1)</f>
        <v>2023</v>
      </c>
      <c r="I133" s="9" t="str">
        <f>TEXT(Call_Table_Data[[#This Row],[Date of Call]],"DDDD")</f>
        <v>Wednesday</v>
      </c>
      <c r="J133" s="9" t="str" cm="1">
        <f t="array" ref="J133">_xlfn.IFS(Call_Table_Data[[#This Row],[Duration]]&lt;=10,"Under 10 Mins",Call_Table_Data[[#This Row],[Duration]]&lt;=30,"10 to 30 Mins",Call_Table_Data[[#This Row],[Duration]]&lt;=60,"30 to 60 Mins",Call_Table_Data[[#This Row],[Duration]]&lt;=120,"1 to 2 Hours",TRUE,"More Than 2 Hours")</f>
        <v>1 to 2 Hours</v>
      </c>
      <c r="K133" s="9">
        <f>ROUND(Call_Table_Data[[#This Row],[Satisfaction Rating]],0)</f>
        <v>3</v>
      </c>
    </row>
    <row r="134" spans="1:11" x14ac:dyDescent="0.3">
      <c r="A134" s="9" t="s">
        <v>1760</v>
      </c>
      <c r="B134" s="9" t="s">
        <v>1629</v>
      </c>
      <c r="C134" s="9">
        <v>154</v>
      </c>
      <c r="D134" s="149" t="s">
        <v>1621</v>
      </c>
      <c r="E134" s="150">
        <v>44979</v>
      </c>
      <c r="F134" s="9">
        <v>22</v>
      </c>
      <c r="G134" s="9">
        <v>3.4</v>
      </c>
      <c r="H134" s="9">
        <f>IF(MONTH(Call_Table_Data[[#This Row],[Date of Call]])&lt;=6,YEAR(Call_Table_Data[[#This Row],[Date of Call]]),YEAR(Call_Table_Data[[#This Row],[Date of Call]])+1)</f>
        <v>2023</v>
      </c>
      <c r="I134" s="9" t="str">
        <f>TEXT(Call_Table_Data[[#This Row],[Date of Call]],"DDDD")</f>
        <v>Wednesday</v>
      </c>
      <c r="J134" s="9" t="str" cm="1">
        <f t="array" ref="J134">_xlfn.IFS(Call_Table_Data[[#This Row],[Duration]]&lt;=10,"Under 10 Mins",Call_Table_Data[[#This Row],[Duration]]&lt;=30,"10 to 30 Mins",Call_Table_Data[[#This Row],[Duration]]&lt;=60,"30 to 60 Mins",Call_Table_Data[[#This Row],[Duration]]&lt;=120,"1 to 2 Hours",TRUE,"More Than 2 Hours")</f>
        <v>More Than 2 Hours</v>
      </c>
      <c r="K134" s="9">
        <f>ROUND(Call_Table_Data[[#This Row],[Satisfaction Rating]],0)</f>
        <v>3</v>
      </c>
    </row>
    <row r="135" spans="1:11" x14ac:dyDescent="0.3">
      <c r="A135" s="9" t="s">
        <v>1761</v>
      </c>
      <c r="B135" s="9" t="s">
        <v>1649</v>
      </c>
      <c r="C135" s="9">
        <v>115</v>
      </c>
      <c r="D135" s="149" t="s">
        <v>1626</v>
      </c>
      <c r="E135" s="150">
        <v>44980</v>
      </c>
      <c r="F135" s="9">
        <v>150</v>
      </c>
      <c r="G135" s="9">
        <v>4.0999999999999996</v>
      </c>
      <c r="H135" s="9">
        <f>IF(MONTH(Call_Table_Data[[#This Row],[Date of Call]])&lt;=6,YEAR(Call_Table_Data[[#This Row],[Date of Call]]),YEAR(Call_Table_Data[[#This Row],[Date of Call]])+1)</f>
        <v>2023</v>
      </c>
      <c r="I135" s="9" t="str">
        <f>TEXT(Call_Table_Data[[#This Row],[Date of Call]],"DDDD")</f>
        <v>Thursday</v>
      </c>
      <c r="J135" s="9" t="str" cm="1">
        <f t="array" ref="J135">_xlfn.IFS(Call_Table_Data[[#This Row],[Duration]]&lt;=10,"Under 10 Mins",Call_Table_Data[[#This Row],[Duration]]&lt;=30,"10 to 30 Mins",Call_Table_Data[[#This Row],[Duration]]&lt;=60,"30 to 60 Mins",Call_Table_Data[[#This Row],[Duration]]&lt;=120,"1 to 2 Hours",TRUE,"More Than 2 Hours")</f>
        <v>1 to 2 Hours</v>
      </c>
      <c r="K135" s="9">
        <f>ROUND(Call_Table_Data[[#This Row],[Satisfaction Rating]],0)</f>
        <v>4</v>
      </c>
    </row>
    <row r="136" spans="1:11" x14ac:dyDescent="0.3">
      <c r="A136" s="9" t="s">
        <v>1762</v>
      </c>
      <c r="B136" s="9" t="s">
        <v>1682</v>
      </c>
      <c r="C136" s="9">
        <v>138</v>
      </c>
      <c r="D136" s="149" t="s">
        <v>1616</v>
      </c>
      <c r="E136" s="150">
        <v>44981</v>
      </c>
      <c r="F136" s="9">
        <v>35</v>
      </c>
      <c r="G136" s="9">
        <v>4.8</v>
      </c>
      <c r="H136" s="9">
        <f>IF(MONTH(Call_Table_Data[[#This Row],[Date of Call]])&lt;=6,YEAR(Call_Table_Data[[#This Row],[Date of Call]]),YEAR(Call_Table_Data[[#This Row],[Date of Call]])+1)</f>
        <v>2023</v>
      </c>
      <c r="I136" s="9" t="str">
        <f>TEXT(Call_Table_Data[[#This Row],[Date of Call]],"DDDD")</f>
        <v>Friday</v>
      </c>
      <c r="J136" s="9" t="str" cm="1">
        <f t="array" ref="J136">_xlfn.IFS(Call_Table_Data[[#This Row],[Duration]]&lt;=10,"Under 10 Mins",Call_Table_Data[[#This Row],[Duration]]&lt;=30,"10 to 30 Mins",Call_Table_Data[[#This Row],[Duration]]&lt;=60,"30 to 60 Mins",Call_Table_Data[[#This Row],[Duration]]&lt;=120,"1 to 2 Hours",TRUE,"More Than 2 Hours")</f>
        <v>More Than 2 Hours</v>
      </c>
      <c r="K136" s="9">
        <f>ROUND(Call_Table_Data[[#This Row],[Satisfaction Rating]],0)</f>
        <v>5</v>
      </c>
    </row>
    <row r="137" spans="1:11" x14ac:dyDescent="0.3">
      <c r="A137" s="9" t="s">
        <v>1763</v>
      </c>
      <c r="B137" s="9" t="s">
        <v>1618</v>
      </c>
      <c r="C137" s="9">
        <v>153</v>
      </c>
      <c r="D137" s="149" t="s">
        <v>1611</v>
      </c>
      <c r="E137" s="150">
        <v>44981</v>
      </c>
      <c r="F137" s="9">
        <v>200</v>
      </c>
      <c r="G137" s="9">
        <v>2</v>
      </c>
      <c r="H137" s="9">
        <f>IF(MONTH(Call_Table_Data[[#This Row],[Date of Call]])&lt;=6,YEAR(Call_Table_Data[[#This Row],[Date of Call]]),YEAR(Call_Table_Data[[#This Row],[Date of Call]])+1)</f>
        <v>2023</v>
      </c>
      <c r="I137" s="9" t="str">
        <f>TEXT(Call_Table_Data[[#This Row],[Date of Call]],"DDDD")</f>
        <v>Friday</v>
      </c>
      <c r="J137" s="9" t="str" cm="1">
        <f t="array" ref="J137">_xlfn.IFS(Call_Table_Data[[#This Row],[Duration]]&lt;=10,"Under 10 Mins",Call_Table_Data[[#This Row],[Duration]]&lt;=30,"10 to 30 Mins",Call_Table_Data[[#This Row],[Duration]]&lt;=60,"30 to 60 Mins",Call_Table_Data[[#This Row],[Duration]]&lt;=120,"1 to 2 Hours",TRUE,"More Than 2 Hours")</f>
        <v>More Than 2 Hours</v>
      </c>
      <c r="K137" s="9">
        <f>ROUND(Call_Table_Data[[#This Row],[Satisfaction Rating]],0)</f>
        <v>2</v>
      </c>
    </row>
    <row r="138" spans="1:11" x14ac:dyDescent="0.3">
      <c r="A138" s="9" t="s">
        <v>1764</v>
      </c>
      <c r="B138" s="9" t="s">
        <v>1649</v>
      </c>
      <c r="C138" s="9">
        <v>61</v>
      </c>
      <c r="D138" s="149" t="s">
        <v>1630</v>
      </c>
      <c r="E138" s="150">
        <v>44982</v>
      </c>
      <c r="F138" s="9">
        <v>150</v>
      </c>
      <c r="G138" s="9">
        <v>4.5999999999999996</v>
      </c>
      <c r="H138" s="9">
        <f>IF(MONTH(Call_Table_Data[[#This Row],[Date of Call]])&lt;=6,YEAR(Call_Table_Data[[#This Row],[Date of Call]]),YEAR(Call_Table_Data[[#This Row],[Date of Call]])+1)</f>
        <v>2023</v>
      </c>
      <c r="I138" s="9" t="str">
        <f>TEXT(Call_Table_Data[[#This Row],[Date of Call]],"DDDD")</f>
        <v>Saturday</v>
      </c>
      <c r="J138" s="9" t="str" cm="1">
        <f t="array" ref="J138">_xlfn.IFS(Call_Table_Data[[#This Row],[Duration]]&lt;=10,"Under 10 Mins",Call_Table_Data[[#This Row],[Duration]]&lt;=30,"10 to 30 Mins",Call_Table_Data[[#This Row],[Duration]]&lt;=60,"30 to 60 Mins",Call_Table_Data[[#This Row],[Duration]]&lt;=120,"1 to 2 Hours",TRUE,"More Than 2 Hours")</f>
        <v>1 to 2 Hours</v>
      </c>
      <c r="K138" s="9">
        <f>ROUND(Call_Table_Data[[#This Row],[Satisfaction Rating]],0)</f>
        <v>5</v>
      </c>
    </row>
    <row r="139" spans="1:11" x14ac:dyDescent="0.3">
      <c r="A139" s="9" t="s">
        <v>1765</v>
      </c>
      <c r="B139" s="9" t="s">
        <v>1641</v>
      </c>
      <c r="C139" s="9">
        <v>62</v>
      </c>
      <c r="D139" s="149" t="s">
        <v>1611</v>
      </c>
      <c r="E139" s="150">
        <v>44982</v>
      </c>
      <c r="F139" s="9">
        <v>21</v>
      </c>
      <c r="G139" s="9">
        <v>2.6</v>
      </c>
      <c r="H139" s="9">
        <f>IF(MONTH(Call_Table_Data[[#This Row],[Date of Call]])&lt;=6,YEAR(Call_Table_Data[[#This Row],[Date of Call]]),YEAR(Call_Table_Data[[#This Row],[Date of Call]])+1)</f>
        <v>2023</v>
      </c>
      <c r="I139" s="9" t="str">
        <f>TEXT(Call_Table_Data[[#This Row],[Date of Call]],"DDDD")</f>
        <v>Saturday</v>
      </c>
      <c r="J139" s="9" t="str" cm="1">
        <f t="array" ref="J139">_xlfn.IFS(Call_Table_Data[[#This Row],[Duration]]&lt;=10,"Under 10 Mins",Call_Table_Data[[#This Row],[Duration]]&lt;=30,"10 to 30 Mins",Call_Table_Data[[#This Row],[Duration]]&lt;=60,"30 to 60 Mins",Call_Table_Data[[#This Row],[Duration]]&lt;=120,"1 to 2 Hours",TRUE,"More Than 2 Hours")</f>
        <v>1 to 2 Hours</v>
      </c>
      <c r="K139" s="9">
        <f>ROUND(Call_Table_Data[[#This Row],[Satisfaction Rating]],0)</f>
        <v>3</v>
      </c>
    </row>
    <row r="140" spans="1:11" x14ac:dyDescent="0.3">
      <c r="A140" s="9" t="s">
        <v>1766</v>
      </c>
      <c r="B140" s="9" t="s">
        <v>1662</v>
      </c>
      <c r="C140" s="9">
        <v>151</v>
      </c>
      <c r="D140" s="149" t="s">
        <v>1626</v>
      </c>
      <c r="E140" s="150">
        <v>44983</v>
      </c>
      <c r="F140" s="9">
        <v>46</v>
      </c>
      <c r="G140" s="9">
        <v>4.9000000000000004</v>
      </c>
      <c r="H140" s="9">
        <f>IF(MONTH(Call_Table_Data[[#This Row],[Date of Call]])&lt;=6,YEAR(Call_Table_Data[[#This Row],[Date of Call]]),YEAR(Call_Table_Data[[#This Row],[Date of Call]])+1)</f>
        <v>2023</v>
      </c>
      <c r="I140" s="9" t="str">
        <f>TEXT(Call_Table_Data[[#This Row],[Date of Call]],"DDDD")</f>
        <v>Sunday</v>
      </c>
      <c r="J140" s="9" t="str" cm="1">
        <f t="array" ref="J140">_xlfn.IFS(Call_Table_Data[[#This Row],[Duration]]&lt;=10,"Under 10 Mins",Call_Table_Data[[#This Row],[Duration]]&lt;=30,"10 to 30 Mins",Call_Table_Data[[#This Row],[Duration]]&lt;=60,"30 to 60 Mins",Call_Table_Data[[#This Row],[Duration]]&lt;=120,"1 to 2 Hours",TRUE,"More Than 2 Hours")</f>
        <v>More Than 2 Hours</v>
      </c>
      <c r="K140" s="9">
        <f>ROUND(Call_Table_Data[[#This Row],[Satisfaction Rating]],0)</f>
        <v>5</v>
      </c>
    </row>
    <row r="141" spans="1:11" x14ac:dyDescent="0.3">
      <c r="A141" s="9" t="s">
        <v>1767</v>
      </c>
      <c r="B141" s="9" t="s">
        <v>1652</v>
      </c>
      <c r="C141" s="9">
        <v>102</v>
      </c>
      <c r="D141" s="149" t="s">
        <v>1621</v>
      </c>
      <c r="E141" s="150">
        <v>44983</v>
      </c>
      <c r="F141" s="9">
        <v>165</v>
      </c>
      <c r="G141" s="9">
        <v>2.7</v>
      </c>
      <c r="H141" s="9">
        <f>IF(MONTH(Call_Table_Data[[#This Row],[Date of Call]])&lt;=6,YEAR(Call_Table_Data[[#This Row],[Date of Call]]),YEAR(Call_Table_Data[[#This Row],[Date of Call]])+1)</f>
        <v>2023</v>
      </c>
      <c r="I141" s="9" t="str">
        <f>TEXT(Call_Table_Data[[#This Row],[Date of Call]],"DDDD")</f>
        <v>Sunday</v>
      </c>
      <c r="J141" s="9" t="str" cm="1">
        <f t="array" ref="J141">_xlfn.IFS(Call_Table_Data[[#This Row],[Duration]]&lt;=10,"Under 10 Mins",Call_Table_Data[[#This Row],[Duration]]&lt;=30,"10 to 30 Mins",Call_Table_Data[[#This Row],[Duration]]&lt;=60,"30 to 60 Mins",Call_Table_Data[[#This Row],[Duration]]&lt;=120,"1 to 2 Hours",TRUE,"More Than 2 Hours")</f>
        <v>1 to 2 Hours</v>
      </c>
      <c r="K141" s="9">
        <f>ROUND(Call_Table_Data[[#This Row],[Satisfaction Rating]],0)</f>
        <v>3</v>
      </c>
    </row>
    <row r="142" spans="1:11" x14ac:dyDescent="0.3">
      <c r="A142" s="9" t="s">
        <v>1768</v>
      </c>
      <c r="B142" s="9" t="s">
        <v>1644</v>
      </c>
      <c r="C142" s="9">
        <v>64</v>
      </c>
      <c r="D142" s="149" t="s">
        <v>1611</v>
      </c>
      <c r="E142" s="150">
        <v>44983</v>
      </c>
      <c r="F142" s="9">
        <v>84</v>
      </c>
      <c r="G142" s="9">
        <v>4.0999999999999996</v>
      </c>
      <c r="H142" s="9">
        <f>IF(MONTH(Call_Table_Data[[#This Row],[Date of Call]])&lt;=6,YEAR(Call_Table_Data[[#This Row],[Date of Call]]),YEAR(Call_Table_Data[[#This Row],[Date of Call]])+1)</f>
        <v>2023</v>
      </c>
      <c r="I142" s="9" t="str">
        <f>TEXT(Call_Table_Data[[#This Row],[Date of Call]],"DDDD")</f>
        <v>Sunday</v>
      </c>
      <c r="J142" s="9" t="str" cm="1">
        <f t="array" ref="J142">_xlfn.IFS(Call_Table_Data[[#This Row],[Duration]]&lt;=10,"Under 10 Mins",Call_Table_Data[[#This Row],[Duration]]&lt;=30,"10 to 30 Mins",Call_Table_Data[[#This Row],[Duration]]&lt;=60,"30 to 60 Mins",Call_Table_Data[[#This Row],[Duration]]&lt;=120,"1 to 2 Hours",TRUE,"More Than 2 Hours")</f>
        <v>1 to 2 Hours</v>
      </c>
      <c r="K142" s="9">
        <f>ROUND(Call_Table_Data[[#This Row],[Satisfaction Rating]],0)</f>
        <v>4</v>
      </c>
    </row>
    <row r="143" spans="1:11" x14ac:dyDescent="0.3">
      <c r="A143" s="9" t="s">
        <v>1769</v>
      </c>
      <c r="B143" s="9" t="s">
        <v>1613</v>
      </c>
      <c r="C143" s="9">
        <v>6</v>
      </c>
      <c r="D143" s="149" t="s">
        <v>1621</v>
      </c>
      <c r="E143" s="150">
        <v>44984</v>
      </c>
      <c r="F143" s="9">
        <v>102</v>
      </c>
      <c r="G143" s="9">
        <v>4.4000000000000004</v>
      </c>
      <c r="H143" s="9">
        <f>IF(MONTH(Call_Table_Data[[#This Row],[Date of Call]])&lt;=6,YEAR(Call_Table_Data[[#This Row],[Date of Call]]),YEAR(Call_Table_Data[[#This Row],[Date of Call]])+1)</f>
        <v>2023</v>
      </c>
      <c r="I143" s="9" t="str">
        <f>TEXT(Call_Table_Data[[#This Row],[Date of Call]],"DDDD")</f>
        <v>Monday</v>
      </c>
      <c r="J143" s="9" t="str" cm="1">
        <f t="array" ref="J143">_xlfn.IFS(Call_Table_Data[[#This Row],[Duration]]&lt;=10,"Under 10 Mins",Call_Table_Data[[#This Row],[Duration]]&lt;=30,"10 to 30 Mins",Call_Table_Data[[#This Row],[Duration]]&lt;=60,"30 to 60 Mins",Call_Table_Data[[#This Row],[Duration]]&lt;=120,"1 to 2 Hours",TRUE,"More Than 2 Hours")</f>
        <v>Under 10 Mins</v>
      </c>
      <c r="K143" s="9">
        <f>ROUND(Call_Table_Data[[#This Row],[Satisfaction Rating]],0)</f>
        <v>4</v>
      </c>
    </row>
    <row r="144" spans="1:11" x14ac:dyDescent="0.3">
      <c r="A144" s="9" t="s">
        <v>1770</v>
      </c>
      <c r="B144" s="9" t="s">
        <v>1644</v>
      </c>
      <c r="C144" s="9">
        <v>129</v>
      </c>
      <c r="D144" s="149" t="s">
        <v>1611</v>
      </c>
      <c r="E144" s="150">
        <v>44984</v>
      </c>
      <c r="F144" s="9">
        <v>180</v>
      </c>
      <c r="G144" s="9">
        <v>4.8</v>
      </c>
      <c r="H144" s="9">
        <f>IF(MONTH(Call_Table_Data[[#This Row],[Date of Call]])&lt;=6,YEAR(Call_Table_Data[[#This Row],[Date of Call]]),YEAR(Call_Table_Data[[#This Row],[Date of Call]])+1)</f>
        <v>2023</v>
      </c>
      <c r="I144" s="9" t="str">
        <f>TEXT(Call_Table_Data[[#This Row],[Date of Call]],"DDDD")</f>
        <v>Monday</v>
      </c>
      <c r="J144" s="9" t="str" cm="1">
        <f t="array" ref="J144">_xlfn.IFS(Call_Table_Data[[#This Row],[Duration]]&lt;=10,"Under 10 Mins",Call_Table_Data[[#This Row],[Duration]]&lt;=30,"10 to 30 Mins",Call_Table_Data[[#This Row],[Duration]]&lt;=60,"30 to 60 Mins",Call_Table_Data[[#This Row],[Duration]]&lt;=120,"1 to 2 Hours",TRUE,"More Than 2 Hours")</f>
        <v>More Than 2 Hours</v>
      </c>
      <c r="K144" s="9">
        <f>ROUND(Call_Table_Data[[#This Row],[Satisfaction Rating]],0)</f>
        <v>5</v>
      </c>
    </row>
    <row r="145" spans="1:11" x14ac:dyDescent="0.3">
      <c r="A145" s="9" t="s">
        <v>1771</v>
      </c>
      <c r="B145" s="9" t="s">
        <v>1641</v>
      </c>
      <c r="C145" s="9">
        <v>42</v>
      </c>
      <c r="D145" s="149" t="s">
        <v>1626</v>
      </c>
      <c r="E145" s="150">
        <v>44985</v>
      </c>
      <c r="F145" s="9">
        <v>111</v>
      </c>
      <c r="G145" s="9">
        <v>3</v>
      </c>
      <c r="H145" s="9">
        <f>IF(MONTH(Call_Table_Data[[#This Row],[Date of Call]])&lt;=6,YEAR(Call_Table_Data[[#This Row],[Date of Call]]),YEAR(Call_Table_Data[[#This Row],[Date of Call]])+1)</f>
        <v>2023</v>
      </c>
      <c r="I145" s="9" t="str">
        <f>TEXT(Call_Table_Data[[#This Row],[Date of Call]],"DDDD")</f>
        <v>Tuesday</v>
      </c>
      <c r="J145" s="9" t="str" cm="1">
        <f t="array" ref="J145">_xlfn.IFS(Call_Table_Data[[#This Row],[Duration]]&lt;=10,"Under 10 Mins",Call_Table_Data[[#This Row],[Duration]]&lt;=30,"10 to 30 Mins",Call_Table_Data[[#This Row],[Duration]]&lt;=60,"30 to 60 Mins",Call_Table_Data[[#This Row],[Duration]]&lt;=120,"1 to 2 Hours",TRUE,"More Than 2 Hours")</f>
        <v>30 to 60 Mins</v>
      </c>
      <c r="K145" s="9">
        <f>ROUND(Call_Table_Data[[#This Row],[Satisfaction Rating]],0)</f>
        <v>3</v>
      </c>
    </row>
    <row r="146" spans="1:11" x14ac:dyDescent="0.3">
      <c r="A146" s="9" t="s">
        <v>1772</v>
      </c>
      <c r="B146" s="9" t="s">
        <v>1641</v>
      </c>
      <c r="C146" s="9">
        <v>71</v>
      </c>
      <c r="D146" s="149" t="s">
        <v>1630</v>
      </c>
      <c r="E146" s="150">
        <v>44985</v>
      </c>
      <c r="F146" s="9">
        <v>104</v>
      </c>
      <c r="G146" s="9">
        <v>3.1</v>
      </c>
      <c r="H146" s="9">
        <f>IF(MONTH(Call_Table_Data[[#This Row],[Date of Call]])&lt;=6,YEAR(Call_Table_Data[[#This Row],[Date of Call]]),YEAR(Call_Table_Data[[#This Row],[Date of Call]])+1)</f>
        <v>2023</v>
      </c>
      <c r="I146" s="9" t="str">
        <f>TEXT(Call_Table_Data[[#This Row],[Date of Call]],"DDDD")</f>
        <v>Tuesday</v>
      </c>
      <c r="J146" s="9" t="str" cm="1">
        <f t="array" ref="J146">_xlfn.IFS(Call_Table_Data[[#This Row],[Duration]]&lt;=10,"Under 10 Mins",Call_Table_Data[[#This Row],[Duration]]&lt;=30,"10 to 30 Mins",Call_Table_Data[[#This Row],[Duration]]&lt;=60,"30 to 60 Mins",Call_Table_Data[[#This Row],[Duration]]&lt;=120,"1 to 2 Hours",TRUE,"More Than 2 Hours")</f>
        <v>1 to 2 Hours</v>
      </c>
      <c r="K146" s="9">
        <f>ROUND(Call_Table_Data[[#This Row],[Satisfaction Rating]],0)</f>
        <v>3</v>
      </c>
    </row>
    <row r="147" spans="1:11" x14ac:dyDescent="0.3">
      <c r="A147" s="9" t="s">
        <v>1773</v>
      </c>
      <c r="B147" s="9" t="s">
        <v>1615</v>
      </c>
      <c r="C147" s="9">
        <v>53</v>
      </c>
      <c r="D147" s="149" t="s">
        <v>1621</v>
      </c>
      <c r="E147" s="150">
        <v>44985</v>
      </c>
      <c r="F147" s="9">
        <v>80</v>
      </c>
      <c r="G147" s="9">
        <v>2.6</v>
      </c>
      <c r="H147" s="9">
        <f>IF(MONTH(Call_Table_Data[[#This Row],[Date of Call]])&lt;=6,YEAR(Call_Table_Data[[#This Row],[Date of Call]]),YEAR(Call_Table_Data[[#This Row],[Date of Call]])+1)</f>
        <v>2023</v>
      </c>
      <c r="I147" s="9" t="str">
        <f>TEXT(Call_Table_Data[[#This Row],[Date of Call]],"DDDD")</f>
        <v>Tuesday</v>
      </c>
      <c r="J147" s="9" t="str" cm="1">
        <f t="array" ref="J147">_xlfn.IFS(Call_Table_Data[[#This Row],[Duration]]&lt;=10,"Under 10 Mins",Call_Table_Data[[#This Row],[Duration]]&lt;=30,"10 to 30 Mins",Call_Table_Data[[#This Row],[Duration]]&lt;=60,"30 to 60 Mins",Call_Table_Data[[#This Row],[Duration]]&lt;=120,"1 to 2 Hours",TRUE,"More Than 2 Hours")</f>
        <v>30 to 60 Mins</v>
      </c>
      <c r="K147" s="9">
        <f>ROUND(Call_Table_Data[[#This Row],[Satisfaction Rating]],0)</f>
        <v>3</v>
      </c>
    </row>
    <row r="148" spans="1:11" x14ac:dyDescent="0.3">
      <c r="A148" s="9" t="s">
        <v>1774</v>
      </c>
      <c r="B148" s="9" t="s">
        <v>1620</v>
      </c>
      <c r="C148" s="9">
        <v>155</v>
      </c>
      <c r="D148" s="149" t="s">
        <v>1630</v>
      </c>
      <c r="E148" s="150">
        <v>44986</v>
      </c>
      <c r="F148" s="9">
        <v>132</v>
      </c>
      <c r="G148" s="9">
        <v>4.5999999999999996</v>
      </c>
      <c r="H148" s="9">
        <f>IF(MONTH(Call_Table_Data[[#This Row],[Date of Call]])&lt;=6,YEAR(Call_Table_Data[[#This Row],[Date of Call]]),YEAR(Call_Table_Data[[#This Row],[Date of Call]])+1)</f>
        <v>2023</v>
      </c>
      <c r="I148" s="9" t="str">
        <f>TEXT(Call_Table_Data[[#This Row],[Date of Call]],"DDDD")</f>
        <v>Wednesday</v>
      </c>
      <c r="J148" s="9" t="str" cm="1">
        <f t="array" ref="J148">_xlfn.IFS(Call_Table_Data[[#This Row],[Duration]]&lt;=10,"Under 10 Mins",Call_Table_Data[[#This Row],[Duration]]&lt;=30,"10 to 30 Mins",Call_Table_Data[[#This Row],[Duration]]&lt;=60,"30 to 60 Mins",Call_Table_Data[[#This Row],[Duration]]&lt;=120,"1 to 2 Hours",TRUE,"More Than 2 Hours")</f>
        <v>More Than 2 Hours</v>
      </c>
      <c r="K148" s="9">
        <f>ROUND(Call_Table_Data[[#This Row],[Satisfaction Rating]],0)</f>
        <v>5</v>
      </c>
    </row>
    <row r="149" spans="1:11" x14ac:dyDescent="0.3">
      <c r="A149" s="9" t="s">
        <v>1775</v>
      </c>
      <c r="B149" s="9" t="s">
        <v>1620</v>
      </c>
      <c r="C149" s="9">
        <v>90</v>
      </c>
      <c r="D149" s="149" t="s">
        <v>1626</v>
      </c>
      <c r="E149" s="150">
        <v>44986</v>
      </c>
      <c r="F149" s="9">
        <v>170</v>
      </c>
      <c r="G149" s="9">
        <v>3.7</v>
      </c>
      <c r="H149" s="9">
        <f>IF(MONTH(Call_Table_Data[[#This Row],[Date of Call]])&lt;=6,YEAR(Call_Table_Data[[#This Row],[Date of Call]]),YEAR(Call_Table_Data[[#This Row],[Date of Call]])+1)</f>
        <v>2023</v>
      </c>
      <c r="I149" s="9" t="str">
        <f>TEXT(Call_Table_Data[[#This Row],[Date of Call]],"DDDD")</f>
        <v>Wednesday</v>
      </c>
      <c r="J149" s="9" t="str" cm="1">
        <f t="array" ref="J149">_xlfn.IFS(Call_Table_Data[[#This Row],[Duration]]&lt;=10,"Under 10 Mins",Call_Table_Data[[#This Row],[Duration]]&lt;=30,"10 to 30 Mins",Call_Table_Data[[#This Row],[Duration]]&lt;=60,"30 to 60 Mins",Call_Table_Data[[#This Row],[Duration]]&lt;=120,"1 to 2 Hours",TRUE,"More Than 2 Hours")</f>
        <v>1 to 2 Hours</v>
      </c>
      <c r="K149" s="9">
        <f>ROUND(Call_Table_Data[[#This Row],[Satisfaction Rating]],0)</f>
        <v>4</v>
      </c>
    </row>
    <row r="150" spans="1:11" x14ac:dyDescent="0.3">
      <c r="A150" s="9" t="s">
        <v>1776</v>
      </c>
      <c r="B150" s="9" t="s">
        <v>1644</v>
      </c>
      <c r="C150" s="9">
        <v>166</v>
      </c>
      <c r="D150" s="149" t="s">
        <v>1616</v>
      </c>
      <c r="E150" s="150">
        <v>44986</v>
      </c>
      <c r="F150" s="9">
        <v>36</v>
      </c>
      <c r="G150" s="9">
        <v>3.8</v>
      </c>
      <c r="H150" s="9">
        <f>IF(MONTH(Call_Table_Data[[#This Row],[Date of Call]])&lt;=6,YEAR(Call_Table_Data[[#This Row],[Date of Call]]),YEAR(Call_Table_Data[[#This Row],[Date of Call]])+1)</f>
        <v>2023</v>
      </c>
      <c r="I150" s="9" t="str">
        <f>TEXT(Call_Table_Data[[#This Row],[Date of Call]],"DDDD")</f>
        <v>Wednesday</v>
      </c>
      <c r="J150" s="9" t="str" cm="1">
        <f t="array" ref="J150">_xlfn.IFS(Call_Table_Data[[#This Row],[Duration]]&lt;=10,"Under 10 Mins",Call_Table_Data[[#This Row],[Duration]]&lt;=30,"10 to 30 Mins",Call_Table_Data[[#This Row],[Duration]]&lt;=60,"30 to 60 Mins",Call_Table_Data[[#This Row],[Duration]]&lt;=120,"1 to 2 Hours",TRUE,"More Than 2 Hours")</f>
        <v>More Than 2 Hours</v>
      </c>
      <c r="K150" s="9">
        <f>ROUND(Call_Table_Data[[#This Row],[Satisfaction Rating]],0)</f>
        <v>4</v>
      </c>
    </row>
    <row r="151" spans="1:11" x14ac:dyDescent="0.3">
      <c r="A151" s="9" t="s">
        <v>1777</v>
      </c>
      <c r="B151" s="9" t="s">
        <v>1635</v>
      </c>
      <c r="C151" s="9">
        <v>89</v>
      </c>
      <c r="D151" s="149" t="s">
        <v>1630</v>
      </c>
      <c r="E151" s="150">
        <v>44986</v>
      </c>
      <c r="F151" s="9">
        <v>126</v>
      </c>
      <c r="G151" s="9">
        <v>3.6</v>
      </c>
      <c r="H151" s="9">
        <f>IF(MONTH(Call_Table_Data[[#This Row],[Date of Call]])&lt;=6,YEAR(Call_Table_Data[[#This Row],[Date of Call]]),YEAR(Call_Table_Data[[#This Row],[Date of Call]])+1)</f>
        <v>2023</v>
      </c>
      <c r="I151" s="9" t="str">
        <f>TEXT(Call_Table_Data[[#This Row],[Date of Call]],"DDDD")</f>
        <v>Wednesday</v>
      </c>
      <c r="J151" s="9" t="str" cm="1">
        <f t="array" ref="J151">_xlfn.IFS(Call_Table_Data[[#This Row],[Duration]]&lt;=10,"Under 10 Mins",Call_Table_Data[[#This Row],[Duration]]&lt;=30,"10 to 30 Mins",Call_Table_Data[[#This Row],[Duration]]&lt;=60,"30 to 60 Mins",Call_Table_Data[[#This Row],[Duration]]&lt;=120,"1 to 2 Hours",TRUE,"More Than 2 Hours")</f>
        <v>1 to 2 Hours</v>
      </c>
      <c r="K151" s="9">
        <f>ROUND(Call_Table_Data[[#This Row],[Satisfaction Rating]],0)</f>
        <v>4</v>
      </c>
    </row>
    <row r="152" spans="1:11" x14ac:dyDescent="0.3">
      <c r="A152" s="9" t="s">
        <v>1778</v>
      </c>
      <c r="B152" s="9" t="s">
        <v>1649</v>
      </c>
      <c r="C152" s="9">
        <v>152</v>
      </c>
      <c r="D152" s="149" t="s">
        <v>1621</v>
      </c>
      <c r="E152" s="150">
        <v>44986</v>
      </c>
      <c r="F152" s="9">
        <v>215</v>
      </c>
      <c r="G152" s="9">
        <v>4.4000000000000004</v>
      </c>
      <c r="H152" s="9">
        <f>IF(MONTH(Call_Table_Data[[#This Row],[Date of Call]])&lt;=6,YEAR(Call_Table_Data[[#This Row],[Date of Call]]),YEAR(Call_Table_Data[[#This Row],[Date of Call]])+1)</f>
        <v>2023</v>
      </c>
      <c r="I152" s="9" t="str">
        <f>TEXT(Call_Table_Data[[#This Row],[Date of Call]],"DDDD")</f>
        <v>Wednesday</v>
      </c>
      <c r="J152" s="9" t="str" cm="1">
        <f t="array" ref="J152">_xlfn.IFS(Call_Table_Data[[#This Row],[Duration]]&lt;=10,"Under 10 Mins",Call_Table_Data[[#This Row],[Duration]]&lt;=30,"10 to 30 Mins",Call_Table_Data[[#This Row],[Duration]]&lt;=60,"30 to 60 Mins",Call_Table_Data[[#This Row],[Duration]]&lt;=120,"1 to 2 Hours",TRUE,"More Than 2 Hours")</f>
        <v>More Than 2 Hours</v>
      </c>
      <c r="K152" s="9">
        <f>ROUND(Call_Table_Data[[#This Row],[Satisfaction Rating]],0)</f>
        <v>4</v>
      </c>
    </row>
    <row r="153" spans="1:11" x14ac:dyDescent="0.3">
      <c r="A153" s="9" t="s">
        <v>1779</v>
      </c>
      <c r="B153" s="9" t="s">
        <v>1635</v>
      </c>
      <c r="C153" s="9">
        <v>137</v>
      </c>
      <c r="D153" s="149" t="s">
        <v>1626</v>
      </c>
      <c r="E153" s="150">
        <v>44986</v>
      </c>
      <c r="F153" s="9">
        <v>114</v>
      </c>
      <c r="G153" s="9">
        <v>3.2</v>
      </c>
      <c r="H153" s="9">
        <f>IF(MONTH(Call_Table_Data[[#This Row],[Date of Call]])&lt;=6,YEAR(Call_Table_Data[[#This Row],[Date of Call]]),YEAR(Call_Table_Data[[#This Row],[Date of Call]])+1)</f>
        <v>2023</v>
      </c>
      <c r="I153" s="9" t="str">
        <f>TEXT(Call_Table_Data[[#This Row],[Date of Call]],"DDDD")</f>
        <v>Wednesday</v>
      </c>
      <c r="J153" s="9" t="str" cm="1">
        <f t="array" ref="J153">_xlfn.IFS(Call_Table_Data[[#This Row],[Duration]]&lt;=10,"Under 10 Mins",Call_Table_Data[[#This Row],[Duration]]&lt;=30,"10 to 30 Mins",Call_Table_Data[[#This Row],[Duration]]&lt;=60,"30 to 60 Mins",Call_Table_Data[[#This Row],[Duration]]&lt;=120,"1 to 2 Hours",TRUE,"More Than 2 Hours")</f>
        <v>More Than 2 Hours</v>
      </c>
      <c r="K153" s="9">
        <f>ROUND(Call_Table_Data[[#This Row],[Satisfaction Rating]],0)</f>
        <v>3</v>
      </c>
    </row>
    <row r="154" spans="1:11" x14ac:dyDescent="0.3">
      <c r="A154" s="9" t="s">
        <v>1780</v>
      </c>
      <c r="B154" s="9" t="s">
        <v>1635</v>
      </c>
      <c r="C154" s="9">
        <v>43</v>
      </c>
      <c r="D154" s="149" t="s">
        <v>1626</v>
      </c>
      <c r="E154" s="150">
        <v>44986</v>
      </c>
      <c r="F154" s="9">
        <v>99</v>
      </c>
      <c r="G154" s="9">
        <v>4.7</v>
      </c>
      <c r="H154" s="9">
        <f>IF(MONTH(Call_Table_Data[[#This Row],[Date of Call]])&lt;=6,YEAR(Call_Table_Data[[#This Row],[Date of Call]]),YEAR(Call_Table_Data[[#This Row],[Date of Call]])+1)</f>
        <v>2023</v>
      </c>
      <c r="I154" s="9" t="str">
        <f>TEXT(Call_Table_Data[[#This Row],[Date of Call]],"DDDD")</f>
        <v>Wednesday</v>
      </c>
      <c r="J154" s="9" t="str" cm="1">
        <f t="array" ref="J154">_xlfn.IFS(Call_Table_Data[[#This Row],[Duration]]&lt;=10,"Under 10 Mins",Call_Table_Data[[#This Row],[Duration]]&lt;=30,"10 to 30 Mins",Call_Table_Data[[#This Row],[Duration]]&lt;=60,"30 to 60 Mins",Call_Table_Data[[#This Row],[Duration]]&lt;=120,"1 to 2 Hours",TRUE,"More Than 2 Hours")</f>
        <v>30 to 60 Mins</v>
      </c>
      <c r="K154" s="9">
        <f>ROUND(Call_Table_Data[[#This Row],[Satisfaction Rating]],0)</f>
        <v>5</v>
      </c>
    </row>
    <row r="155" spans="1:11" x14ac:dyDescent="0.3">
      <c r="A155" s="9" t="s">
        <v>1781</v>
      </c>
      <c r="B155" s="9" t="s">
        <v>1629</v>
      </c>
      <c r="C155" s="9">
        <v>114</v>
      </c>
      <c r="D155" s="149" t="s">
        <v>1626</v>
      </c>
      <c r="E155" s="150">
        <v>44987</v>
      </c>
      <c r="F155" s="9">
        <v>23</v>
      </c>
      <c r="G155" s="9">
        <v>4.8</v>
      </c>
      <c r="H155" s="9">
        <f>IF(MONTH(Call_Table_Data[[#This Row],[Date of Call]])&lt;=6,YEAR(Call_Table_Data[[#This Row],[Date of Call]]),YEAR(Call_Table_Data[[#This Row],[Date of Call]])+1)</f>
        <v>2023</v>
      </c>
      <c r="I155" s="9" t="str">
        <f>TEXT(Call_Table_Data[[#This Row],[Date of Call]],"DDDD")</f>
        <v>Thursday</v>
      </c>
      <c r="J155" s="9" t="str" cm="1">
        <f t="array" ref="J155">_xlfn.IFS(Call_Table_Data[[#This Row],[Duration]]&lt;=10,"Under 10 Mins",Call_Table_Data[[#This Row],[Duration]]&lt;=30,"10 to 30 Mins",Call_Table_Data[[#This Row],[Duration]]&lt;=60,"30 to 60 Mins",Call_Table_Data[[#This Row],[Duration]]&lt;=120,"1 to 2 Hours",TRUE,"More Than 2 Hours")</f>
        <v>1 to 2 Hours</v>
      </c>
      <c r="K155" s="9">
        <f>ROUND(Call_Table_Data[[#This Row],[Satisfaction Rating]],0)</f>
        <v>5</v>
      </c>
    </row>
    <row r="156" spans="1:11" x14ac:dyDescent="0.3">
      <c r="A156" s="9" t="s">
        <v>1782</v>
      </c>
      <c r="B156" s="9" t="s">
        <v>1618</v>
      </c>
      <c r="C156" s="9">
        <v>103</v>
      </c>
      <c r="D156" s="149" t="s">
        <v>1630</v>
      </c>
      <c r="E156" s="150">
        <v>44987</v>
      </c>
      <c r="F156" s="9">
        <v>75</v>
      </c>
      <c r="G156" s="9">
        <v>2.7</v>
      </c>
      <c r="H156" s="9">
        <f>IF(MONTH(Call_Table_Data[[#This Row],[Date of Call]])&lt;=6,YEAR(Call_Table_Data[[#This Row],[Date of Call]]),YEAR(Call_Table_Data[[#This Row],[Date of Call]])+1)</f>
        <v>2023</v>
      </c>
      <c r="I156" s="9" t="str">
        <f>TEXT(Call_Table_Data[[#This Row],[Date of Call]],"DDDD")</f>
        <v>Thursday</v>
      </c>
      <c r="J156" s="9" t="str" cm="1">
        <f t="array" ref="J156">_xlfn.IFS(Call_Table_Data[[#This Row],[Duration]]&lt;=10,"Under 10 Mins",Call_Table_Data[[#This Row],[Duration]]&lt;=30,"10 to 30 Mins",Call_Table_Data[[#This Row],[Duration]]&lt;=60,"30 to 60 Mins",Call_Table_Data[[#This Row],[Duration]]&lt;=120,"1 to 2 Hours",TRUE,"More Than 2 Hours")</f>
        <v>1 to 2 Hours</v>
      </c>
      <c r="K156" s="9">
        <f>ROUND(Call_Table_Data[[#This Row],[Satisfaction Rating]],0)</f>
        <v>3</v>
      </c>
    </row>
    <row r="157" spans="1:11" x14ac:dyDescent="0.3">
      <c r="A157" s="9" t="s">
        <v>1783</v>
      </c>
      <c r="B157" s="9" t="s">
        <v>1635</v>
      </c>
      <c r="C157" s="9">
        <v>98</v>
      </c>
      <c r="D157" s="149" t="s">
        <v>1621</v>
      </c>
      <c r="E157" s="150">
        <v>44987</v>
      </c>
      <c r="F157" s="9">
        <v>100</v>
      </c>
      <c r="G157" s="9">
        <v>3.8</v>
      </c>
      <c r="H157" s="9">
        <f>IF(MONTH(Call_Table_Data[[#This Row],[Date of Call]])&lt;=6,YEAR(Call_Table_Data[[#This Row],[Date of Call]]),YEAR(Call_Table_Data[[#This Row],[Date of Call]])+1)</f>
        <v>2023</v>
      </c>
      <c r="I157" s="9" t="str">
        <f>TEXT(Call_Table_Data[[#This Row],[Date of Call]],"DDDD")</f>
        <v>Thursday</v>
      </c>
      <c r="J157" s="9" t="str" cm="1">
        <f t="array" ref="J157">_xlfn.IFS(Call_Table_Data[[#This Row],[Duration]]&lt;=10,"Under 10 Mins",Call_Table_Data[[#This Row],[Duration]]&lt;=30,"10 to 30 Mins",Call_Table_Data[[#This Row],[Duration]]&lt;=60,"30 to 60 Mins",Call_Table_Data[[#This Row],[Duration]]&lt;=120,"1 to 2 Hours",TRUE,"More Than 2 Hours")</f>
        <v>1 to 2 Hours</v>
      </c>
      <c r="K157" s="9">
        <f>ROUND(Call_Table_Data[[#This Row],[Satisfaction Rating]],0)</f>
        <v>4</v>
      </c>
    </row>
    <row r="158" spans="1:11" x14ac:dyDescent="0.3">
      <c r="A158" s="9" t="s">
        <v>1784</v>
      </c>
      <c r="B158" s="9" t="s">
        <v>1644</v>
      </c>
      <c r="C158" s="9">
        <v>106</v>
      </c>
      <c r="D158" s="149" t="s">
        <v>1616</v>
      </c>
      <c r="E158" s="150">
        <v>44987</v>
      </c>
      <c r="F158" s="9">
        <v>108</v>
      </c>
      <c r="G158" s="9">
        <v>4.3</v>
      </c>
      <c r="H158" s="9">
        <f>IF(MONTH(Call_Table_Data[[#This Row],[Date of Call]])&lt;=6,YEAR(Call_Table_Data[[#This Row],[Date of Call]]),YEAR(Call_Table_Data[[#This Row],[Date of Call]])+1)</f>
        <v>2023</v>
      </c>
      <c r="I158" s="9" t="str">
        <f>TEXT(Call_Table_Data[[#This Row],[Date of Call]],"DDDD")</f>
        <v>Thursday</v>
      </c>
      <c r="J158" s="9" t="str" cm="1">
        <f t="array" ref="J158">_xlfn.IFS(Call_Table_Data[[#This Row],[Duration]]&lt;=10,"Under 10 Mins",Call_Table_Data[[#This Row],[Duration]]&lt;=30,"10 to 30 Mins",Call_Table_Data[[#This Row],[Duration]]&lt;=60,"30 to 60 Mins",Call_Table_Data[[#This Row],[Duration]]&lt;=120,"1 to 2 Hours",TRUE,"More Than 2 Hours")</f>
        <v>1 to 2 Hours</v>
      </c>
      <c r="K158" s="9">
        <f>ROUND(Call_Table_Data[[#This Row],[Satisfaction Rating]],0)</f>
        <v>4</v>
      </c>
    </row>
    <row r="159" spans="1:11" x14ac:dyDescent="0.3">
      <c r="A159" s="9" t="s">
        <v>1785</v>
      </c>
      <c r="B159" s="9" t="s">
        <v>1613</v>
      </c>
      <c r="C159" s="9">
        <v>96</v>
      </c>
      <c r="D159" s="149" t="s">
        <v>1616</v>
      </c>
      <c r="E159" s="150">
        <v>44987</v>
      </c>
      <c r="F159" s="9">
        <v>108</v>
      </c>
      <c r="G159" s="9">
        <v>5</v>
      </c>
      <c r="H159" s="9">
        <f>IF(MONTH(Call_Table_Data[[#This Row],[Date of Call]])&lt;=6,YEAR(Call_Table_Data[[#This Row],[Date of Call]]),YEAR(Call_Table_Data[[#This Row],[Date of Call]])+1)</f>
        <v>2023</v>
      </c>
      <c r="I159" s="9" t="str">
        <f>TEXT(Call_Table_Data[[#This Row],[Date of Call]],"DDDD")</f>
        <v>Thursday</v>
      </c>
      <c r="J159" s="9" t="str" cm="1">
        <f t="array" ref="J159">_xlfn.IFS(Call_Table_Data[[#This Row],[Duration]]&lt;=10,"Under 10 Mins",Call_Table_Data[[#This Row],[Duration]]&lt;=30,"10 to 30 Mins",Call_Table_Data[[#This Row],[Duration]]&lt;=60,"30 to 60 Mins",Call_Table_Data[[#This Row],[Duration]]&lt;=120,"1 to 2 Hours",TRUE,"More Than 2 Hours")</f>
        <v>1 to 2 Hours</v>
      </c>
      <c r="K159" s="9">
        <f>ROUND(Call_Table_Data[[#This Row],[Satisfaction Rating]],0)</f>
        <v>5</v>
      </c>
    </row>
    <row r="160" spans="1:11" x14ac:dyDescent="0.3">
      <c r="A160" s="9" t="s">
        <v>1786</v>
      </c>
      <c r="B160" s="9" t="s">
        <v>1618</v>
      </c>
      <c r="C160" s="9">
        <v>70</v>
      </c>
      <c r="D160" s="149" t="s">
        <v>1616</v>
      </c>
      <c r="E160" s="150">
        <v>44987</v>
      </c>
      <c r="F160" s="9">
        <v>28</v>
      </c>
      <c r="G160" s="9">
        <v>4.8</v>
      </c>
      <c r="H160" s="9">
        <f>IF(MONTH(Call_Table_Data[[#This Row],[Date of Call]])&lt;=6,YEAR(Call_Table_Data[[#This Row],[Date of Call]]),YEAR(Call_Table_Data[[#This Row],[Date of Call]])+1)</f>
        <v>2023</v>
      </c>
      <c r="I160" s="9" t="str">
        <f>TEXT(Call_Table_Data[[#This Row],[Date of Call]],"DDDD")</f>
        <v>Thursday</v>
      </c>
      <c r="J160" s="9" t="str" cm="1">
        <f t="array" ref="J160">_xlfn.IFS(Call_Table_Data[[#This Row],[Duration]]&lt;=10,"Under 10 Mins",Call_Table_Data[[#This Row],[Duration]]&lt;=30,"10 to 30 Mins",Call_Table_Data[[#This Row],[Duration]]&lt;=60,"30 to 60 Mins",Call_Table_Data[[#This Row],[Duration]]&lt;=120,"1 to 2 Hours",TRUE,"More Than 2 Hours")</f>
        <v>1 to 2 Hours</v>
      </c>
      <c r="K160" s="9">
        <f>ROUND(Call_Table_Data[[#This Row],[Satisfaction Rating]],0)</f>
        <v>5</v>
      </c>
    </row>
    <row r="161" spans="1:11" x14ac:dyDescent="0.3">
      <c r="A161" s="9" t="s">
        <v>1787</v>
      </c>
      <c r="B161" s="9" t="s">
        <v>1641</v>
      </c>
      <c r="C161" s="9">
        <v>86</v>
      </c>
      <c r="D161" s="149" t="s">
        <v>1611</v>
      </c>
      <c r="E161" s="150">
        <v>44988</v>
      </c>
      <c r="F161" s="9">
        <v>70</v>
      </c>
      <c r="G161" s="9">
        <v>4.9000000000000004</v>
      </c>
      <c r="H161" s="9">
        <f>IF(MONTH(Call_Table_Data[[#This Row],[Date of Call]])&lt;=6,YEAR(Call_Table_Data[[#This Row],[Date of Call]]),YEAR(Call_Table_Data[[#This Row],[Date of Call]])+1)</f>
        <v>2023</v>
      </c>
      <c r="I161" s="9" t="str">
        <f>TEXT(Call_Table_Data[[#This Row],[Date of Call]],"DDDD")</f>
        <v>Friday</v>
      </c>
      <c r="J161" s="9" t="str" cm="1">
        <f t="array" ref="J161">_xlfn.IFS(Call_Table_Data[[#This Row],[Duration]]&lt;=10,"Under 10 Mins",Call_Table_Data[[#This Row],[Duration]]&lt;=30,"10 to 30 Mins",Call_Table_Data[[#This Row],[Duration]]&lt;=60,"30 to 60 Mins",Call_Table_Data[[#This Row],[Duration]]&lt;=120,"1 to 2 Hours",TRUE,"More Than 2 Hours")</f>
        <v>1 to 2 Hours</v>
      </c>
      <c r="K161" s="9">
        <f>ROUND(Call_Table_Data[[#This Row],[Satisfaction Rating]],0)</f>
        <v>5</v>
      </c>
    </row>
    <row r="162" spans="1:11" x14ac:dyDescent="0.3">
      <c r="A162" s="9" t="s">
        <v>1788</v>
      </c>
      <c r="B162" s="9" t="s">
        <v>1615</v>
      </c>
      <c r="C162" s="9">
        <v>64</v>
      </c>
      <c r="D162" s="149" t="s">
        <v>1611</v>
      </c>
      <c r="E162" s="150">
        <v>44988</v>
      </c>
      <c r="F162" s="9">
        <v>172</v>
      </c>
      <c r="G162" s="9">
        <v>4.0999999999999996</v>
      </c>
      <c r="H162" s="9">
        <f>IF(MONTH(Call_Table_Data[[#This Row],[Date of Call]])&lt;=6,YEAR(Call_Table_Data[[#This Row],[Date of Call]]),YEAR(Call_Table_Data[[#This Row],[Date of Call]])+1)</f>
        <v>2023</v>
      </c>
      <c r="I162" s="9" t="str">
        <f>TEXT(Call_Table_Data[[#This Row],[Date of Call]],"DDDD")</f>
        <v>Friday</v>
      </c>
      <c r="J162" s="9" t="str" cm="1">
        <f t="array" ref="J162">_xlfn.IFS(Call_Table_Data[[#This Row],[Duration]]&lt;=10,"Under 10 Mins",Call_Table_Data[[#This Row],[Duration]]&lt;=30,"10 to 30 Mins",Call_Table_Data[[#This Row],[Duration]]&lt;=60,"30 to 60 Mins",Call_Table_Data[[#This Row],[Duration]]&lt;=120,"1 to 2 Hours",TRUE,"More Than 2 Hours")</f>
        <v>1 to 2 Hours</v>
      </c>
      <c r="K162" s="9">
        <f>ROUND(Call_Table_Data[[#This Row],[Satisfaction Rating]],0)</f>
        <v>4</v>
      </c>
    </row>
    <row r="163" spans="1:11" x14ac:dyDescent="0.3">
      <c r="A163" s="9" t="s">
        <v>1789</v>
      </c>
      <c r="B163" s="9" t="s">
        <v>1613</v>
      </c>
      <c r="C163" s="9">
        <v>113</v>
      </c>
      <c r="D163" s="149" t="s">
        <v>1621</v>
      </c>
      <c r="E163" s="150">
        <v>44988</v>
      </c>
      <c r="F163" s="9">
        <v>123</v>
      </c>
      <c r="G163" s="9">
        <v>4.4000000000000004</v>
      </c>
      <c r="H163" s="9">
        <f>IF(MONTH(Call_Table_Data[[#This Row],[Date of Call]])&lt;=6,YEAR(Call_Table_Data[[#This Row],[Date of Call]]),YEAR(Call_Table_Data[[#This Row],[Date of Call]])+1)</f>
        <v>2023</v>
      </c>
      <c r="I163" s="9" t="str">
        <f>TEXT(Call_Table_Data[[#This Row],[Date of Call]],"DDDD")</f>
        <v>Friday</v>
      </c>
      <c r="J163" s="9" t="str" cm="1">
        <f t="array" ref="J163">_xlfn.IFS(Call_Table_Data[[#This Row],[Duration]]&lt;=10,"Under 10 Mins",Call_Table_Data[[#This Row],[Duration]]&lt;=30,"10 to 30 Mins",Call_Table_Data[[#This Row],[Duration]]&lt;=60,"30 to 60 Mins",Call_Table_Data[[#This Row],[Duration]]&lt;=120,"1 to 2 Hours",TRUE,"More Than 2 Hours")</f>
        <v>1 to 2 Hours</v>
      </c>
      <c r="K163" s="9">
        <f>ROUND(Call_Table_Data[[#This Row],[Satisfaction Rating]],0)</f>
        <v>4</v>
      </c>
    </row>
    <row r="164" spans="1:11" x14ac:dyDescent="0.3">
      <c r="A164" s="9" t="s">
        <v>1790</v>
      </c>
      <c r="B164" s="9" t="s">
        <v>1613</v>
      </c>
      <c r="C164" s="9">
        <v>21</v>
      </c>
      <c r="D164" s="149" t="s">
        <v>1616</v>
      </c>
      <c r="E164" s="150">
        <v>44988</v>
      </c>
      <c r="F164" s="9">
        <v>93</v>
      </c>
      <c r="G164" s="9">
        <v>3.4</v>
      </c>
      <c r="H164" s="9">
        <f>IF(MONTH(Call_Table_Data[[#This Row],[Date of Call]])&lt;=6,YEAR(Call_Table_Data[[#This Row],[Date of Call]]),YEAR(Call_Table_Data[[#This Row],[Date of Call]])+1)</f>
        <v>2023</v>
      </c>
      <c r="I164" s="9" t="str">
        <f>TEXT(Call_Table_Data[[#This Row],[Date of Call]],"DDDD")</f>
        <v>Friday</v>
      </c>
      <c r="J164" s="9" t="str" cm="1">
        <f t="array" ref="J164">_xlfn.IFS(Call_Table_Data[[#This Row],[Duration]]&lt;=10,"Under 10 Mins",Call_Table_Data[[#This Row],[Duration]]&lt;=30,"10 to 30 Mins",Call_Table_Data[[#This Row],[Duration]]&lt;=60,"30 to 60 Mins",Call_Table_Data[[#This Row],[Duration]]&lt;=120,"1 to 2 Hours",TRUE,"More Than 2 Hours")</f>
        <v>10 to 30 Mins</v>
      </c>
      <c r="K164" s="9">
        <f>ROUND(Call_Table_Data[[#This Row],[Satisfaction Rating]],0)</f>
        <v>3</v>
      </c>
    </row>
    <row r="165" spans="1:11" x14ac:dyDescent="0.3">
      <c r="A165" s="9" t="s">
        <v>1791</v>
      </c>
      <c r="B165" s="9" t="s">
        <v>1652</v>
      </c>
      <c r="C165" s="9">
        <v>107</v>
      </c>
      <c r="D165" s="149" t="s">
        <v>1611</v>
      </c>
      <c r="E165" s="150">
        <v>44988</v>
      </c>
      <c r="F165" s="9">
        <v>66</v>
      </c>
      <c r="G165" s="9">
        <v>4</v>
      </c>
      <c r="H165" s="9">
        <f>IF(MONTH(Call_Table_Data[[#This Row],[Date of Call]])&lt;=6,YEAR(Call_Table_Data[[#This Row],[Date of Call]]),YEAR(Call_Table_Data[[#This Row],[Date of Call]])+1)</f>
        <v>2023</v>
      </c>
      <c r="I165" s="9" t="str">
        <f>TEXT(Call_Table_Data[[#This Row],[Date of Call]],"DDDD")</f>
        <v>Friday</v>
      </c>
      <c r="J165" s="9" t="str" cm="1">
        <f t="array" ref="J165">_xlfn.IFS(Call_Table_Data[[#This Row],[Duration]]&lt;=10,"Under 10 Mins",Call_Table_Data[[#This Row],[Duration]]&lt;=30,"10 to 30 Mins",Call_Table_Data[[#This Row],[Duration]]&lt;=60,"30 to 60 Mins",Call_Table_Data[[#This Row],[Duration]]&lt;=120,"1 to 2 Hours",TRUE,"More Than 2 Hours")</f>
        <v>1 to 2 Hours</v>
      </c>
      <c r="K165" s="9">
        <f>ROUND(Call_Table_Data[[#This Row],[Satisfaction Rating]],0)</f>
        <v>4</v>
      </c>
    </row>
    <row r="166" spans="1:11" x14ac:dyDescent="0.3">
      <c r="A166" s="9" t="s">
        <v>1792</v>
      </c>
      <c r="B166" s="9" t="s">
        <v>1652</v>
      </c>
      <c r="C166" s="9">
        <v>131</v>
      </c>
      <c r="D166" s="149" t="s">
        <v>1616</v>
      </c>
      <c r="E166" s="150">
        <v>44988</v>
      </c>
      <c r="F166" s="9">
        <v>39</v>
      </c>
      <c r="G166" s="9">
        <v>2.4</v>
      </c>
      <c r="H166" s="9">
        <f>IF(MONTH(Call_Table_Data[[#This Row],[Date of Call]])&lt;=6,YEAR(Call_Table_Data[[#This Row],[Date of Call]]),YEAR(Call_Table_Data[[#This Row],[Date of Call]])+1)</f>
        <v>2023</v>
      </c>
      <c r="I166" s="9" t="str">
        <f>TEXT(Call_Table_Data[[#This Row],[Date of Call]],"DDDD")</f>
        <v>Friday</v>
      </c>
      <c r="J166" s="9" t="str" cm="1">
        <f t="array" ref="J166">_xlfn.IFS(Call_Table_Data[[#This Row],[Duration]]&lt;=10,"Under 10 Mins",Call_Table_Data[[#This Row],[Duration]]&lt;=30,"10 to 30 Mins",Call_Table_Data[[#This Row],[Duration]]&lt;=60,"30 to 60 Mins",Call_Table_Data[[#This Row],[Duration]]&lt;=120,"1 to 2 Hours",TRUE,"More Than 2 Hours")</f>
        <v>More Than 2 Hours</v>
      </c>
      <c r="K166" s="9">
        <f>ROUND(Call_Table_Data[[#This Row],[Satisfaction Rating]],0)</f>
        <v>2</v>
      </c>
    </row>
    <row r="167" spans="1:11" x14ac:dyDescent="0.3">
      <c r="A167" s="9" t="s">
        <v>1793</v>
      </c>
      <c r="B167" s="9" t="s">
        <v>1610</v>
      </c>
      <c r="C167" s="9">
        <v>11</v>
      </c>
      <c r="D167" s="149" t="s">
        <v>1630</v>
      </c>
      <c r="E167" s="150">
        <v>44988</v>
      </c>
      <c r="F167" s="9">
        <v>25</v>
      </c>
      <c r="G167" s="9">
        <v>2.1</v>
      </c>
      <c r="H167" s="9">
        <f>IF(MONTH(Call_Table_Data[[#This Row],[Date of Call]])&lt;=6,YEAR(Call_Table_Data[[#This Row],[Date of Call]]),YEAR(Call_Table_Data[[#This Row],[Date of Call]])+1)</f>
        <v>2023</v>
      </c>
      <c r="I167" s="9" t="str">
        <f>TEXT(Call_Table_Data[[#This Row],[Date of Call]],"DDDD")</f>
        <v>Friday</v>
      </c>
      <c r="J167" s="9" t="str" cm="1">
        <f t="array" ref="J167">_xlfn.IFS(Call_Table_Data[[#This Row],[Duration]]&lt;=10,"Under 10 Mins",Call_Table_Data[[#This Row],[Duration]]&lt;=30,"10 to 30 Mins",Call_Table_Data[[#This Row],[Duration]]&lt;=60,"30 to 60 Mins",Call_Table_Data[[#This Row],[Duration]]&lt;=120,"1 to 2 Hours",TRUE,"More Than 2 Hours")</f>
        <v>10 to 30 Mins</v>
      </c>
      <c r="K167" s="9">
        <f>ROUND(Call_Table_Data[[#This Row],[Satisfaction Rating]],0)</f>
        <v>2</v>
      </c>
    </row>
    <row r="168" spans="1:11" x14ac:dyDescent="0.3">
      <c r="A168" s="9" t="s">
        <v>1794</v>
      </c>
      <c r="B168" s="9" t="s">
        <v>1662</v>
      </c>
      <c r="C168" s="9">
        <v>86</v>
      </c>
      <c r="D168" s="149" t="s">
        <v>1621</v>
      </c>
      <c r="E168" s="150">
        <v>44988</v>
      </c>
      <c r="F168" s="9">
        <v>68</v>
      </c>
      <c r="G168" s="9">
        <v>3</v>
      </c>
      <c r="H168" s="9">
        <f>IF(MONTH(Call_Table_Data[[#This Row],[Date of Call]])&lt;=6,YEAR(Call_Table_Data[[#This Row],[Date of Call]]),YEAR(Call_Table_Data[[#This Row],[Date of Call]])+1)</f>
        <v>2023</v>
      </c>
      <c r="I168" s="9" t="str">
        <f>TEXT(Call_Table_Data[[#This Row],[Date of Call]],"DDDD")</f>
        <v>Friday</v>
      </c>
      <c r="J168" s="9" t="str" cm="1">
        <f t="array" ref="J168">_xlfn.IFS(Call_Table_Data[[#This Row],[Duration]]&lt;=10,"Under 10 Mins",Call_Table_Data[[#This Row],[Duration]]&lt;=30,"10 to 30 Mins",Call_Table_Data[[#This Row],[Duration]]&lt;=60,"30 to 60 Mins",Call_Table_Data[[#This Row],[Duration]]&lt;=120,"1 to 2 Hours",TRUE,"More Than 2 Hours")</f>
        <v>1 to 2 Hours</v>
      </c>
      <c r="K168" s="9">
        <f>ROUND(Call_Table_Data[[#This Row],[Satisfaction Rating]],0)</f>
        <v>3</v>
      </c>
    </row>
    <row r="169" spans="1:11" x14ac:dyDescent="0.3">
      <c r="A169" s="9" t="s">
        <v>1795</v>
      </c>
      <c r="B169" s="9" t="s">
        <v>1615</v>
      </c>
      <c r="C169" s="9">
        <v>28</v>
      </c>
      <c r="D169" s="149" t="s">
        <v>1630</v>
      </c>
      <c r="E169" s="150">
        <v>44988</v>
      </c>
      <c r="F169" s="9">
        <v>84</v>
      </c>
      <c r="G169" s="9">
        <v>3.2</v>
      </c>
      <c r="H169" s="9">
        <f>IF(MONTH(Call_Table_Data[[#This Row],[Date of Call]])&lt;=6,YEAR(Call_Table_Data[[#This Row],[Date of Call]]),YEAR(Call_Table_Data[[#This Row],[Date of Call]])+1)</f>
        <v>2023</v>
      </c>
      <c r="I169" s="9" t="str">
        <f>TEXT(Call_Table_Data[[#This Row],[Date of Call]],"DDDD")</f>
        <v>Friday</v>
      </c>
      <c r="J169" s="9" t="str" cm="1">
        <f t="array" ref="J169">_xlfn.IFS(Call_Table_Data[[#This Row],[Duration]]&lt;=10,"Under 10 Mins",Call_Table_Data[[#This Row],[Duration]]&lt;=30,"10 to 30 Mins",Call_Table_Data[[#This Row],[Duration]]&lt;=60,"30 to 60 Mins",Call_Table_Data[[#This Row],[Duration]]&lt;=120,"1 to 2 Hours",TRUE,"More Than 2 Hours")</f>
        <v>10 to 30 Mins</v>
      </c>
      <c r="K169" s="9">
        <f>ROUND(Call_Table_Data[[#This Row],[Satisfaction Rating]],0)</f>
        <v>3</v>
      </c>
    </row>
    <row r="170" spans="1:11" x14ac:dyDescent="0.3">
      <c r="A170" s="9" t="s">
        <v>1796</v>
      </c>
      <c r="B170" s="9" t="s">
        <v>1620</v>
      </c>
      <c r="C170" s="9">
        <v>139</v>
      </c>
      <c r="D170" s="149" t="s">
        <v>1616</v>
      </c>
      <c r="E170" s="150">
        <v>44989</v>
      </c>
      <c r="F170" s="9">
        <v>88</v>
      </c>
      <c r="G170" s="9">
        <v>3.4</v>
      </c>
      <c r="H170" s="9">
        <f>IF(MONTH(Call_Table_Data[[#This Row],[Date of Call]])&lt;=6,YEAR(Call_Table_Data[[#This Row],[Date of Call]]),YEAR(Call_Table_Data[[#This Row],[Date of Call]])+1)</f>
        <v>2023</v>
      </c>
      <c r="I170" s="9" t="str">
        <f>TEXT(Call_Table_Data[[#This Row],[Date of Call]],"DDDD")</f>
        <v>Saturday</v>
      </c>
      <c r="J170" s="9" t="str" cm="1">
        <f t="array" ref="J170">_xlfn.IFS(Call_Table_Data[[#This Row],[Duration]]&lt;=10,"Under 10 Mins",Call_Table_Data[[#This Row],[Duration]]&lt;=30,"10 to 30 Mins",Call_Table_Data[[#This Row],[Duration]]&lt;=60,"30 to 60 Mins",Call_Table_Data[[#This Row],[Duration]]&lt;=120,"1 to 2 Hours",TRUE,"More Than 2 Hours")</f>
        <v>More Than 2 Hours</v>
      </c>
      <c r="K170" s="9">
        <f>ROUND(Call_Table_Data[[#This Row],[Satisfaction Rating]],0)</f>
        <v>3</v>
      </c>
    </row>
    <row r="171" spans="1:11" x14ac:dyDescent="0.3">
      <c r="A171" s="9" t="s">
        <v>1797</v>
      </c>
      <c r="B171" s="9" t="s">
        <v>1644</v>
      </c>
      <c r="C171" s="9">
        <v>82</v>
      </c>
      <c r="D171" s="149" t="s">
        <v>1621</v>
      </c>
      <c r="E171" s="150">
        <v>44989</v>
      </c>
      <c r="F171" s="9">
        <v>93</v>
      </c>
      <c r="G171" s="9">
        <v>2.7</v>
      </c>
      <c r="H171" s="9">
        <f>IF(MONTH(Call_Table_Data[[#This Row],[Date of Call]])&lt;=6,YEAR(Call_Table_Data[[#This Row],[Date of Call]]),YEAR(Call_Table_Data[[#This Row],[Date of Call]])+1)</f>
        <v>2023</v>
      </c>
      <c r="I171" s="9" t="str">
        <f>TEXT(Call_Table_Data[[#This Row],[Date of Call]],"DDDD")</f>
        <v>Saturday</v>
      </c>
      <c r="J171" s="9" t="str" cm="1">
        <f t="array" ref="J171">_xlfn.IFS(Call_Table_Data[[#This Row],[Duration]]&lt;=10,"Under 10 Mins",Call_Table_Data[[#This Row],[Duration]]&lt;=30,"10 to 30 Mins",Call_Table_Data[[#This Row],[Duration]]&lt;=60,"30 to 60 Mins",Call_Table_Data[[#This Row],[Duration]]&lt;=120,"1 to 2 Hours",TRUE,"More Than 2 Hours")</f>
        <v>1 to 2 Hours</v>
      </c>
      <c r="K171" s="9">
        <f>ROUND(Call_Table_Data[[#This Row],[Satisfaction Rating]],0)</f>
        <v>3</v>
      </c>
    </row>
    <row r="172" spans="1:11" x14ac:dyDescent="0.3">
      <c r="A172" s="9" t="s">
        <v>1798</v>
      </c>
      <c r="B172" s="9" t="s">
        <v>1613</v>
      </c>
      <c r="C172" s="9">
        <v>101</v>
      </c>
      <c r="D172" s="149" t="s">
        <v>1630</v>
      </c>
      <c r="E172" s="150">
        <v>44989</v>
      </c>
      <c r="F172" s="9">
        <v>128</v>
      </c>
      <c r="G172" s="9">
        <v>5</v>
      </c>
      <c r="H172" s="9">
        <f>IF(MONTH(Call_Table_Data[[#This Row],[Date of Call]])&lt;=6,YEAR(Call_Table_Data[[#This Row],[Date of Call]]),YEAR(Call_Table_Data[[#This Row],[Date of Call]])+1)</f>
        <v>2023</v>
      </c>
      <c r="I172" s="9" t="str">
        <f>TEXT(Call_Table_Data[[#This Row],[Date of Call]],"DDDD")</f>
        <v>Saturday</v>
      </c>
      <c r="J172" s="9" t="str" cm="1">
        <f t="array" ref="J172">_xlfn.IFS(Call_Table_Data[[#This Row],[Duration]]&lt;=10,"Under 10 Mins",Call_Table_Data[[#This Row],[Duration]]&lt;=30,"10 to 30 Mins",Call_Table_Data[[#This Row],[Duration]]&lt;=60,"30 to 60 Mins",Call_Table_Data[[#This Row],[Duration]]&lt;=120,"1 to 2 Hours",TRUE,"More Than 2 Hours")</f>
        <v>1 to 2 Hours</v>
      </c>
      <c r="K172" s="9">
        <f>ROUND(Call_Table_Data[[#This Row],[Satisfaction Rating]],0)</f>
        <v>5</v>
      </c>
    </row>
    <row r="173" spans="1:11" x14ac:dyDescent="0.3">
      <c r="A173" s="9" t="s">
        <v>1799</v>
      </c>
      <c r="B173" s="9" t="s">
        <v>1615</v>
      </c>
      <c r="C173" s="9">
        <v>75</v>
      </c>
      <c r="D173" s="149" t="s">
        <v>1626</v>
      </c>
      <c r="E173" s="150">
        <v>44989</v>
      </c>
      <c r="F173" s="9">
        <v>40</v>
      </c>
      <c r="G173" s="9">
        <v>3.4</v>
      </c>
      <c r="H173" s="9">
        <f>IF(MONTH(Call_Table_Data[[#This Row],[Date of Call]])&lt;=6,YEAR(Call_Table_Data[[#This Row],[Date of Call]]),YEAR(Call_Table_Data[[#This Row],[Date of Call]])+1)</f>
        <v>2023</v>
      </c>
      <c r="I173" s="9" t="str">
        <f>TEXT(Call_Table_Data[[#This Row],[Date of Call]],"DDDD")</f>
        <v>Saturday</v>
      </c>
      <c r="J173" s="9" t="str" cm="1">
        <f t="array" ref="J173">_xlfn.IFS(Call_Table_Data[[#This Row],[Duration]]&lt;=10,"Under 10 Mins",Call_Table_Data[[#This Row],[Duration]]&lt;=30,"10 to 30 Mins",Call_Table_Data[[#This Row],[Duration]]&lt;=60,"30 to 60 Mins",Call_Table_Data[[#This Row],[Duration]]&lt;=120,"1 to 2 Hours",TRUE,"More Than 2 Hours")</f>
        <v>1 to 2 Hours</v>
      </c>
      <c r="K173" s="9">
        <f>ROUND(Call_Table_Data[[#This Row],[Satisfaction Rating]],0)</f>
        <v>3</v>
      </c>
    </row>
    <row r="174" spans="1:11" x14ac:dyDescent="0.3">
      <c r="A174" s="9" t="s">
        <v>1800</v>
      </c>
      <c r="B174" s="9" t="s">
        <v>1629</v>
      </c>
      <c r="C174" s="9">
        <v>40</v>
      </c>
      <c r="D174" s="149" t="s">
        <v>1630</v>
      </c>
      <c r="E174" s="150">
        <v>44990</v>
      </c>
      <c r="F174" s="9">
        <v>92</v>
      </c>
      <c r="G174" s="9">
        <v>4.7</v>
      </c>
      <c r="H174" s="9">
        <f>IF(MONTH(Call_Table_Data[[#This Row],[Date of Call]])&lt;=6,YEAR(Call_Table_Data[[#This Row],[Date of Call]]),YEAR(Call_Table_Data[[#This Row],[Date of Call]])+1)</f>
        <v>2023</v>
      </c>
      <c r="I174" s="9" t="str">
        <f>TEXT(Call_Table_Data[[#This Row],[Date of Call]],"DDDD")</f>
        <v>Sunday</v>
      </c>
      <c r="J174" s="9" t="str" cm="1">
        <f t="array" ref="J174">_xlfn.IFS(Call_Table_Data[[#This Row],[Duration]]&lt;=10,"Under 10 Mins",Call_Table_Data[[#This Row],[Duration]]&lt;=30,"10 to 30 Mins",Call_Table_Data[[#This Row],[Duration]]&lt;=60,"30 to 60 Mins",Call_Table_Data[[#This Row],[Duration]]&lt;=120,"1 to 2 Hours",TRUE,"More Than 2 Hours")</f>
        <v>30 to 60 Mins</v>
      </c>
      <c r="K174" s="9">
        <f>ROUND(Call_Table_Data[[#This Row],[Satisfaction Rating]],0)</f>
        <v>5</v>
      </c>
    </row>
    <row r="175" spans="1:11" x14ac:dyDescent="0.3">
      <c r="A175" s="9" t="s">
        <v>1801</v>
      </c>
      <c r="B175" s="9" t="s">
        <v>1635</v>
      </c>
      <c r="C175" s="9">
        <v>86</v>
      </c>
      <c r="D175" s="149" t="s">
        <v>1616</v>
      </c>
      <c r="E175" s="150">
        <v>44990</v>
      </c>
      <c r="F175" s="9">
        <v>27</v>
      </c>
      <c r="G175" s="9">
        <v>4.5</v>
      </c>
      <c r="H175" s="9">
        <f>IF(MONTH(Call_Table_Data[[#This Row],[Date of Call]])&lt;=6,YEAR(Call_Table_Data[[#This Row],[Date of Call]]),YEAR(Call_Table_Data[[#This Row],[Date of Call]])+1)</f>
        <v>2023</v>
      </c>
      <c r="I175" s="9" t="str">
        <f>TEXT(Call_Table_Data[[#This Row],[Date of Call]],"DDDD")</f>
        <v>Sunday</v>
      </c>
      <c r="J175" s="9" t="str" cm="1">
        <f t="array" ref="J175">_xlfn.IFS(Call_Table_Data[[#This Row],[Duration]]&lt;=10,"Under 10 Mins",Call_Table_Data[[#This Row],[Duration]]&lt;=30,"10 to 30 Mins",Call_Table_Data[[#This Row],[Duration]]&lt;=60,"30 to 60 Mins",Call_Table_Data[[#This Row],[Duration]]&lt;=120,"1 to 2 Hours",TRUE,"More Than 2 Hours")</f>
        <v>1 to 2 Hours</v>
      </c>
      <c r="K175" s="9">
        <f>ROUND(Call_Table_Data[[#This Row],[Satisfaction Rating]],0)</f>
        <v>5</v>
      </c>
    </row>
    <row r="176" spans="1:11" x14ac:dyDescent="0.3">
      <c r="A176" s="9" t="s">
        <v>1802</v>
      </c>
      <c r="B176" s="9" t="s">
        <v>1624</v>
      </c>
      <c r="C176" s="9">
        <v>131</v>
      </c>
      <c r="D176" s="149" t="s">
        <v>1611</v>
      </c>
      <c r="E176" s="150">
        <v>44990</v>
      </c>
      <c r="F176" s="9">
        <v>140</v>
      </c>
      <c r="G176" s="9">
        <v>4.0999999999999996</v>
      </c>
      <c r="H176" s="9">
        <f>IF(MONTH(Call_Table_Data[[#This Row],[Date of Call]])&lt;=6,YEAR(Call_Table_Data[[#This Row],[Date of Call]]),YEAR(Call_Table_Data[[#This Row],[Date of Call]])+1)</f>
        <v>2023</v>
      </c>
      <c r="I176" s="9" t="str">
        <f>TEXT(Call_Table_Data[[#This Row],[Date of Call]],"DDDD")</f>
        <v>Sunday</v>
      </c>
      <c r="J176" s="9" t="str" cm="1">
        <f t="array" ref="J176">_xlfn.IFS(Call_Table_Data[[#This Row],[Duration]]&lt;=10,"Under 10 Mins",Call_Table_Data[[#This Row],[Duration]]&lt;=30,"10 to 30 Mins",Call_Table_Data[[#This Row],[Duration]]&lt;=60,"30 to 60 Mins",Call_Table_Data[[#This Row],[Duration]]&lt;=120,"1 to 2 Hours",TRUE,"More Than 2 Hours")</f>
        <v>More Than 2 Hours</v>
      </c>
      <c r="K176" s="9">
        <f>ROUND(Call_Table_Data[[#This Row],[Satisfaction Rating]],0)</f>
        <v>4</v>
      </c>
    </row>
    <row r="177" spans="1:11" x14ac:dyDescent="0.3">
      <c r="A177" s="9" t="s">
        <v>1803</v>
      </c>
      <c r="B177" s="9" t="s">
        <v>1652</v>
      </c>
      <c r="C177" s="9">
        <v>67</v>
      </c>
      <c r="D177" s="149" t="s">
        <v>1621</v>
      </c>
      <c r="E177" s="150">
        <v>44990</v>
      </c>
      <c r="F177" s="9">
        <v>40</v>
      </c>
      <c r="G177" s="9">
        <v>5</v>
      </c>
      <c r="H177" s="9">
        <f>IF(MONTH(Call_Table_Data[[#This Row],[Date of Call]])&lt;=6,YEAR(Call_Table_Data[[#This Row],[Date of Call]]),YEAR(Call_Table_Data[[#This Row],[Date of Call]])+1)</f>
        <v>2023</v>
      </c>
      <c r="I177" s="9" t="str">
        <f>TEXT(Call_Table_Data[[#This Row],[Date of Call]],"DDDD")</f>
        <v>Sunday</v>
      </c>
      <c r="J177" s="9" t="str" cm="1">
        <f t="array" ref="J177">_xlfn.IFS(Call_Table_Data[[#This Row],[Duration]]&lt;=10,"Under 10 Mins",Call_Table_Data[[#This Row],[Duration]]&lt;=30,"10 to 30 Mins",Call_Table_Data[[#This Row],[Duration]]&lt;=60,"30 to 60 Mins",Call_Table_Data[[#This Row],[Duration]]&lt;=120,"1 to 2 Hours",TRUE,"More Than 2 Hours")</f>
        <v>1 to 2 Hours</v>
      </c>
      <c r="K177" s="9">
        <f>ROUND(Call_Table_Data[[#This Row],[Satisfaction Rating]],0)</f>
        <v>5</v>
      </c>
    </row>
    <row r="178" spans="1:11" x14ac:dyDescent="0.3">
      <c r="A178" s="9" t="s">
        <v>1804</v>
      </c>
      <c r="B178" s="9" t="s">
        <v>1682</v>
      </c>
      <c r="C178" s="9">
        <v>71</v>
      </c>
      <c r="D178" s="149" t="s">
        <v>1630</v>
      </c>
      <c r="E178" s="150">
        <v>44990</v>
      </c>
      <c r="F178" s="9">
        <v>102</v>
      </c>
      <c r="G178" s="9">
        <v>4.7</v>
      </c>
      <c r="H178" s="9">
        <f>IF(MONTH(Call_Table_Data[[#This Row],[Date of Call]])&lt;=6,YEAR(Call_Table_Data[[#This Row],[Date of Call]]),YEAR(Call_Table_Data[[#This Row],[Date of Call]])+1)</f>
        <v>2023</v>
      </c>
      <c r="I178" s="9" t="str">
        <f>TEXT(Call_Table_Data[[#This Row],[Date of Call]],"DDDD")</f>
        <v>Sunday</v>
      </c>
      <c r="J178" s="9" t="str" cm="1">
        <f t="array" ref="J178">_xlfn.IFS(Call_Table_Data[[#This Row],[Duration]]&lt;=10,"Under 10 Mins",Call_Table_Data[[#This Row],[Duration]]&lt;=30,"10 to 30 Mins",Call_Table_Data[[#This Row],[Duration]]&lt;=60,"30 to 60 Mins",Call_Table_Data[[#This Row],[Duration]]&lt;=120,"1 to 2 Hours",TRUE,"More Than 2 Hours")</f>
        <v>1 to 2 Hours</v>
      </c>
      <c r="K178" s="9">
        <f>ROUND(Call_Table_Data[[#This Row],[Satisfaction Rating]],0)</f>
        <v>5</v>
      </c>
    </row>
    <row r="179" spans="1:11" x14ac:dyDescent="0.3">
      <c r="A179" s="9" t="s">
        <v>1805</v>
      </c>
      <c r="B179" s="9" t="s">
        <v>1624</v>
      </c>
      <c r="C179" s="9">
        <v>113</v>
      </c>
      <c r="D179" s="149" t="s">
        <v>1611</v>
      </c>
      <c r="E179" s="150">
        <v>44990</v>
      </c>
      <c r="F179" s="9">
        <v>42</v>
      </c>
      <c r="G179" s="9">
        <v>4.2</v>
      </c>
      <c r="H179" s="9">
        <f>IF(MONTH(Call_Table_Data[[#This Row],[Date of Call]])&lt;=6,YEAR(Call_Table_Data[[#This Row],[Date of Call]]),YEAR(Call_Table_Data[[#This Row],[Date of Call]])+1)</f>
        <v>2023</v>
      </c>
      <c r="I179" s="9" t="str">
        <f>TEXT(Call_Table_Data[[#This Row],[Date of Call]],"DDDD")</f>
        <v>Sunday</v>
      </c>
      <c r="J179" s="9" t="str" cm="1">
        <f t="array" ref="J179">_xlfn.IFS(Call_Table_Data[[#This Row],[Duration]]&lt;=10,"Under 10 Mins",Call_Table_Data[[#This Row],[Duration]]&lt;=30,"10 to 30 Mins",Call_Table_Data[[#This Row],[Duration]]&lt;=60,"30 to 60 Mins",Call_Table_Data[[#This Row],[Duration]]&lt;=120,"1 to 2 Hours",TRUE,"More Than 2 Hours")</f>
        <v>1 to 2 Hours</v>
      </c>
      <c r="K179" s="9">
        <f>ROUND(Call_Table_Data[[#This Row],[Satisfaction Rating]],0)</f>
        <v>4</v>
      </c>
    </row>
    <row r="180" spans="1:11" x14ac:dyDescent="0.3">
      <c r="A180" s="9" t="s">
        <v>1806</v>
      </c>
      <c r="B180" s="9" t="s">
        <v>1644</v>
      </c>
      <c r="C180" s="9">
        <v>53</v>
      </c>
      <c r="D180" s="149" t="s">
        <v>1616</v>
      </c>
      <c r="E180" s="150">
        <v>44991</v>
      </c>
      <c r="F180" s="9">
        <v>210</v>
      </c>
      <c r="G180" s="9">
        <v>3.9</v>
      </c>
      <c r="H180" s="9">
        <f>IF(MONTH(Call_Table_Data[[#This Row],[Date of Call]])&lt;=6,YEAR(Call_Table_Data[[#This Row],[Date of Call]]),YEAR(Call_Table_Data[[#This Row],[Date of Call]])+1)</f>
        <v>2023</v>
      </c>
      <c r="I180" s="9" t="str">
        <f>TEXT(Call_Table_Data[[#This Row],[Date of Call]],"DDDD")</f>
        <v>Monday</v>
      </c>
      <c r="J180" s="9" t="str" cm="1">
        <f t="array" ref="J180">_xlfn.IFS(Call_Table_Data[[#This Row],[Duration]]&lt;=10,"Under 10 Mins",Call_Table_Data[[#This Row],[Duration]]&lt;=30,"10 to 30 Mins",Call_Table_Data[[#This Row],[Duration]]&lt;=60,"30 to 60 Mins",Call_Table_Data[[#This Row],[Duration]]&lt;=120,"1 to 2 Hours",TRUE,"More Than 2 Hours")</f>
        <v>30 to 60 Mins</v>
      </c>
      <c r="K180" s="9">
        <f>ROUND(Call_Table_Data[[#This Row],[Satisfaction Rating]],0)</f>
        <v>4</v>
      </c>
    </row>
    <row r="181" spans="1:11" x14ac:dyDescent="0.3">
      <c r="A181" s="9" t="s">
        <v>1807</v>
      </c>
      <c r="B181" s="9" t="s">
        <v>1624</v>
      </c>
      <c r="C181" s="9">
        <v>153</v>
      </c>
      <c r="D181" s="149" t="s">
        <v>1621</v>
      </c>
      <c r="E181" s="150">
        <v>44991</v>
      </c>
      <c r="F181" s="9">
        <v>34</v>
      </c>
      <c r="G181" s="9">
        <v>3</v>
      </c>
      <c r="H181" s="9">
        <f>IF(MONTH(Call_Table_Data[[#This Row],[Date of Call]])&lt;=6,YEAR(Call_Table_Data[[#This Row],[Date of Call]]),YEAR(Call_Table_Data[[#This Row],[Date of Call]])+1)</f>
        <v>2023</v>
      </c>
      <c r="I181" s="9" t="str">
        <f>TEXT(Call_Table_Data[[#This Row],[Date of Call]],"DDDD")</f>
        <v>Monday</v>
      </c>
      <c r="J181" s="9" t="str" cm="1">
        <f t="array" ref="J181">_xlfn.IFS(Call_Table_Data[[#This Row],[Duration]]&lt;=10,"Under 10 Mins",Call_Table_Data[[#This Row],[Duration]]&lt;=30,"10 to 30 Mins",Call_Table_Data[[#This Row],[Duration]]&lt;=60,"30 to 60 Mins",Call_Table_Data[[#This Row],[Duration]]&lt;=120,"1 to 2 Hours",TRUE,"More Than 2 Hours")</f>
        <v>More Than 2 Hours</v>
      </c>
      <c r="K181" s="9">
        <f>ROUND(Call_Table_Data[[#This Row],[Satisfaction Rating]],0)</f>
        <v>3</v>
      </c>
    </row>
    <row r="182" spans="1:11" x14ac:dyDescent="0.3">
      <c r="A182" s="9" t="s">
        <v>1808</v>
      </c>
      <c r="B182" s="9" t="s">
        <v>1652</v>
      </c>
      <c r="C182" s="9">
        <v>73</v>
      </c>
      <c r="D182" s="149" t="s">
        <v>1626</v>
      </c>
      <c r="E182" s="150">
        <v>44991</v>
      </c>
      <c r="F182" s="9">
        <v>215</v>
      </c>
      <c r="G182" s="9">
        <v>3.6</v>
      </c>
      <c r="H182" s="9">
        <f>IF(MONTH(Call_Table_Data[[#This Row],[Date of Call]])&lt;=6,YEAR(Call_Table_Data[[#This Row],[Date of Call]]),YEAR(Call_Table_Data[[#This Row],[Date of Call]])+1)</f>
        <v>2023</v>
      </c>
      <c r="I182" s="9" t="str">
        <f>TEXT(Call_Table_Data[[#This Row],[Date of Call]],"DDDD")</f>
        <v>Monday</v>
      </c>
      <c r="J182" s="9" t="str" cm="1">
        <f t="array" ref="J182">_xlfn.IFS(Call_Table_Data[[#This Row],[Duration]]&lt;=10,"Under 10 Mins",Call_Table_Data[[#This Row],[Duration]]&lt;=30,"10 to 30 Mins",Call_Table_Data[[#This Row],[Duration]]&lt;=60,"30 to 60 Mins",Call_Table_Data[[#This Row],[Duration]]&lt;=120,"1 to 2 Hours",TRUE,"More Than 2 Hours")</f>
        <v>1 to 2 Hours</v>
      </c>
      <c r="K182" s="9">
        <f>ROUND(Call_Table_Data[[#This Row],[Satisfaction Rating]],0)</f>
        <v>4</v>
      </c>
    </row>
    <row r="183" spans="1:11" x14ac:dyDescent="0.3">
      <c r="A183" s="9" t="s">
        <v>1809</v>
      </c>
      <c r="B183" s="9" t="s">
        <v>1641</v>
      </c>
      <c r="C183" s="9">
        <v>62</v>
      </c>
      <c r="D183" s="149" t="s">
        <v>1626</v>
      </c>
      <c r="E183" s="150">
        <v>44991</v>
      </c>
      <c r="F183" s="9">
        <v>32</v>
      </c>
      <c r="G183" s="9">
        <v>0.7</v>
      </c>
      <c r="H183" s="9">
        <f>IF(MONTH(Call_Table_Data[[#This Row],[Date of Call]])&lt;=6,YEAR(Call_Table_Data[[#This Row],[Date of Call]]),YEAR(Call_Table_Data[[#This Row],[Date of Call]])+1)</f>
        <v>2023</v>
      </c>
      <c r="I183" s="9" t="str">
        <f>TEXT(Call_Table_Data[[#This Row],[Date of Call]],"DDDD")</f>
        <v>Monday</v>
      </c>
      <c r="J183" s="9" t="str" cm="1">
        <f t="array" ref="J183">_xlfn.IFS(Call_Table_Data[[#This Row],[Duration]]&lt;=10,"Under 10 Mins",Call_Table_Data[[#This Row],[Duration]]&lt;=30,"10 to 30 Mins",Call_Table_Data[[#This Row],[Duration]]&lt;=60,"30 to 60 Mins",Call_Table_Data[[#This Row],[Duration]]&lt;=120,"1 to 2 Hours",TRUE,"More Than 2 Hours")</f>
        <v>1 to 2 Hours</v>
      </c>
      <c r="K183" s="9">
        <f>ROUND(Call_Table_Data[[#This Row],[Satisfaction Rating]],0)</f>
        <v>1</v>
      </c>
    </row>
    <row r="184" spans="1:11" x14ac:dyDescent="0.3">
      <c r="A184" s="9" t="s">
        <v>1810</v>
      </c>
      <c r="B184" s="9" t="s">
        <v>1620</v>
      </c>
      <c r="C184" s="9">
        <v>115</v>
      </c>
      <c r="D184" s="149" t="s">
        <v>1616</v>
      </c>
      <c r="E184" s="150">
        <v>44992</v>
      </c>
      <c r="F184" s="9">
        <v>48</v>
      </c>
      <c r="G184" s="9">
        <v>4.7</v>
      </c>
      <c r="H184" s="9">
        <f>IF(MONTH(Call_Table_Data[[#This Row],[Date of Call]])&lt;=6,YEAR(Call_Table_Data[[#This Row],[Date of Call]]),YEAR(Call_Table_Data[[#This Row],[Date of Call]])+1)</f>
        <v>2023</v>
      </c>
      <c r="I184" s="9" t="str">
        <f>TEXT(Call_Table_Data[[#This Row],[Date of Call]],"DDDD")</f>
        <v>Tuesday</v>
      </c>
      <c r="J184" s="9" t="str" cm="1">
        <f t="array" ref="J184">_xlfn.IFS(Call_Table_Data[[#This Row],[Duration]]&lt;=10,"Under 10 Mins",Call_Table_Data[[#This Row],[Duration]]&lt;=30,"10 to 30 Mins",Call_Table_Data[[#This Row],[Duration]]&lt;=60,"30 to 60 Mins",Call_Table_Data[[#This Row],[Duration]]&lt;=120,"1 to 2 Hours",TRUE,"More Than 2 Hours")</f>
        <v>1 to 2 Hours</v>
      </c>
      <c r="K184" s="9">
        <f>ROUND(Call_Table_Data[[#This Row],[Satisfaction Rating]],0)</f>
        <v>5</v>
      </c>
    </row>
    <row r="185" spans="1:11" x14ac:dyDescent="0.3">
      <c r="A185" s="9" t="s">
        <v>1811</v>
      </c>
      <c r="B185" s="9" t="s">
        <v>1624</v>
      </c>
      <c r="C185" s="9">
        <v>69</v>
      </c>
      <c r="D185" s="149" t="s">
        <v>1616</v>
      </c>
      <c r="E185" s="150">
        <v>44992</v>
      </c>
      <c r="F185" s="9">
        <v>132</v>
      </c>
      <c r="G185" s="9">
        <v>4.5</v>
      </c>
      <c r="H185" s="9">
        <f>IF(MONTH(Call_Table_Data[[#This Row],[Date of Call]])&lt;=6,YEAR(Call_Table_Data[[#This Row],[Date of Call]]),YEAR(Call_Table_Data[[#This Row],[Date of Call]])+1)</f>
        <v>2023</v>
      </c>
      <c r="I185" s="9" t="str">
        <f>TEXT(Call_Table_Data[[#This Row],[Date of Call]],"DDDD")</f>
        <v>Tuesday</v>
      </c>
      <c r="J185" s="9" t="str" cm="1">
        <f t="array" ref="J185">_xlfn.IFS(Call_Table_Data[[#This Row],[Duration]]&lt;=10,"Under 10 Mins",Call_Table_Data[[#This Row],[Duration]]&lt;=30,"10 to 30 Mins",Call_Table_Data[[#This Row],[Duration]]&lt;=60,"30 to 60 Mins",Call_Table_Data[[#This Row],[Duration]]&lt;=120,"1 to 2 Hours",TRUE,"More Than 2 Hours")</f>
        <v>1 to 2 Hours</v>
      </c>
      <c r="K185" s="9">
        <f>ROUND(Call_Table_Data[[#This Row],[Satisfaction Rating]],0)</f>
        <v>5</v>
      </c>
    </row>
    <row r="186" spans="1:11" x14ac:dyDescent="0.3">
      <c r="A186" s="9" t="s">
        <v>1812</v>
      </c>
      <c r="B186" s="9" t="s">
        <v>1635</v>
      </c>
      <c r="C186" s="9">
        <v>103</v>
      </c>
      <c r="D186" s="149" t="s">
        <v>1611</v>
      </c>
      <c r="E186" s="150">
        <v>44992</v>
      </c>
      <c r="F186" s="9">
        <v>172</v>
      </c>
      <c r="G186" s="9">
        <v>4.3</v>
      </c>
      <c r="H186" s="9">
        <f>IF(MONTH(Call_Table_Data[[#This Row],[Date of Call]])&lt;=6,YEAR(Call_Table_Data[[#This Row],[Date of Call]]),YEAR(Call_Table_Data[[#This Row],[Date of Call]])+1)</f>
        <v>2023</v>
      </c>
      <c r="I186" s="9" t="str">
        <f>TEXT(Call_Table_Data[[#This Row],[Date of Call]],"DDDD")</f>
        <v>Tuesday</v>
      </c>
      <c r="J186" s="9" t="str" cm="1">
        <f t="array" ref="J186">_xlfn.IFS(Call_Table_Data[[#This Row],[Duration]]&lt;=10,"Under 10 Mins",Call_Table_Data[[#This Row],[Duration]]&lt;=30,"10 to 30 Mins",Call_Table_Data[[#This Row],[Duration]]&lt;=60,"30 to 60 Mins",Call_Table_Data[[#This Row],[Duration]]&lt;=120,"1 to 2 Hours",TRUE,"More Than 2 Hours")</f>
        <v>1 to 2 Hours</v>
      </c>
      <c r="K186" s="9">
        <f>ROUND(Call_Table_Data[[#This Row],[Satisfaction Rating]],0)</f>
        <v>4</v>
      </c>
    </row>
    <row r="187" spans="1:11" x14ac:dyDescent="0.3">
      <c r="A187" s="9" t="s">
        <v>1813</v>
      </c>
      <c r="B187" s="9" t="s">
        <v>1635</v>
      </c>
      <c r="C187" s="9">
        <v>75</v>
      </c>
      <c r="D187" s="149" t="s">
        <v>1611</v>
      </c>
      <c r="E187" s="150">
        <v>44992</v>
      </c>
      <c r="F187" s="9">
        <v>111</v>
      </c>
      <c r="G187" s="9">
        <v>3.4</v>
      </c>
      <c r="H187" s="9">
        <f>IF(MONTH(Call_Table_Data[[#This Row],[Date of Call]])&lt;=6,YEAR(Call_Table_Data[[#This Row],[Date of Call]]),YEAR(Call_Table_Data[[#This Row],[Date of Call]])+1)</f>
        <v>2023</v>
      </c>
      <c r="I187" s="9" t="str">
        <f>TEXT(Call_Table_Data[[#This Row],[Date of Call]],"DDDD")</f>
        <v>Tuesday</v>
      </c>
      <c r="J187" s="9" t="str" cm="1">
        <f t="array" ref="J187">_xlfn.IFS(Call_Table_Data[[#This Row],[Duration]]&lt;=10,"Under 10 Mins",Call_Table_Data[[#This Row],[Duration]]&lt;=30,"10 to 30 Mins",Call_Table_Data[[#This Row],[Duration]]&lt;=60,"30 to 60 Mins",Call_Table_Data[[#This Row],[Duration]]&lt;=120,"1 to 2 Hours",TRUE,"More Than 2 Hours")</f>
        <v>1 to 2 Hours</v>
      </c>
      <c r="K187" s="9">
        <f>ROUND(Call_Table_Data[[#This Row],[Satisfaction Rating]],0)</f>
        <v>3</v>
      </c>
    </row>
    <row r="188" spans="1:11" x14ac:dyDescent="0.3">
      <c r="A188" s="9" t="s">
        <v>1814</v>
      </c>
      <c r="B188" s="9" t="s">
        <v>1633</v>
      </c>
      <c r="C188" s="9">
        <v>92</v>
      </c>
      <c r="D188" s="149" t="s">
        <v>1611</v>
      </c>
      <c r="E188" s="150">
        <v>44992</v>
      </c>
      <c r="F188" s="9">
        <v>58</v>
      </c>
      <c r="G188" s="9">
        <v>3.6</v>
      </c>
      <c r="H188" s="9">
        <f>IF(MONTH(Call_Table_Data[[#This Row],[Date of Call]])&lt;=6,YEAR(Call_Table_Data[[#This Row],[Date of Call]]),YEAR(Call_Table_Data[[#This Row],[Date of Call]])+1)</f>
        <v>2023</v>
      </c>
      <c r="I188" s="9" t="str">
        <f>TEXT(Call_Table_Data[[#This Row],[Date of Call]],"DDDD")</f>
        <v>Tuesday</v>
      </c>
      <c r="J188" s="9" t="str" cm="1">
        <f t="array" ref="J188">_xlfn.IFS(Call_Table_Data[[#This Row],[Duration]]&lt;=10,"Under 10 Mins",Call_Table_Data[[#This Row],[Duration]]&lt;=30,"10 to 30 Mins",Call_Table_Data[[#This Row],[Duration]]&lt;=60,"30 to 60 Mins",Call_Table_Data[[#This Row],[Duration]]&lt;=120,"1 to 2 Hours",TRUE,"More Than 2 Hours")</f>
        <v>1 to 2 Hours</v>
      </c>
      <c r="K188" s="9">
        <f>ROUND(Call_Table_Data[[#This Row],[Satisfaction Rating]],0)</f>
        <v>4</v>
      </c>
    </row>
    <row r="189" spans="1:11" x14ac:dyDescent="0.3">
      <c r="A189" s="9" t="s">
        <v>1815</v>
      </c>
      <c r="B189" s="9" t="s">
        <v>1633</v>
      </c>
      <c r="C189" s="9">
        <v>41</v>
      </c>
      <c r="D189" s="149" t="s">
        <v>1626</v>
      </c>
      <c r="E189" s="150">
        <v>44992</v>
      </c>
      <c r="F189" s="9">
        <v>68</v>
      </c>
      <c r="G189" s="9">
        <v>4</v>
      </c>
      <c r="H189" s="9">
        <f>IF(MONTH(Call_Table_Data[[#This Row],[Date of Call]])&lt;=6,YEAR(Call_Table_Data[[#This Row],[Date of Call]]),YEAR(Call_Table_Data[[#This Row],[Date of Call]])+1)</f>
        <v>2023</v>
      </c>
      <c r="I189" s="9" t="str">
        <f>TEXT(Call_Table_Data[[#This Row],[Date of Call]],"DDDD")</f>
        <v>Tuesday</v>
      </c>
      <c r="J189" s="9" t="str" cm="1">
        <f t="array" ref="J189">_xlfn.IFS(Call_Table_Data[[#This Row],[Duration]]&lt;=10,"Under 10 Mins",Call_Table_Data[[#This Row],[Duration]]&lt;=30,"10 to 30 Mins",Call_Table_Data[[#This Row],[Duration]]&lt;=60,"30 to 60 Mins",Call_Table_Data[[#This Row],[Duration]]&lt;=120,"1 to 2 Hours",TRUE,"More Than 2 Hours")</f>
        <v>30 to 60 Mins</v>
      </c>
      <c r="K189" s="9">
        <f>ROUND(Call_Table_Data[[#This Row],[Satisfaction Rating]],0)</f>
        <v>4</v>
      </c>
    </row>
    <row r="190" spans="1:11" x14ac:dyDescent="0.3">
      <c r="A190" s="9" t="s">
        <v>1816</v>
      </c>
      <c r="B190" s="9" t="s">
        <v>1635</v>
      </c>
      <c r="C190" s="9">
        <v>134</v>
      </c>
      <c r="D190" s="149" t="s">
        <v>1621</v>
      </c>
      <c r="E190" s="150">
        <v>44992</v>
      </c>
      <c r="F190" s="9">
        <v>160</v>
      </c>
      <c r="G190" s="9">
        <v>4.5</v>
      </c>
      <c r="H190" s="9">
        <f>IF(MONTH(Call_Table_Data[[#This Row],[Date of Call]])&lt;=6,YEAR(Call_Table_Data[[#This Row],[Date of Call]]),YEAR(Call_Table_Data[[#This Row],[Date of Call]])+1)</f>
        <v>2023</v>
      </c>
      <c r="I190" s="9" t="str">
        <f>TEXT(Call_Table_Data[[#This Row],[Date of Call]],"DDDD")</f>
        <v>Tuesday</v>
      </c>
      <c r="J190" s="9" t="str" cm="1">
        <f t="array" ref="J190">_xlfn.IFS(Call_Table_Data[[#This Row],[Duration]]&lt;=10,"Under 10 Mins",Call_Table_Data[[#This Row],[Duration]]&lt;=30,"10 to 30 Mins",Call_Table_Data[[#This Row],[Duration]]&lt;=60,"30 to 60 Mins",Call_Table_Data[[#This Row],[Duration]]&lt;=120,"1 to 2 Hours",TRUE,"More Than 2 Hours")</f>
        <v>More Than 2 Hours</v>
      </c>
      <c r="K190" s="9">
        <f>ROUND(Call_Table_Data[[#This Row],[Satisfaction Rating]],0)</f>
        <v>5</v>
      </c>
    </row>
    <row r="191" spans="1:11" x14ac:dyDescent="0.3">
      <c r="A191" s="9" t="s">
        <v>1817</v>
      </c>
      <c r="B191" s="9" t="s">
        <v>1662</v>
      </c>
      <c r="C191" s="9">
        <v>80</v>
      </c>
      <c r="D191" s="149" t="s">
        <v>1630</v>
      </c>
      <c r="E191" s="150">
        <v>44992</v>
      </c>
      <c r="F191" s="9">
        <v>45</v>
      </c>
      <c r="G191" s="9">
        <v>3</v>
      </c>
      <c r="H191" s="9">
        <f>IF(MONTH(Call_Table_Data[[#This Row],[Date of Call]])&lt;=6,YEAR(Call_Table_Data[[#This Row],[Date of Call]]),YEAR(Call_Table_Data[[#This Row],[Date of Call]])+1)</f>
        <v>2023</v>
      </c>
      <c r="I191" s="9" t="str">
        <f>TEXT(Call_Table_Data[[#This Row],[Date of Call]],"DDDD")</f>
        <v>Tuesday</v>
      </c>
      <c r="J191" s="9" t="str" cm="1">
        <f t="array" ref="J191">_xlfn.IFS(Call_Table_Data[[#This Row],[Duration]]&lt;=10,"Under 10 Mins",Call_Table_Data[[#This Row],[Duration]]&lt;=30,"10 to 30 Mins",Call_Table_Data[[#This Row],[Duration]]&lt;=60,"30 to 60 Mins",Call_Table_Data[[#This Row],[Duration]]&lt;=120,"1 to 2 Hours",TRUE,"More Than 2 Hours")</f>
        <v>1 to 2 Hours</v>
      </c>
      <c r="K191" s="9">
        <f>ROUND(Call_Table_Data[[#This Row],[Satisfaction Rating]],0)</f>
        <v>3</v>
      </c>
    </row>
    <row r="192" spans="1:11" x14ac:dyDescent="0.3">
      <c r="A192" s="9" t="s">
        <v>1818</v>
      </c>
      <c r="B192" s="9" t="s">
        <v>1682</v>
      </c>
      <c r="C192" s="9">
        <v>103</v>
      </c>
      <c r="D192" s="149" t="s">
        <v>1616</v>
      </c>
      <c r="E192" s="150">
        <v>44993</v>
      </c>
      <c r="F192" s="9">
        <v>117</v>
      </c>
      <c r="G192" s="9">
        <v>3</v>
      </c>
      <c r="H192" s="9">
        <f>IF(MONTH(Call_Table_Data[[#This Row],[Date of Call]])&lt;=6,YEAR(Call_Table_Data[[#This Row],[Date of Call]]),YEAR(Call_Table_Data[[#This Row],[Date of Call]])+1)</f>
        <v>2023</v>
      </c>
      <c r="I192" s="9" t="str">
        <f>TEXT(Call_Table_Data[[#This Row],[Date of Call]],"DDDD")</f>
        <v>Wednesday</v>
      </c>
      <c r="J192" s="9" t="str" cm="1">
        <f t="array" ref="J192">_xlfn.IFS(Call_Table_Data[[#This Row],[Duration]]&lt;=10,"Under 10 Mins",Call_Table_Data[[#This Row],[Duration]]&lt;=30,"10 to 30 Mins",Call_Table_Data[[#This Row],[Duration]]&lt;=60,"30 to 60 Mins",Call_Table_Data[[#This Row],[Duration]]&lt;=120,"1 to 2 Hours",TRUE,"More Than 2 Hours")</f>
        <v>1 to 2 Hours</v>
      </c>
      <c r="K192" s="9">
        <f>ROUND(Call_Table_Data[[#This Row],[Satisfaction Rating]],0)</f>
        <v>3</v>
      </c>
    </row>
    <row r="193" spans="1:11" x14ac:dyDescent="0.3">
      <c r="A193" s="9" t="s">
        <v>1819</v>
      </c>
      <c r="B193" s="9" t="s">
        <v>1644</v>
      </c>
      <c r="C193" s="9">
        <v>20</v>
      </c>
      <c r="D193" s="149" t="s">
        <v>1611</v>
      </c>
      <c r="E193" s="150">
        <v>44994</v>
      </c>
      <c r="F193" s="9">
        <v>22</v>
      </c>
      <c r="G193" s="9">
        <v>1.6</v>
      </c>
      <c r="H193" s="9">
        <f>IF(MONTH(Call_Table_Data[[#This Row],[Date of Call]])&lt;=6,YEAR(Call_Table_Data[[#This Row],[Date of Call]]),YEAR(Call_Table_Data[[#This Row],[Date of Call]])+1)</f>
        <v>2023</v>
      </c>
      <c r="I193" s="9" t="str">
        <f>TEXT(Call_Table_Data[[#This Row],[Date of Call]],"DDDD")</f>
        <v>Thursday</v>
      </c>
      <c r="J193" s="9" t="str" cm="1">
        <f t="array" ref="J193">_xlfn.IFS(Call_Table_Data[[#This Row],[Duration]]&lt;=10,"Under 10 Mins",Call_Table_Data[[#This Row],[Duration]]&lt;=30,"10 to 30 Mins",Call_Table_Data[[#This Row],[Duration]]&lt;=60,"30 to 60 Mins",Call_Table_Data[[#This Row],[Duration]]&lt;=120,"1 to 2 Hours",TRUE,"More Than 2 Hours")</f>
        <v>10 to 30 Mins</v>
      </c>
      <c r="K193" s="9">
        <f>ROUND(Call_Table_Data[[#This Row],[Satisfaction Rating]],0)</f>
        <v>2</v>
      </c>
    </row>
    <row r="194" spans="1:11" x14ac:dyDescent="0.3">
      <c r="A194" s="9" t="s">
        <v>1820</v>
      </c>
      <c r="B194" s="9" t="s">
        <v>1682</v>
      </c>
      <c r="C194" s="9">
        <v>75</v>
      </c>
      <c r="D194" s="149" t="s">
        <v>1630</v>
      </c>
      <c r="E194" s="150">
        <v>44994</v>
      </c>
      <c r="F194" s="9">
        <v>195</v>
      </c>
      <c r="G194" s="9">
        <v>3</v>
      </c>
      <c r="H194" s="9">
        <f>IF(MONTH(Call_Table_Data[[#This Row],[Date of Call]])&lt;=6,YEAR(Call_Table_Data[[#This Row],[Date of Call]]),YEAR(Call_Table_Data[[#This Row],[Date of Call]])+1)</f>
        <v>2023</v>
      </c>
      <c r="I194" s="9" t="str">
        <f>TEXT(Call_Table_Data[[#This Row],[Date of Call]],"DDDD")</f>
        <v>Thursday</v>
      </c>
      <c r="J194" s="9" t="str" cm="1">
        <f t="array" ref="J194">_xlfn.IFS(Call_Table_Data[[#This Row],[Duration]]&lt;=10,"Under 10 Mins",Call_Table_Data[[#This Row],[Duration]]&lt;=30,"10 to 30 Mins",Call_Table_Data[[#This Row],[Duration]]&lt;=60,"30 to 60 Mins",Call_Table_Data[[#This Row],[Duration]]&lt;=120,"1 to 2 Hours",TRUE,"More Than 2 Hours")</f>
        <v>1 to 2 Hours</v>
      </c>
      <c r="K194" s="9">
        <f>ROUND(Call_Table_Data[[#This Row],[Satisfaction Rating]],0)</f>
        <v>3</v>
      </c>
    </row>
    <row r="195" spans="1:11" x14ac:dyDescent="0.3">
      <c r="A195" s="9" t="s">
        <v>1821</v>
      </c>
      <c r="B195" s="9" t="s">
        <v>1633</v>
      </c>
      <c r="C195" s="9">
        <v>80</v>
      </c>
      <c r="D195" s="149" t="s">
        <v>1621</v>
      </c>
      <c r="E195" s="150">
        <v>44994</v>
      </c>
      <c r="F195" s="9">
        <v>168</v>
      </c>
      <c r="G195" s="9">
        <v>3.7</v>
      </c>
      <c r="H195" s="9">
        <f>IF(MONTH(Call_Table_Data[[#This Row],[Date of Call]])&lt;=6,YEAR(Call_Table_Data[[#This Row],[Date of Call]]),YEAR(Call_Table_Data[[#This Row],[Date of Call]])+1)</f>
        <v>2023</v>
      </c>
      <c r="I195" s="9" t="str">
        <f>TEXT(Call_Table_Data[[#This Row],[Date of Call]],"DDDD")</f>
        <v>Thursday</v>
      </c>
      <c r="J195" s="9" t="str" cm="1">
        <f t="array" ref="J195">_xlfn.IFS(Call_Table_Data[[#This Row],[Duration]]&lt;=10,"Under 10 Mins",Call_Table_Data[[#This Row],[Duration]]&lt;=30,"10 to 30 Mins",Call_Table_Data[[#This Row],[Duration]]&lt;=60,"30 to 60 Mins",Call_Table_Data[[#This Row],[Duration]]&lt;=120,"1 to 2 Hours",TRUE,"More Than 2 Hours")</f>
        <v>1 to 2 Hours</v>
      </c>
      <c r="K195" s="9">
        <f>ROUND(Call_Table_Data[[#This Row],[Satisfaction Rating]],0)</f>
        <v>4</v>
      </c>
    </row>
    <row r="196" spans="1:11" x14ac:dyDescent="0.3">
      <c r="A196" s="9" t="s">
        <v>1822</v>
      </c>
      <c r="B196" s="9" t="s">
        <v>1624</v>
      </c>
      <c r="C196" s="9">
        <v>85</v>
      </c>
      <c r="D196" s="149" t="s">
        <v>1626</v>
      </c>
      <c r="E196" s="150">
        <v>44995</v>
      </c>
      <c r="F196" s="9">
        <v>46</v>
      </c>
      <c r="G196" s="9">
        <v>4.9000000000000004</v>
      </c>
      <c r="H196" s="9">
        <f>IF(MONTH(Call_Table_Data[[#This Row],[Date of Call]])&lt;=6,YEAR(Call_Table_Data[[#This Row],[Date of Call]]),YEAR(Call_Table_Data[[#This Row],[Date of Call]])+1)</f>
        <v>2023</v>
      </c>
      <c r="I196" s="9" t="str">
        <f>TEXT(Call_Table_Data[[#This Row],[Date of Call]],"DDDD")</f>
        <v>Friday</v>
      </c>
      <c r="J196" s="9" t="str" cm="1">
        <f t="array" ref="J196">_xlfn.IFS(Call_Table_Data[[#This Row],[Duration]]&lt;=10,"Under 10 Mins",Call_Table_Data[[#This Row],[Duration]]&lt;=30,"10 to 30 Mins",Call_Table_Data[[#This Row],[Duration]]&lt;=60,"30 to 60 Mins",Call_Table_Data[[#This Row],[Duration]]&lt;=120,"1 to 2 Hours",TRUE,"More Than 2 Hours")</f>
        <v>1 to 2 Hours</v>
      </c>
      <c r="K196" s="9">
        <f>ROUND(Call_Table_Data[[#This Row],[Satisfaction Rating]],0)</f>
        <v>5</v>
      </c>
    </row>
    <row r="197" spans="1:11" x14ac:dyDescent="0.3">
      <c r="A197" s="9" t="s">
        <v>1823</v>
      </c>
      <c r="B197" s="9" t="s">
        <v>1613</v>
      </c>
      <c r="C197" s="9">
        <v>155</v>
      </c>
      <c r="D197" s="149" t="s">
        <v>1611</v>
      </c>
      <c r="E197" s="150">
        <v>44995</v>
      </c>
      <c r="F197" s="9">
        <v>164</v>
      </c>
      <c r="G197" s="9">
        <v>3.4</v>
      </c>
      <c r="H197" s="9">
        <f>IF(MONTH(Call_Table_Data[[#This Row],[Date of Call]])&lt;=6,YEAR(Call_Table_Data[[#This Row],[Date of Call]]),YEAR(Call_Table_Data[[#This Row],[Date of Call]])+1)</f>
        <v>2023</v>
      </c>
      <c r="I197" s="9" t="str">
        <f>TEXT(Call_Table_Data[[#This Row],[Date of Call]],"DDDD")</f>
        <v>Friday</v>
      </c>
      <c r="J197" s="9" t="str" cm="1">
        <f t="array" ref="J197">_xlfn.IFS(Call_Table_Data[[#This Row],[Duration]]&lt;=10,"Under 10 Mins",Call_Table_Data[[#This Row],[Duration]]&lt;=30,"10 to 30 Mins",Call_Table_Data[[#This Row],[Duration]]&lt;=60,"30 to 60 Mins",Call_Table_Data[[#This Row],[Duration]]&lt;=120,"1 to 2 Hours",TRUE,"More Than 2 Hours")</f>
        <v>More Than 2 Hours</v>
      </c>
      <c r="K197" s="9">
        <f>ROUND(Call_Table_Data[[#This Row],[Satisfaction Rating]],0)</f>
        <v>3</v>
      </c>
    </row>
    <row r="198" spans="1:11" x14ac:dyDescent="0.3">
      <c r="A198" s="9" t="s">
        <v>1824</v>
      </c>
      <c r="B198" s="9" t="s">
        <v>1624</v>
      </c>
      <c r="C198" s="9">
        <v>63</v>
      </c>
      <c r="D198" s="149" t="s">
        <v>1626</v>
      </c>
      <c r="E198" s="150">
        <v>44995</v>
      </c>
      <c r="F198" s="9">
        <v>48</v>
      </c>
      <c r="G198" s="9">
        <v>5</v>
      </c>
      <c r="H198" s="9">
        <f>IF(MONTH(Call_Table_Data[[#This Row],[Date of Call]])&lt;=6,YEAR(Call_Table_Data[[#This Row],[Date of Call]]),YEAR(Call_Table_Data[[#This Row],[Date of Call]])+1)</f>
        <v>2023</v>
      </c>
      <c r="I198" s="9" t="str">
        <f>TEXT(Call_Table_Data[[#This Row],[Date of Call]],"DDDD")</f>
        <v>Friday</v>
      </c>
      <c r="J198" s="9" t="str" cm="1">
        <f t="array" ref="J198">_xlfn.IFS(Call_Table_Data[[#This Row],[Duration]]&lt;=10,"Under 10 Mins",Call_Table_Data[[#This Row],[Duration]]&lt;=30,"10 to 30 Mins",Call_Table_Data[[#This Row],[Duration]]&lt;=60,"30 to 60 Mins",Call_Table_Data[[#This Row],[Duration]]&lt;=120,"1 to 2 Hours",TRUE,"More Than 2 Hours")</f>
        <v>1 to 2 Hours</v>
      </c>
      <c r="K198" s="9">
        <f>ROUND(Call_Table_Data[[#This Row],[Satisfaction Rating]],0)</f>
        <v>5</v>
      </c>
    </row>
    <row r="199" spans="1:11" x14ac:dyDescent="0.3">
      <c r="A199" s="9" t="s">
        <v>1825</v>
      </c>
      <c r="B199" s="9" t="s">
        <v>1615</v>
      </c>
      <c r="C199" s="9">
        <v>105</v>
      </c>
      <c r="D199" s="149" t="s">
        <v>1616</v>
      </c>
      <c r="E199" s="150">
        <v>44995</v>
      </c>
      <c r="F199" s="9">
        <v>96</v>
      </c>
      <c r="G199" s="9">
        <v>5</v>
      </c>
      <c r="H199" s="9">
        <f>IF(MONTH(Call_Table_Data[[#This Row],[Date of Call]])&lt;=6,YEAR(Call_Table_Data[[#This Row],[Date of Call]]),YEAR(Call_Table_Data[[#This Row],[Date of Call]])+1)</f>
        <v>2023</v>
      </c>
      <c r="I199" s="9" t="str">
        <f>TEXT(Call_Table_Data[[#This Row],[Date of Call]],"DDDD")</f>
        <v>Friday</v>
      </c>
      <c r="J199" s="9" t="str" cm="1">
        <f t="array" ref="J199">_xlfn.IFS(Call_Table_Data[[#This Row],[Duration]]&lt;=10,"Under 10 Mins",Call_Table_Data[[#This Row],[Duration]]&lt;=30,"10 to 30 Mins",Call_Table_Data[[#This Row],[Duration]]&lt;=60,"30 to 60 Mins",Call_Table_Data[[#This Row],[Duration]]&lt;=120,"1 to 2 Hours",TRUE,"More Than 2 Hours")</f>
        <v>1 to 2 Hours</v>
      </c>
      <c r="K199" s="9">
        <f>ROUND(Call_Table_Data[[#This Row],[Satisfaction Rating]],0)</f>
        <v>5</v>
      </c>
    </row>
    <row r="200" spans="1:11" x14ac:dyDescent="0.3">
      <c r="A200" s="9" t="s">
        <v>1826</v>
      </c>
      <c r="B200" s="9" t="s">
        <v>1624</v>
      </c>
      <c r="C200" s="9">
        <v>71</v>
      </c>
      <c r="D200" s="149" t="s">
        <v>1626</v>
      </c>
      <c r="E200" s="150">
        <v>44995</v>
      </c>
      <c r="F200" s="9">
        <v>105</v>
      </c>
      <c r="G200" s="9">
        <v>4</v>
      </c>
      <c r="H200" s="9">
        <f>IF(MONTH(Call_Table_Data[[#This Row],[Date of Call]])&lt;=6,YEAR(Call_Table_Data[[#This Row],[Date of Call]]),YEAR(Call_Table_Data[[#This Row],[Date of Call]])+1)</f>
        <v>2023</v>
      </c>
      <c r="I200" s="9" t="str">
        <f>TEXT(Call_Table_Data[[#This Row],[Date of Call]],"DDDD")</f>
        <v>Friday</v>
      </c>
      <c r="J200" s="9" t="str" cm="1">
        <f t="array" ref="J200">_xlfn.IFS(Call_Table_Data[[#This Row],[Duration]]&lt;=10,"Under 10 Mins",Call_Table_Data[[#This Row],[Duration]]&lt;=30,"10 to 30 Mins",Call_Table_Data[[#This Row],[Duration]]&lt;=60,"30 to 60 Mins",Call_Table_Data[[#This Row],[Duration]]&lt;=120,"1 to 2 Hours",TRUE,"More Than 2 Hours")</f>
        <v>1 to 2 Hours</v>
      </c>
      <c r="K200" s="9">
        <f>ROUND(Call_Table_Data[[#This Row],[Satisfaction Rating]],0)</f>
        <v>4</v>
      </c>
    </row>
    <row r="201" spans="1:11" x14ac:dyDescent="0.3">
      <c r="A201" s="9" t="s">
        <v>1827</v>
      </c>
      <c r="B201" s="9" t="s">
        <v>1613</v>
      </c>
      <c r="C201" s="9">
        <v>100</v>
      </c>
      <c r="D201" s="149" t="s">
        <v>1626</v>
      </c>
      <c r="E201" s="150">
        <v>44996</v>
      </c>
      <c r="F201" s="9">
        <v>44</v>
      </c>
      <c r="G201" s="9">
        <v>3.6</v>
      </c>
      <c r="H201" s="9">
        <f>IF(MONTH(Call_Table_Data[[#This Row],[Date of Call]])&lt;=6,YEAR(Call_Table_Data[[#This Row],[Date of Call]]),YEAR(Call_Table_Data[[#This Row],[Date of Call]])+1)</f>
        <v>2023</v>
      </c>
      <c r="I201" s="9" t="str">
        <f>TEXT(Call_Table_Data[[#This Row],[Date of Call]],"DDDD")</f>
        <v>Saturday</v>
      </c>
      <c r="J201" s="9" t="str" cm="1">
        <f t="array" ref="J201">_xlfn.IFS(Call_Table_Data[[#This Row],[Duration]]&lt;=10,"Under 10 Mins",Call_Table_Data[[#This Row],[Duration]]&lt;=30,"10 to 30 Mins",Call_Table_Data[[#This Row],[Duration]]&lt;=60,"30 to 60 Mins",Call_Table_Data[[#This Row],[Duration]]&lt;=120,"1 to 2 Hours",TRUE,"More Than 2 Hours")</f>
        <v>1 to 2 Hours</v>
      </c>
      <c r="K201" s="9">
        <f>ROUND(Call_Table_Data[[#This Row],[Satisfaction Rating]],0)</f>
        <v>4</v>
      </c>
    </row>
    <row r="202" spans="1:11" x14ac:dyDescent="0.3">
      <c r="A202" s="9" t="s">
        <v>1828</v>
      </c>
      <c r="B202" s="9" t="s">
        <v>1610</v>
      </c>
      <c r="C202" s="9">
        <v>93</v>
      </c>
      <c r="D202" s="149" t="s">
        <v>1621</v>
      </c>
      <c r="E202" s="150">
        <v>44996</v>
      </c>
      <c r="F202" s="9">
        <v>132</v>
      </c>
      <c r="G202" s="9">
        <v>3.7</v>
      </c>
      <c r="H202" s="9">
        <f>IF(MONTH(Call_Table_Data[[#This Row],[Date of Call]])&lt;=6,YEAR(Call_Table_Data[[#This Row],[Date of Call]]),YEAR(Call_Table_Data[[#This Row],[Date of Call]])+1)</f>
        <v>2023</v>
      </c>
      <c r="I202" s="9" t="str">
        <f>TEXT(Call_Table_Data[[#This Row],[Date of Call]],"DDDD")</f>
        <v>Saturday</v>
      </c>
      <c r="J202" s="9" t="str" cm="1">
        <f t="array" ref="J202">_xlfn.IFS(Call_Table_Data[[#This Row],[Duration]]&lt;=10,"Under 10 Mins",Call_Table_Data[[#This Row],[Duration]]&lt;=30,"10 to 30 Mins",Call_Table_Data[[#This Row],[Duration]]&lt;=60,"30 to 60 Mins",Call_Table_Data[[#This Row],[Duration]]&lt;=120,"1 to 2 Hours",TRUE,"More Than 2 Hours")</f>
        <v>1 to 2 Hours</v>
      </c>
      <c r="K202" s="9">
        <f>ROUND(Call_Table_Data[[#This Row],[Satisfaction Rating]],0)</f>
        <v>4</v>
      </c>
    </row>
    <row r="203" spans="1:11" x14ac:dyDescent="0.3">
      <c r="A203" s="9" t="s">
        <v>1829</v>
      </c>
      <c r="B203" s="9" t="s">
        <v>1615</v>
      </c>
      <c r="C203" s="9">
        <v>84</v>
      </c>
      <c r="D203" s="149" t="s">
        <v>1611</v>
      </c>
      <c r="E203" s="150">
        <v>44996</v>
      </c>
      <c r="F203" s="9">
        <v>54</v>
      </c>
      <c r="G203" s="9">
        <v>4.2</v>
      </c>
      <c r="H203" s="9">
        <f>IF(MONTH(Call_Table_Data[[#This Row],[Date of Call]])&lt;=6,YEAR(Call_Table_Data[[#This Row],[Date of Call]]),YEAR(Call_Table_Data[[#This Row],[Date of Call]])+1)</f>
        <v>2023</v>
      </c>
      <c r="I203" s="9" t="str">
        <f>TEXT(Call_Table_Data[[#This Row],[Date of Call]],"DDDD")</f>
        <v>Saturday</v>
      </c>
      <c r="J203" s="9" t="str" cm="1">
        <f t="array" ref="J203">_xlfn.IFS(Call_Table_Data[[#This Row],[Duration]]&lt;=10,"Under 10 Mins",Call_Table_Data[[#This Row],[Duration]]&lt;=30,"10 to 30 Mins",Call_Table_Data[[#This Row],[Duration]]&lt;=60,"30 to 60 Mins",Call_Table_Data[[#This Row],[Duration]]&lt;=120,"1 to 2 Hours",TRUE,"More Than 2 Hours")</f>
        <v>1 to 2 Hours</v>
      </c>
      <c r="K203" s="9">
        <f>ROUND(Call_Table_Data[[#This Row],[Satisfaction Rating]],0)</f>
        <v>4</v>
      </c>
    </row>
    <row r="204" spans="1:11" x14ac:dyDescent="0.3">
      <c r="A204" s="9" t="s">
        <v>1830</v>
      </c>
      <c r="B204" s="9" t="s">
        <v>1662</v>
      </c>
      <c r="C204" s="9">
        <v>56</v>
      </c>
      <c r="D204" s="149" t="s">
        <v>1630</v>
      </c>
      <c r="E204" s="150">
        <v>44996</v>
      </c>
      <c r="F204" s="9">
        <v>129</v>
      </c>
      <c r="G204" s="9">
        <v>2.1</v>
      </c>
      <c r="H204" s="9">
        <f>IF(MONTH(Call_Table_Data[[#This Row],[Date of Call]])&lt;=6,YEAR(Call_Table_Data[[#This Row],[Date of Call]]),YEAR(Call_Table_Data[[#This Row],[Date of Call]])+1)</f>
        <v>2023</v>
      </c>
      <c r="I204" s="9" t="str">
        <f>TEXT(Call_Table_Data[[#This Row],[Date of Call]],"DDDD")</f>
        <v>Saturday</v>
      </c>
      <c r="J204" s="9" t="str" cm="1">
        <f t="array" ref="J204">_xlfn.IFS(Call_Table_Data[[#This Row],[Duration]]&lt;=10,"Under 10 Mins",Call_Table_Data[[#This Row],[Duration]]&lt;=30,"10 to 30 Mins",Call_Table_Data[[#This Row],[Duration]]&lt;=60,"30 to 60 Mins",Call_Table_Data[[#This Row],[Duration]]&lt;=120,"1 to 2 Hours",TRUE,"More Than 2 Hours")</f>
        <v>30 to 60 Mins</v>
      </c>
      <c r="K204" s="9">
        <f>ROUND(Call_Table_Data[[#This Row],[Satisfaction Rating]],0)</f>
        <v>2</v>
      </c>
    </row>
    <row r="205" spans="1:11" x14ac:dyDescent="0.3">
      <c r="A205" s="9" t="s">
        <v>1831</v>
      </c>
      <c r="B205" s="9" t="s">
        <v>1662</v>
      </c>
      <c r="C205" s="9">
        <v>63</v>
      </c>
      <c r="D205" s="149" t="s">
        <v>1626</v>
      </c>
      <c r="E205" s="150">
        <v>44996</v>
      </c>
      <c r="F205" s="9">
        <v>42</v>
      </c>
      <c r="G205" s="9">
        <v>4</v>
      </c>
      <c r="H205" s="9">
        <f>IF(MONTH(Call_Table_Data[[#This Row],[Date of Call]])&lt;=6,YEAR(Call_Table_Data[[#This Row],[Date of Call]]),YEAR(Call_Table_Data[[#This Row],[Date of Call]])+1)</f>
        <v>2023</v>
      </c>
      <c r="I205" s="9" t="str">
        <f>TEXT(Call_Table_Data[[#This Row],[Date of Call]],"DDDD")</f>
        <v>Saturday</v>
      </c>
      <c r="J205" s="9" t="str" cm="1">
        <f t="array" ref="J205">_xlfn.IFS(Call_Table_Data[[#This Row],[Duration]]&lt;=10,"Under 10 Mins",Call_Table_Data[[#This Row],[Duration]]&lt;=30,"10 to 30 Mins",Call_Table_Data[[#This Row],[Duration]]&lt;=60,"30 to 60 Mins",Call_Table_Data[[#This Row],[Duration]]&lt;=120,"1 to 2 Hours",TRUE,"More Than 2 Hours")</f>
        <v>1 to 2 Hours</v>
      </c>
      <c r="K205" s="9">
        <f>ROUND(Call_Table_Data[[#This Row],[Satisfaction Rating]],0)</f>
        <v>4</v>
      </c>
    </row>
    <row r="206" spans="1:11" x14ac:dyDescent="0.3">
      <c r="A206" s="9" t="s">
        <v>1832</v>
      </c>
      <c r="B206" s="9" t="s">
        <v>1641</v>
      </c>
      <c r="C206" s="9">
        <v>83</v>
      </c>
      <c r="D206" s="149" t="s">
        <v>1626</v>
      </c>
      <c r="E206" s="150">
        <v>44996</v>
      </c>
      <c r="F206" s="9">
        <v>42</v>
      </c>
      <c r="G206" s="9">
        <v>4.2</v>
      </c>
      <c r="H206" s="9">
        <f>IF(MONTH(Call_Table_Data[[#This Row],[Date of Call]])&lt;=6,YEAR(Call_Table_Data[[#This Row],[Date of Call]]),YEAR(Call_Table_Data[[#This Row],[Date of Call]])+1)</f>
        <v>2023</v>
      </c>
      <c r="I206" s="9" t="str">
        <f>TEXT(Call_Table_Data[[#This Row],[Date of Call]],"DDDD")</f>
        <v>Saturday</v>
      </c>
      <c r="J206" s="9" t="str" cm="1">
        <f t="array" ref="J206">_xlfn.IFS(Call_Table_Data[[#This Row],[Duration]]&lt;=10,"Under 10 Mins",Call_Table_Data[[#This Row],[Duration]]&lt;=30,"10 to 30 Mins",Call_Table_Data[[#This Row],[Duration]]&lt;=60,"30 to 60 Mins",Call_Table_Data[[#This Row],[Duration]]&lt;=120,"1 to 2 Hours",TRUE,"More Than 2 Hours")</f>
        <v>1 to 2 Hours</v>
      </c>
      <c r="K206" s="9">
        <f>ROUND(Call_Table_Data[[#This Row],[Satisfaction Rating]],0)</f>
        <v>4</v>
      </c>
    </row>
    <row r="207" spans="1:11" x14ac:dyDescent="0.3">
      <c r="A207" s="9" t="s">
        <v>1833</v>
      </c>
      <c r="B207" s="9" t="s">
        <v>1633</v>
      </c>
      <c r="C207" s="9">
        <v>134</v>
      </c>
      <c r="D207" s="149" t="s">
        <v>1611</v>
      </c>
      <c r="E207" s="150">
        <v>44996</v>
      </c>
      <c r="F207" s="9">
        <v>180</v>
      </c>
      <c r="G207" s="9">
        <v>3.1</v>
      </c>
      <c r="H207" s="9">
        <f>IF(MONTH(Call_Table_Data[[#This Row],[Date of Call]])&lt;=6,YEAR(Call_Table_Data[[#This Row],[Date of Call]]),YEAR(Call_Table_Data[[#This Row],[Date of Call]])+1)</f>
        <v>2023</v>
      </c>
      <c r="I207" s="9" t="str">
        <f>TEXT(Call_Table_Data[[#This Row],[Date of Call]],"DDDD")</f>
        <v>Saturday</v>
      </c>
      <c r="J207" s="9" t="str" cm="1">
        <f t="array" ref="J207">_xlfn.IFS(Call_Table_Data[[#This Row],[Duration]]&lt;=10,"Under 10 Mins",Call_Table_Data[[#This Row],[Duration]]&lt;=30,"10 to 30 Mins",Call_Table_Data[[#This Row],[Duration]]&lt;=60,"30 to 60 Mins",Call_Table_Data[[#This Row],[Duration]]&lt;=120,"1 to 2 Hours",TRUE,"More Than 2 Hours")</f>
        <v>More Than 2 Hours</v>
      </c>
      <c r="K207" s="9">
        <f>ROUND(Call_Table_Data[[#This Row],[Satisfaction Rating]],0)</f>
        <v>3</v>
      </c>
    </row>
    <row r="208" spans="1:11" x14ac:dyDescent="0.3">
      <c r="A208" s="9" t="s">
        <v>1834</v>
      </c>
      <c r="B208" s="9" t="s">
        <v>1620</v>
      </c>
      <c r="C208" s="9">
        <v>73</v>
      </c>
      <c r="D208" s="149" t="s">
        <v>1626</v>
      </c>
      <c r="E208" s="150">
        <v>44997</v>
      </c>
      <c r="F208" s="9">
        <v>34</v>
      </c>
      <c r="G208" s="9">
        <v>4.8</v>
      </c>
      <c r="H208" s="9">
        <f>IF(MONTH(Call_Table_Data[[#This Row],[Date of Call]])&lt;=6,YEAR(Call_Table_Data[[#This Row],[Date of Call]]),YEAR(Call_Table_Data[[#This Row],[Date of Call]])+1)</f>
        <v>2023</v>
      </c>
      <c r="I208" s="9" t="str">
        <f>TEXT(Call_Table_Data[[#This Row],[Date of Call]],"DDDD")</f>
        <v>Sunday</v>
      </c>
      <c r="J208" s="9" t="str" cm="1">
        <f t="array" ref="J208">_xlfn.IFS(Call_Table_Data[[#This Row],[Duration]]&lt;=10,"Under 10 Mins",Call_Table_Data[[#This Row],[Duration]]&lt;=30,"10 to 30 Mins",Call_Table_Data[[#This Row],[Duration]]&lt;=60,"30 to 60 Mins",Call_Table_Data[[#This Row],[Duration]]&lt;=120,"1 to 2 Hours",TRUE,"More Than 2 Hours")</f>
        <v>1 to 2 Hours</v>
      </c>
      <c r="K208" s="9">
        <f>ROUND(Call_Table_Data[[#This Row],[Satisfaction Rating]],0)</f>
        <v>5</v>
      </c>
    </row>
    <row r="209" spans="1:11" x14ac:dyDescent="0.3">
      <c r="A209" s="9" t="s">
        <v>1835</v>
      </c>
      <c r="B209" s="9" t="s">
        <v>1682</v>
      </c>
      <c r="C209" s="9">
        <v>6</v>
      </c>
      <c r="D209" s="149" t="s">
        <v>1630</v>
      </c>
      <c r="E209" s="150">
        <v>44997</v>
      </c>
      <c r="F209" s="9">
        <v>29</v>
      </c>
      <c r="G209" s="9">
        <v>4.7</v>
      </c>
      <c r="H209" s="9">
        <f>IF(MONTH(Call_Table_Data[[#This Row],[Date of Call]])&lt;=6,YEAR(Call_Table_Data[[#This Row],[Date of Call]]),YEAR(Call_Table_Data[[#This Row],[Date of Call]])+1)</f>
        <v>2023</v>
      </c>
      <c r="I209" s="9" t="str">
        <f>TEXT(Call_Table_Data[[#This Row],[Date of Call]],"DDDD")</f>
        <v>Sunday</v>
      </c>
      <c r="J209" s="9" t="str" cm="1">
        <f t="array" ref="J209">_xlfn.IFS(Call_Table_Data[[#This Row],[Duration]]&lt;=10,"Under 10 Mins",Call_Table_Data[[#This Row],[Duration]]&lt;=30,"10 to 30 Mins",Call_Table_Data[[#This Row],[Duration]]&lt;=60,"30 to 60 Mins",Call_Table_Data[[#This Row],[Duration]]&lt;=120,"1 to 2 Hours",TRUE,"More Than 2 Hours")</f>
        <v>Under 10 Mins</v>
      </c>
      <c r="K209" s="9">
        <f>ROUND(Call_Table_Data[[#This Row],[Satisfaction Rating]],0)</f>
        <v>5</v>
      </c>
    </row>
    <row r="210" spans="1:11" x14ac:dyDescent="0.3">
      <c r="A210" s="9" t="s">
        <v>1836</v>
      </c>
      <c r="B210" s="9" t="s">
        <v>1652</v>
      </c>
      <c r="C210" s="9">
        <v>46</v>
      </c>
      <c r="D210" s="149" t="s">
        <v>1616</v>
      </c>
      <c r="E210" s="150">
        <v>44997</v>
      </c>
      <c r="F210" s="9">
        <v>165</v>
      </c>
      <c r="G210" s="9">
        <v>3.3</v>
      </c>
      <c r="H210" s="9">
        <f>IF(MONTH(Call_Table_Data[[#This Row],[Date of Call]])&lt;=6,YEAR(Call_Table_Data[[#This Row],[Date of Call]]),YEAR(Call_Table_Data[[#This Row],[Date of Call]])+1)</f>
        <v>2023</v>
      </c>
      <c r="I210" s="9" t="str">
        <f>TEXT(Call_Table_Data[[#This Row],[Date of Call]],"DDDD")</f>
        <v>Sunday</v>
      </c>
      <c r="J210" s="9" t="str" cm="1">
        <f t="array" ref="J210">_xlfn.IFS(Call_Table_Data[[#This Row],[Duration]]&lt;=10,"Under 10 Mins",Call_Table_Data[[#This Row],[Duration]]&lt;=30,"10 to 30 Mins",Call_Table_Data[[#This Row],[Duration]]&lt;=60,"30 to 60 Mins",Call_Table_Data[[#This Row],[Duration]]&lt;=120,"1 to 2 Hours",TRUE,"More Than 2 Hours")</f>
        <v>30 to 60 Mins</v>
      </c>
      <c r="K210" s="9">
        <f>ROUND(Call_Table_Data[[#This Row],[Satisfaction Rating]],0)</f>
        <v>3</v>
      </c>
    </row>
    <row r="211" spans="1:11" x14ac:dyDescent="0.3">
      <c r="A211" s="9" t="s">
        <v>1837</v>
      </c>
      <c r="B211" s="9" t="s">
        <v>1682</v>
      </c>
      <c r="C211" s="9">
        <v>121</v>
      </c>
      <c r="D211" s="149" t="s">
        <v>1626</v>
      </c>
      <c r="E211" s="150">
        <v>44998</v>
      </c>
      <c r="F211" s="9">
        <v>32</v>
      </c>
      <c r="G211" s="9">
        <v>3.7</v>
      </c>
      <c r="H211" s="9">
        <f>IF(MONTH(Call_Table_Data[[#This Row],[Date of Call]])&lt;=6,YEAR(Call_Table_Data[[#This Row],[Date of Call]]),YEAR(Call_Table_Data[[#This Row],[Date of Call]])+1)</f>
        <v>2023</v>
      </c>
      <c r="I211" s="9" t="str">
        <f>TEXT(Call_Table_Data[[#This Row],[Date of Call]],"DDDD")</f>
        <v>Monday</v>
      </c>
      <c r="J211" s="9" t="str" cm="1">
        <f t="array" ref="J211">_xlfn.IFS(Call_Table_Data[[#This Row],[Duration]]&lt;=10,"Under 10 Mins",Call_Table_Data[[#This Row],[Duration]]&lt;=30,"10 to 30 Mins",Call_Table_Data[[#This Row],[Duration]]&lt;=60,"30 to 60 Mins",Call_Table_Data[[#This Row],[Duration]]&lt;=120,"1 to 2 Hours",TRUE,"More Than 2 Hours")</f>
        <v>More Than 2 Hours</v>
      </c>
      <c r="K211" s="9">
        <f>ROUND(Call_Table_Data[[#This Row],[Satisfaction Rating]],0)</f>
        <v>4</v>
      </c>
    </row>
    <row r="212" spans="1:11" x14ac:dyDescent="0.3">
      <c r="A212" s="9" t="s">
        <v>1838</v>
      </c>
      <c r="B212" s="9" t="s">
        <v>1662</v>
      </c>
      <c r="C212" s="9">
        <v>61</v>
      </c>
      <c r="D212" s="149" t="s">
        <v>1621</v>
      </c>
      <c r="E212" s="150">
        <v>44998</v>
      </c>
      <c r="F212" s="9">
        <v>160</v>
      </c>
      <c r="G212" s="9">
        <v>4.9000000000000004</v>
      </c>
      <c r="H212" s="9">
        <f>IF(MONTH(Call_Table_Data[[#This Row],[Date of Call]])&lt;=6,YEAR(Call_Table_Data[[#This Row],[Date of Call]]),YEAR(Call_Table_Data[[#This Row],[Date of Call]])+1)</f>
        <v>2023</v>
      </c>
      <c r="I212" s="9" t="str">
        <f>TEXT(Call_Table_Data[[#This Row],[Date of Call]],"DDDD")</f>
        <v>Monday</v>
      </c>
      <c r="J212" s="9" t="str" cm="1">
        <f t="array" ref="J212">_xlfn.IFS(Call_Table_Data[[#This Row],[Duration]]&lt;=10,"Under 10 Mins",Call_Table_Data[[#This Row],[Duration]]&lt;=30,"10 to 30 Mins",Call_Table_Data[[#This Row],[Duration]]&lt;=60,"30 to 60 Mins",Call_Table_Data[[#This Row],[Duration]]&lt;=120,"1 to 2 Hours",TRUE,"More Than 2 Hours")</f>
        <v>1 to 2 Hours</v>
      </c>
      <c r="K212" s="9">
        <f>ROUND(Call_Table_Data[[#This Row],[Satisfaction Rating]],0)</f>
        <v>5</v>
      </c>
    </row>
    <row r="213" spans="1:11" x14ac:dyDescent="0.3">
      <c r="A213" s="9" t="s">
        <v>1839</v>
      </c>
      <c r="B213" s="9" t="s">
        <v>1633</v>
      </c>
      <c r="C213" s="9">
        <v>144</v>
      </c>
      <c r="D213" s="149" t="s">
        <v>1611</v>
      </c>
      <c r="E213" s="150">
        <v>44998</v>
      </c>
      <c r="F213" s="9">
        <v>140</v>
      </c>
      <c r="G213" s="9">
        <v>3.5</v>
      </c>
      <c r="H213" s="9">
        <f>IF(MONTH(Call_Table_Data[[#This Row],[Date of Call]])&lt;=6,YEAR(Call_Table_Data[[#This Row],[Date of Call]]),YEAR(Call_Table_Data[[#This Row],[Date of Call]])+1)</f>
        <v>2023</v>
      </c>
      <c r="I213" s="9" t="str">
        <f>TEXT(Call_Table_Data[[#This Row],[Date of Call]],"DDDD")</f>
        <v>Monday</v>
      </c>
      <c r="J213" s="9" t="str" cm="1">
        <f t="array" ref="J213">_xlfn.IFS(Call_Table_Data[[#This Row],[Duration]]&lt;=10,"Under 10 Mins",Call_Table_Data[[#This Row],[Duration]]&lt;=30,"10 to 30 Mins",Call_Table_Data[[#This Row],[Duration]]&lt;=60,"30 to 60 Mins",Call_Table_Data[[#This Row],[Duration]]&lt;=120,"1 to 2 Hours",TRUE,"More Than 2 Hours")</f>
        <v>More Than 2 Hours</v>
      </c>
      <c r="K213" s="9">
        <f>ROUND(Call_Table_Data[[#This Row],[Satisfaction Rating]],0)</f>
        <v>4</v>
      </c>
    </row>
    <row r="214" spans="1:11" x14ac:dyDescent="0.3">
      <c r="A214" s="9" t="s">
        <v>1840</v>
      </c>
      <c r="B214" s="9" t="s">
        <v>1652</v>
      </c>
      <c r="C214" s="9">
        <v>145</v>
      </c>
      <c r="D214" s="149" t="s">
        <v>1611</v>
      </c>
      <c r="E214" s="150">
        <v>44998</v>
      </c>
      <c r="F214" s="9">
        <v>136</v>
      </c>
      <c r="G214" s="9">
        <v>4.4000000000000004</v>
      </c>
      <c r="H214" s="9">
        <f>IF(MONTH(Call_Table_Data[[#This Row],[Date of Call]])&lt;=6,YEAR(Call_Table_Data[[#This Row],[Date of Call]]),YEAR(Call_Table_Data[[#This Row],[Date of Call]])+1)</f>
        <v>2023</v>
      </c>
      <c r="I214" s="9" t="str">
        <f>TEXT(Call_Table_Data[[#This Row],[Date of Call]],"DDDD")</f>
        <v>Monday</v>
      </c>
      <c r="J214" s="9" t="str" cm="1">
        <f t="array" ref="J214">_xlfn.IFS(Call_Table_Data[[#This Row],[Duration]]&lt;=10,"Under 10 Mins",Call_Table_Data[[#This Row],[Duration]]&lt;=30,"10 to 30 Mins",Call_Table_Data[[#This Row],[Duration]]&lt;=60,"30 to 60 Mins",Call_Table_Data[[#This Row],[Duration]]&lt;=120,"1 to 2 Hours",TRUE,"More Than 2 Hours")</f>
        <v>More Than 2 Hours</v>
      </c>
      <c r="K214" s="9">
        <f>ROUND(Call_Table_Data[[#This Row],[Satisfaction Rating]],0)</f>
        <v>4</v>
      </c>
    </row>
    <row r="215" spans="1:11" x14ac:dyDescent="0.3">
      <c r="A215" s="9" t="s">
        <v>1841</v>
      </c>
      <c r="B215" s="9" t="s">
        <v>1615</v>
      </c>
      <c r="C215" s="9">
        <v>85</v>
      </c>
      <c r="D215" s="149" t="s">
        <v>1630</v>
      </c>
      <c r="E215" s="150">
        <v>44998</v>
      </c>
      <c r="F215" s="9">
        <v>66</v>
      </c>
      <c r="G215" s="9">
        <v>2.8</v>
      </c>
      <c r="H215" s="9">
        <f>IF(MONTH(Call_Table_Data[[#This Row],[Date of Call]])&lt;=6,YEAR(Call_Table_Data[[#This Row],[Date of Call]]),YEAR(Call_Table_Data[[#This Row],[Date of Call]])+1)</f>
        <v>2023</v>
      </c>
      <c r="I215" s="9" t="str">
        <f>TEXT(Call_Table_Data[[#This Row],[Date of Call]],"DDDD")</f>
        <v>Monday</v>
      </c>
      <c r="J215" s="9" t="str" cm="1">
        <f t="array" ref="J215">_xlfn.IFS(Call_Table_Data[[#This Row],[Duration]]&lt;=10,"Under 10 Mins",Call_Table_Data[[#This Row],[Duration]]&lt;=30,"10 to 30 Mins",Call_Table_Data[[#This Row],[Duration]]&lt;=60,"30 to 60 Mins",Call_Table_Data[[#This Row],[Duration]]&lt;=120,"1 to 2 Hours",TRUE,"More Than 2 Hours")</f>
        <v>1 to 2 Hours</v>
      </c>
      <c r="K215" s="9">
        <f>ROUND(Call_Table_Data[[#This Row],[Satisfaction Rating]],0)</f>
        <v>3</v>
      </c>
    </row>
    <row r="216" spans="1:11" x14ac:dyDescent="0.3">
      <c r="A216" s="9" t="s">
        <v>1842</v>
      </c>
      <c r="B216" s="9" t="s">
        <v>1652</v>
      </c>
      <c r="C216" s="9">
        <v>13</v>
      </c>
      <c r="D216" s="149" t="s">
        <v>1621</v>
      </c>
      <c r="E216" s="150">
        <v>44999</v>
      </c>
      <c r="F216" s="9">
        <v>63</v>
      </c>
      <c r="G216" s="9">
        <v>4.0999999999999996</v>
      </c>
      <c r="H216" s="9">
        <f>IF(MONTH(Call_Table_Data[[#This Row],[Date of Call]])&lt;=6,YEAR(Call_Table_Data[[#This Row],[Date of Call]]),YEAR(Call_Table_Data[[#This Row],[Date of Call]])+1)</f>
        <v>2023</v>
      </c>
      <c r="I216" s="9" t="str">
        <f>TEXT(Call_Table_Data[[#This Row],[Date of Call]],"DDDD")</f>
        <v>Tuesday</v>
      </c>
      <c r="J216" s="9" t="str" cm="1">
        <f t="array" ref="J216">_xlfn.IFS(Call_Table_Data[[#This Row],[Duration]]&lt;=10,"Under 10 Mins",Call_Table_Data[[#This Row],[Duration]]&lt;=30,"10 to 30 Mins",Call_Table_Data[[#This Row],[Duration]]&lt;=60,"30 to 60 Mins",Call_Table_Data[[#This Row],[Duration]]&lt;=120,"1 to 2 Hours",TRUE,"More Than 2 Hours")</f>
        <v>10 to 30 Mins</v>
      </c>
      <c r="K216" s="9">
        <f>ROUND(Call_Table_Data[[#This Row],[Satisfaction Rating]],0)</f>
        <v>4</v>
      </c>
    </row>
    <row r="217" spans="1:11" x14ac:dyDescent="0.3">
      <c r="A217" s="9" t="s">
        <v>1843</v>
      </c>
      <c r="B217" s="9" t="s">
        <v>1610</v>
      </c>
      <c r="C217" s="9">
        <v>142</v>
      </c>
      <c r="D217" s="149" t="s">
        <v>1626</v>
      </c>
      <c r="E217" s="150">
        <v>44999</v>
      </c>
      <c r="F217" s="9">
        <v>44</v>
      </c>
      <c r="G217" s="9">
        <v>3.5</v>
      </c>
      <c r="H217" s="9">
        <f>IF(MONTH(Call_Table_Data[[#This Row],[Date of Call]])&lt;=6,YEAR(Call_Table_Data[[#This Row],[Date of Call]]),YEAR(Call_Table_Data[[#This Row],[Date of Call]])+1)</f>
        <v>2023</v>
      </c>
      <c r="I217" s="9" t="str">
        <f>TEXT(Call_Table_Data[[#This Row],[Date of Call]],"DDDD")</f>
        <v>Tuesday</v>
      </c>
      <c r="J217" s="9" t="str" cm="1">
        <f t="array" ref="J217">_xlfn.IFS(Call_Table_Data[[#This Row],[Duration]]&lt;=10,"Under 10 Mins",Call_Table_Data[[#This Row],[Duration]]&lt;=30,"10 to 30 Mins",Call_Table_Data[[#This Row],[Duration]]&lt;=60,"30 to 60 Mins",Call_Table_Data[[#This Row],[Duration]]&lt;=120,"1 to 2 Hours",TRUE,"More Than 2 Hours")</f>
        <v>More Than 2 Hours</v>
      </c>
      <c r="K217" s="9">
        <f>ROUND(Call_Table_Data[[#This Row],[Satisfaction Rating]],0)</f>
        <v>4</v>
      </c>
    </row>
    <row r="218" spans="1:11" x14ac:dyDescent="0.3">
      <c r="A218" s="9" t="s">
        <v>1844</v>
      </c>
      <c r="B218" s="9" t="s">
        <v>1633</v>
      </c>
      <c r="C218" s="9">
        <v>28</v>
      </c>
      <c r="D218" s="149" t="s">
        <v>1616</v>
      </c>
      <c r="E218" s="150">
        <v>44999</v>
      </c>
      <c r="F218" s="9">
        <v>78</v>
      </c>
      <c r="G218" s="9">
        <v>3.8</v>
      </c>
      <c r="H218" s="9">
        <f>IF(MONTH(Call_Table_Data[[#This Row],[Date of Call]])&lt;=6,YEAR(Call_Table_Data[[#This Row],[Date of Call]]),YEAR(Call_Table_Data[[#This Row],[Date of Call]])+1)</f>
        <v>2023</v>
      </c>
      <c r="I218" s="9" t="str">
        <f>TEXT(Call_Table_Data[[#This Row],[Date of Call]],"DDDD")</f>
        <v>Tuesday</v>
      </c>
      <c r="J218" s="9" t="str" cm="1">
        <f t="array" ref="J218">_xlfn.IFS(Call_Table_Data[[#This Row],[Duration]]&lt;=10,"Under 10 Mins",Call_Table_Data[[#This Row],[Duration]]&lt;=30,"10 to 30 Mins",Call_Table_Data[[#This Row],[Duration]]&lt;=60,"30 to 60 Mins",Call_Table_Data[[#This Row],[Duration]]&lt;=120,"1 to 2 Hours",TRUE,"More Than 2 Hours")</f>
        <v>10 to 30 Mins</v>
      </c>
      <c r="K218" s="9">
        <f>ROUND(Call_Table_Data[[#This Row],[Satisfaction Rating]],0)</f>
        <v>4</v>
      </c>
    </row>
    <row r="219" spans="1:11" x14ac:dyDescent="0.3">
      <c r="A219" s="9" t="s">
        <v>1845</v>
      </c>
      <c r="B219" s="9" t="s">
        <v>1633</v>
      </c>
      <c r="C219" s="9">
        <v>119</v>
      </c>
      <c r="D219" s="149" t="s">
        <v>1626</v>
      </c>
      <c r="E219" s="150">
        <v>44999</v>
      </c>
      <c r="F219" s="9">
        <v>20</v>
      </c>
      <c r="G219" s="9">
        <v>3.9</v>
      </c>
      <c r="H219" s="9">
        <f>IF(MONTH(Call_Table_Data[[#This Row],[Date of Call]])&lt;=6,YEAR(Call_Table_Data[[#This Row],[Date of Call]]),YEAR(Call_Table_Data[[#This Row],[Date of Call]])+1)</f>
        <v>2023</v>
      </c>
      <c r="I219" s="9" t="str">
        <f>TEXT(Call_Table_Data[[#This Row],[Date of Call]],"DDDD")</f>
        <v>Tuesday</v>
      </c>
      <c r="J219" s="9" t="str" cm="1">
        <f t="array" ref="J219">_xlfn.IFS(Call_Table_Data[[#This Row],[Duration]]&lt;=10,"Under 10 Mins",Call_Table_Data[[#This Row],[Duration]]&lt;=30,"10 to 30 Mins",Call_Table_Data[[#This Row],[Duration]]&lt;=60,"30 to 60 Mins",Call_Table_Data[[#This Row],[Duration]]&lt;=120,"1 to 2 Hours",TRUE,"More Than 2 Hours")</f>
        <v>1 to 2 Hours</v>
      </c>
      <c r="K219" s="9">
        <f>ROUND(Call_Table_Data[[#This Row],[Satisfaction Rating]],0)</f>
        <v>4</v>
      </c>
    </row>
    <row r="220" spans="1:11" x14ac:dyDescent="0.3">
      <c r="A220" s="9" t="s">
        <v>1846</v>
      </c>
      <c r="B220" s="9" t="s">
        <v>1682</v>
      </c>
      <c r="C220" s="9">
        <v>65</v>
      </c>
      <c r="D220" s="149" t="s">
        <v>1630</v>
      </c>
      <c r="E220" s="150">
        <v>44999</v>
      </c>
      <c r="F220" s="9">
        <v>84</v>
      </c>
      <c r="G220" s="9">
        <v>2.5</v>
      </c>
      <c r="H220" s="9">
        <f>IF(MONTH(Call_Table_Data[[#This Row],[Date of Call]])&lt;=6,YEAR(Call_Table_Data[[#This Row],[Date of Call]]),YEAR(Call_Table_Data[[#This Row],[Date of Call]])+1)</f>
        <v>2023</v>
      </c>
      <c r="I220" s="9" t="str">
        <f>TEXT(Call_Table_Data[[#This Row],[Date of Call]],"DDDD")</f>
        <v>Tuesday</v>
      </c>
      <c r="J220" s="9" t="str" cm="1">
        <f t="array" ref="J220">_xlfn.IFS(Call_Table_Data[[#This Row],[Duration]]&lt;=10,"Under 10 Mins",Call_Table_Data[[#This Row],[Duration]]&lt;=30,"10 to 30 Mins",Call_Table_Data[[#This Row],[Duration]]&lt;=60,"30 to 60 Mins",Call_Table_Data[[#This Row],[Duration]]&lt;=120,"1 to 2 Hours",TRUE,"More Than 2 Hours")</f>
        <v>1 to 2 Hours</v>
      </c>
      <c r="K220" s="9">
        <f>ROUND(Call_Table_Data[[#This Row],[Satisfaction Rating]],0)</f>
        <v>3</v>
      </c>
    </row>
    <row r="221" spans="1:11" x14ac:dyDescent="0.3">
      <c r="A221" s="9" t="s">
        <v>1847</v>
      </c>
      <c r="B221" s="9" t="s">
        <v>1635</v>
      </c>
      <c r="C221" s="9">
        <v>68</v>
      </c>
      <c r="D221" s="149" t="s">
        <v>1630</v>
      </c>
      <c r="E221" s="150">
        <v>44999</v>
      </c>
      <c r="F221" s="9">
        <v>32</v>
      </c>
      <c r="G221" s="9">
        <v>4.9000000000000004</v>
      </c>
      <c r="H221" s="9">
        <f>IF(MONTH(Call_Table_Data[[#This Row],[Date of Call]])&lt;=6,YEAR(Call_Table_Data[[#This Row],[Date of Call]]),YEAR(Call_Table_Data[[#This Row],[Date of Call]])+1)</f>
        <v>2023</v>
      </c>
      <c r="I221" s="9" t="str">
        <f>TEXT(Call_Table_Data[[#This Row],[Date of Call]],"DDDD")</f>
        <v>Tuesday</v>
      </c>
      <c r="J221" s="9" t="str" cm="1">
        <f t="array" ref="J221">_xlfn.IFS(Call_Table_Data[[#This Row],[Duration]]&lt;=10,"Under 10 Mins",Call_Table_Data[[#This Row],[Duration]]&lt;=30,"10 to 30 Mins",Call_Table_Data[[#This Row],[Duration]]&lt;=60,"30 to 60 Mins",Call_Table_Data[[#This Row],[Duration]]&lt;=120,"1 to 2 Hours",TRUE,"More Than 2 Hours")</f>
        <v>1 to 2 Hours</v>
      </c>
      <c r="K221" s="9">
        <f>ROUND(Call_Table_Data[[#This Row],[Satisfaction Rating]],0)</f>
        <v>5</v>
      </c>
    </row>
    <row r="222" spans="1:11" x14ac:dyDescent="0.3">
      <c r="A222" s="9" t="s">
        <v>1848</v>
      </c>
      <c r="B222" s="9" t="s">
        <v>1641</v>
      </c>
      <c r="C222" s="9">
        <v>72</v>
      </c>
      <c r="D222" s="149" t="s">
        <v>1616</v>
      </c>
      <c r="E222" s="150">
        <v>44999</v>
      </c>
      <c r="F222" s="9">
        <v>132</v>
      </c>
      <c r="G222" s="9">
        <v>3.4</v>
      </c>
      <c r="H222" s="9">
        <f>IF(MONTH(Call_Table_Data[[#This Row],[Date of Call]])&lt;=6,YEAR(Call_Table_Data[[#This Row],[Date of Call]]),YEAR(Call_Table_Data[[#This Row],[Date of Call]])+1)</f>
        <v>2023</v>
      </c>
      <c r="I222" s="9" t="str">
        <f>TEXT(Call_Table_Data[[#This Row],[Date of Call]],"DDDD")</f>
        <v>Tuesday</v>
      </c>
      <c r="J222" s="9" t="str" cm="1">
        <f t="array" ref="J222">_xlfn.IFS(Call_Table_Data[[#This Row],[Duration]]&lt;=10,"Under 10 Mins",Call_Table_Data[[#This Row],[Duration]]&lt;=30,"10 to 30 Mins",Call_Table_Data[[#This Row],[Duration]]&lt;=60,"30 to 60 Mins",Call_Table_Data[[#This Row],[Duration]]&lt;=120,"1 to 2 Hours",TRUE,"More Than 2 Hours")</f>
        <v>1 to 2 Hours</v>
      </c>
      <c r="K222" s="9">
        <f>ROUND(Call_Table_Data[[#This Row],[Satisfaction Rating]],0)</f>
        <v>3</v>
      </c>
    </row>
    <row r="223" spans="1:11" x14ac:dyDescent="0.3">
      <c r="A223" s="9" t="s">
        <v>1849</v>
      </c>
      <c r="B223" s="9" t="s">
        <v>1641</v>
      </c>
      <c r="C223" s="9">
        <v>63</v>
      </c>
      <c r="D223" s="149" t="s">
        <v>1611</v>
      </c>
      <c r="E223" s="150">
        <v>44999</v>
      </c>
      <c r="F223" s="9">
        <v>105</v>
      </c>
      <c r="G223" s="9">
        <v>3.3</v>
      </c>
      <c r="H223" s="9">
        <f>IF(MONTH(Call_Table_Data[[#This Row],[Date of Call]])&lt;=6,YEAR(Call_Table_Data[[#This Row],[Date of Call]]),YEAR(Call_Table_Data[[#This Row],[Date of Call]])+1)</f>
        <v>2023</v>
      </c>
      <c r="I223" s="9" t="str">
        <f>TEXT(Call_Table_Data[[#This Row],[Date of Call]],"DDDD")</f>
        <v>Tuesday</v>
      </c>
      <c r="J223" s="9" t="str" cm="1">
        <f t="array" ref="J223">_xlfn.IFS(Call_Table_Data[[#This Row],[Duration]]&lt;=10,"Under 10 Mins",Call_Table_Data[[#This Row],[Duration]]&lt;=30,"10 to 30 Mins",Call_Table_Data[[#This Row],[Duration]]&lt;=60,"30 to 60 Mins",Call_Table_Data[[#This Row],[Duration]]&lt;=120,"1 to 2 Hours",TRUE,"More Than 2 Hours")</f>
        <v>1 to 2 Hours</v>
      </c>
      <c r="K223" s="9">
        <f>ROUND(Call_Table_Data[[#This Row],[Satisfaction Rating]],0)</f>
        <v>3</v>
      </c>
    </row>
    <row r="224" spans="1:11" x14ac:dyDescent="0.3">
      <c r="A224" s="9" t="s">
        <v>1850</v>
      </c>
      <c r="B224" s="9" t="s">
        <v>1613</v>
      </c>
      <c r="C224" s="9">
        <v>139</v>
      </c>
      <c r="D224" s="149" t="s">
        <v>1626</v>
      </c>
      <c r="E224" s="150">
        <v>45000</v>
      </c>
      <c r="F224" s="9">
        <v>48</v>
      </c>
      <c r="G224" s="9">
        <v>4.7</v>
      </c>
      <c r="H224" s="9">
        <f>IF(MONTH(Call_Table_Data[[#This Row],[Date of Call]])&lt;=6,YEAR(Call_Table_Data[[#This Row],[Date of Call]]),YEAR(Call_Table_Data[[#This Row],[Date of Call]])+1)</f>
        <v>2023</v>
      </c>
      <c r="I224" s="9" t="str">
        <f>TEXT(Call_Table_Data[[#This Row],[Date of Call]],"DDDD")</f>
        <v>Wednesday</v>
      </c>
      <c r="J224" s="9" t="str" cm="1">
        <f t="array" ref="J224">_xlfn.IFS(Call_Table_Data[[#This Row],[Duration]]&lt;=10,"Under 10 Mins",Call_Table_Data[[#This Row],[Duration]]&lt;=30,"10 to 30 Mins",Call_Table_Data[[#This Row],[Duration]]&lt;=60,"30 to 60 Mins",Call_Table_Data[[#This Row],[Duration]]&lt;=120,"1 to 2 Hours",TRUE,"More Than 2 Hours")</f>
        <v>More Than 2 Hours</v>
      </c>
      <c r="K224" s="9">
        <f>ROUND(Call_Table_Data[[#This Row],[Satisfaction Rating]],0)</f>
        <v>5</v>
      </c>
    </row>
    <row r="225" spans="1:11" x14ac:dyDescent="0.3">
      <c r="A225" s="9" t="s">
        <v>1851</v>
      </c>
      <c r="B225" s="9" t="s">
        <v>1633</v>
      </c>
      <c r="C225" s="9">
        <v>59</v>
      </c>
      <c r="D225" s="149" t="s">
        <v>1626</v>
      </c>
      <c r="E225" s="150">
        <v>45000</v>
      </c>
      <c r="F225" s="9">
        <v>64</v>
      </c>
      <c r="G225" s="9">
        <v>4</v>
      </c>
      <c r="H225" s="9">
        <f>IF(MONTH(Call_Table_Data[[#This Row],[Date of Call]])&lt;=6,YEAR(Call_Table_Data[[#This Row],[Date of Call]]),YEAR(Call_Table_Data[[#This Row],[Date of Call]])+1)</f>
        <v>2023</v>
      </c>
      <c r="I225" s="9" t="str">
        <f>TEXT(Call_Table_Data[[#This Row],[Date of Call]],"DDDD")</f>
        <v>Wednesday</v>
      </c>
      <c r="J225" s="9" t="str" cm="1">
        <f t="array" ref="J225">_xlfn.IFS(Call_Table_Data[[#This Row],[Duration]]&lt;=10,"Under 10 Mins",Call_Table_Data[[#This Row],[Duration]]&lt;=30,"10 to 30 Mins",Call_Table_Data[[#This Row],[Duration]]&lt;=60,"30 to 60 Mins",Call_Table_Data[[#This Row],[Duration]]&lt;=120,"1 to 2 Hours",TRUE,"More Than 2 Hours")</f>
        <v>30 to 60 Mins</v>
      </c>
      <c r="K225" s="9">
        <f>ROUND(Call_Table_Data[[#This Row],[Satisfaction Rating]],0)</f>
        <v>4</v>
      </c>
    </row>
    <row r="226" spans="1:11" x14ac:dyDescent="0.3">
      <c r="A226" s="9" t="s">
        <v>1852</v>
      </c>
      <c r="B226" s="9" t="s">
        <v>1644</v>
      </c>
      <c r="C226" s="9">
        <v>138</v>
      </c>
      <c r="D226" s="149" t="s">
        <v>1611</v>
      </c>
      <c r="E226" s="150">
        <v>45000</v>
      </c>
      <c r="F226" s="9">
        <v>44</v>
      </c>
      <c r="G226" s="9">
        <v>3.8</v>
      </c>
      <c r="H226" s="9">
        <f>IF(MONTH(Call_Table_Data[[#This Row],[Date of Call]])&lt;=6,YEAR(Call_Table_Data[[#This Row],[Date of Call]]),YEAR(Call_Table_Data[[#This Row],[Date of Call]])+1)</f>
        <v>2023</v>
      </c>
      <c r="I226" s="9" t="str">
        <f>TEXT(Call_Table_Data[[#This Row],[Date of Call]],"DDDD")</f>
        <v>Wednesday</v>
      </c>
      <c r="J226" s="9" t="str" cm="1">
        <f t="array" ref="J226">_xlfn.IFS(Call_Table_Data[[#This Row],[Duration]]&lt;=10,"Under 10 Mins",Call_Table_Data[[#This Row],[Duration]]&lt;=30,"10 to 30 Mins",Call_Table_Data[[#This Row],[Duration]]&lt;=60,"30 to 60 Mins",Call_Table_Data[[#This Row],[Duration]]&lt;=120,"1 to 2 Hours",TRUE,"More Than 2 Hours")</f>
        <v>More Than 2 Hours</v>
      </c>
      <c r="K226" s="9">
        <f>ROUND(Call_Table_Data[[#This Row],[Satisfaction Rating]],0)</f>
        <v>4</v>
      </c>
    </row>
    <row r="227" spans="1:11" x14ac:dyDescent="0.3">
      <c r="A227" s="9" t="s">
        <v>1853</v>
      </c>
      <c r="B227" s="9" t="s">
        <v>1613</v>
      </c>
      <c r="C227" s="9">
        <v>47</v>
      </c>
      <c r="D227" s="149" t="s">
        <v>1616</v>
      </c>
      <c r="E227" s="150">
        <v>45000</v>
      </c>
      <c r="F227" s="9">
        <v>120</v>
      </c>
      <c r="G227" s="9">
        <v>3.1</v>
      </c>
      <c r="H227" s="9">
        <f>IF(MONTH(Call_Table_Data[[#This Row],[Date of Call]])&lt;=6,YEAR(Call_Table_Data[[#This Row],[Date of Call]]),YEAR(Call_Table_Data[[#This Row],[Date of Call]])+1)</f>
        <v>2023</v>
      </c>
      <c r="I227" s="9" t="str">
        <f>TEXT(Call_Table_Data[[#This Row],[Date of Call]],"DDDD")</f>
        <v>Wednesday</v>
      </c>
      <c r="J227" s="9" t="str" cm="1">
        <f t="array" ref="J227">_xlfn.IFS(Call_Table_Data[[#This Row],[Duration]]&lt;=10,"Under 10 Mins",Call_Table_Data[[#This Row],[Duration]]&lt;=30,"10 to 30 Mins",Call_Table_Data[[#This Row],[Duration]]&lt;=60,"30 to 60 Mins",Call_Table_Data[[#This Row],[Duration]]&lt;=120,"1 to 2 Hours",TRUE,"More Than 2 Hours")</f>
        <v>30 to 60 Mins</v>
      </c>
      <c r="K227" s="9">
        <f>ROUND(Call_Table_Data[[#This Row],[Satisfaction Rating]],0)</f>
        <v>3</v>
      </c>
    </row>
    <row r="228" spans="1:11" x14ac:dyDescent="0.3">
      <c r="A228" s="9" t="s">
        <v>1854</v>
      </c>
      <c r="B228" s="9" t="s">
        <v>1644</v>
      </c>
      <c r="C228" s="9">
        <v>74</v>
      </c>
      <c r="D228" s="149" t="s">
        <v>1616</v>
      </c>
      <c r="E228" s="150">
        <v>45000</v>
      </c>
      <c r="F228" s="9">
        <v>144</v>
      </c>
      <c r="G228" s="9">
        <v>4.8</v>
      </c>
      <c r="H228" s="9">
        <f>IF(MONTH(Call_Table_Data[[#This Row],[Date of Call]])&lt;=6,YEAR(Call_Table_Data[[#This Row],[Date of Call]]),YEAR(Call_Table_Data[[#This Row],[Date of Call]])+1)</f>
        <v>2023</v>
      </c>
      <c r="I228" s="9" t="str">
        <f>TEXT(Call_Table_Data[[#This Row],[Date of Call]],"DDDD")</f>
        <v>Wednesday</v>
      </c>
      <c r="J228" s="9" t="str" cm="1">
        <f t="array" ref="J228">_xlfn.IFS(Call_Table_Data[[#This Row],[Duration]]&lt;=10,"Under 10 Mins",Call_Table_Data[[#This Row],[Duration]]&lt;=30,"10 to 30 Mins",Call_Table_Data[[#This Row],[Duration]]&lt;=60,"30 to 60 Mins",Call_Table_Data[[#This Row],[Duration]]&lt;=120,"1 to 2 Hours",TRUE,"More Than 2 Hours")</f>
        <v>1 to 2 Hours</v>
      </c>
      <c r="K228" s="9">
        <f>ROUND(Call_Table_Data[[#This Row],[Satisfaction Rating]],0)</f>
        <v>5</v>
      </c>
    </row>
    <row r="229" spans="1:11" x14ac:dyDescent="0.3">
      <c r="A229" s="9" t="s">
        <v>1855</v>
      </c>
      <c r="B229" s="9" t="s">
        <v>1641</v>
      </c>
      <c r="C229" s="9">
        <v>65</v>
      </c>
      <c r="D229" s="149" t="s">
        <v>1616</v>
      </c>
      <c r="E229" s="150">
        <v>45000</v>
      </c>
      <c r="F229" s="9">
        <v>87</v>
      </c>
      <c r="G229" s="9">
        <v>2.7</v>
      </c>
      <c r="H229" s="9">
        <f>IF(MONTH(Call_Table_Data[[#This Row],[Date of Call]])&lt;=6,YEAR(Call_Table_Data[[#This Row],[Date of Call]]),YEAR(Call_Table_Data[[#This Row],[Date of Call]])+1)</f>
        <v>2023</v>
      </c>
      <c r="I229" s="9" t="str">
        <f>TEXT(Call_Table_Data[[#This Row],[Date of Call]],"DDDD")</f>
        <v>Wednesday</v>
      </c>
      <c r="J229" s="9" t="str" cm="1">
        <f t="array" ref="J229">_xlfn.IFS(Call_Table_Data[[#This Row],[Duration]]&lt;=10,"Under 10 Mins",Call_Table_Data[[#This Row],[Duration]]&lt;=30,"10 to 30 Mins",Call_Table_Data[[#This Row],[Duration]]&lt;=60,"30 to 60 Mins",Call_Table_Data[[#This Row],[Duration]]&lt;=120,"1 to 2 Hours",TRUE,"More Than 2 Hours")</f>
        <v>1 to 2 Hours</v>
      </c>
      <c r="K229" s="9">
        <f>ROUND(Call_Table_Data[[#This Row],[Satisfaction Rating]],0)</f>
        <v>3</v>
      </c>
    </row>
    <row r="230" spans="1:11" x14ac:dyDescent="0.3">
      <c r="A230" s="9" t="s">
        <v>1856</v>
      </c>
      <c r="B230" s="9" t="s">
        <v>1620</v>
      </c>
      <c r="C230" s="9">
        <v>123</v>
      </c>
      <c r="D230" s="149" t="s">
        <v>1630</v>
      </c>
      <c r="E230" s="150">
        <v>45000</v>
      </c>
      <c r="F230" s="9">
        <v>36</v>
      </c>
      <c r="G230" s="9">
        <v>3.6</v>
      </c>
      <c r="H230" s="9">
        <f>IF(MONTH(Call_Table_Data[[#This Row],[Date of Call]])&lt;=6,YEAR(Call_Table_Data[[#This Row],[Date of Call]]),YEAR(Call_Table_Data[[#This Row],[Date of Call]])+1)</f>
        <v>2023</v>
      </c>
      <c r="I230" s="9" t="str">
        <f>TEXT(Call_Table_Data[[#This Row],[Date of Call]],"DDDD")</f>
        <v>Wednesday</v>
      </c>
      <c r="J230" s="9" t="str" cm="1">
        <f t="array" ref="J230">_xlfn.IFS(Call_Table_Data[[#This Row],[Duration]]&lt;=10,"Under 10 Mins",Call_Table_Data[[#This Row],[Duration]]&lt;=30,"10 to 30 Mins",Call_Table_Data[[#This Row],[Duration]]&lt;=60,"30 to 60 Mins",Call_Table_Data[[#This Row],[Duration]]&lt;=120,"1 to 2 Hours",TRUE,"More Than 2 Hours")</f>
        <v>More Than 2 Hours</v>
      </c>
      <c r="K230" s="9">
        <f>ROUND(Call_Table_Data[[#This Row],[Satisfaction Rating]],0)</f>
        <v>4</v>
      </c>
    </row>
    <row r="231" spans="1:11" x14ac:dyDescent="0.3">
      <c r="A231" s="9" t="s">
        <v>1857</v>
      </c>
      <c r="B231" s="9" t="s">
        <v>1641</v>
      </c>
      <c r="C231" s="9">
        <v>90</v>
      </c>
      <c r="D231" s="149" t="s">
        <v>1626</v>
      </c>
      <c r="E231" s="150">
        <v>45001</v>
      </c>
      <c r="F231" s="9">
        <v>72</v>
      </c>
      <c r="G231" s="9">
        <v>4.7</v>
      </c>
      <c r="H231" s="9">
        <f>IF(MONTH(Call_Table_Data[[#This Row],[Date of Call]])&lt;=6,YEAR(Call_Table_Data[[#This Row],[Date of Call]]),YEAR(Call_Table_Data[[#This Row],[Date of Call]])+1)</f>
        <v>2023</v>
      </c>
      <c r="I231" s="9" t="str">
        <f>TEXT(Call_Table_Data[[#This Row],[Date of Call]],"DDDD")</f>
        <v>Thursday</v>
      </c>
      <c r="J231" s="9" t="str" cm="1">
        <f t="array" ref="J231">_xlfn.IFS(Call_Table_Data[[#This Row],[Duration]]&lt;=10,"Under 10 Mins",Call_Table_Data[[#This Row],[Duration]]&lt;=30,"10 to 30 Mins",Call_Table_Data[[#This Row],[Duration]]&lt;=60,"30 to 60 Mins",Call_Table_Data[[#This Row],[Duration]]&lt;=120,"1 to 2 Hours",TRUE,"More Than 2 Hours")</f>
        <v>1 to 2 Hours</v>
      </c>
      <c r="K231" s="9">
        <f>ROUND(Call_Table_Data[[#This Row],[Satisfaction Rating]],0)</f>
        <v>5</v>
      </c>
    </row>
    <row r="232" spans="1:11" x14ac:dyDescent="0.3">
      <c r="A232" s="9" t="s">
        <v>1858</v>
      </c>
      <c r="B232" s="9" t="s">
        <v>1662</v>
      </c>
      <c r="C232" s="9">
        <v>127</v>
      </c>
      <c r="D232" s="149" t="s">
        <v>1611</v>
      </c>
      <c r="E232" s="150">
        <v>45001</v>
      </c>
      <c r="F232" s="9">
        <v>150</v>
      </c>
      <c r="G232" s="9">
        <v>4.4000000000000004</v>
      </c>
      <c r="H232" s="9">
        <f>IF(MONTH(Call_Table_Data[[#This Row],[Date of Call]])&lt;=6,YEAR(Call_Table_Data[[#This Row],[Date of Call]]),YEAR(Call_Table_Data[[#This Row],[Date of Call]])+1)</f>
        <v>2023</v>
      </c>
      <c r="I232" s="9" t="str">
        <f>TEXT(Call_Table_Data[[#This Row],[Date of Call]],"DDDD")</f>
        <v>Thursday</v>
      </c>
      <c r="J232" s="9" t="str" cm="1">
        <f t="array" ref="J232">_xlfn.IFS(Call_Table_Data[[#This Row],[Duration]]&lt;=10,"Under 10 Mins",Call_Table_Data[[#This Row],[Duration]]&lt;=30,"10 to 30 Mins",Call_Table_Data[[#This Row],[Duration]]&lt;=60,"30 to 60 Mins",Call_Table_Data[[#This Row],[Duration]]&lt;=120,"1 to 2 Hours",TRUE,"More Than 2 Hours")</f>
        <v>More Than 2 Hours</v>
      </c>
      <c r="K232" s="9">
        <f>ROUND(Call_Table_Data[[#This Row],[Satisfaction Rating]],0)</f>
        <v>4</v>
      </c>
    </row>
    <row r="233" spans="1:11" x14ac:dyDescent="0.3">
      <c r="A233" s="9" t="s">
        <v>1859</v>
      </c>
      <c r="B233" s="9" t="s">
        <v>1618</v>
      </c>
      <c r="C233" s="9">
        <v>60</v>
      </c>
      <c r="D233" s="149" t="s">
        <v>1616</v>
      </c>
      <c r="E233" s="150">
        <v>45001</v>
      </c>
      <c r="F233" s="9">
        <v>68</v>
      </c>
      <c r="G233" s="9">
        <v>4.3</v>
      </c>
      <c r="H233" s="9">
        <f>IF(MONTH(Call_Table_Data[[#This Row],[Date of Call]])&lt;=6,YEAR(Call_Table_Data[[#This Row],[Date of Call]]),YEAR(Call_Table_Data[[#This Row],[Date of Call]])+1)</f>
        <v>2023</v>
      </c>
      <c r="I233" s="9" t="str">
        <f>TEXT(Call_Table_Data[[#This Row],[Date of Call]],"DDDD")</f>
        <v>Thursday</v>
      </c>
      <c r="J233" s="9" t="str" cm="1">
        <f t="array" ref="J233">_xlfn.IFS(Call_Table_Data[[#This Row],[Duration]]&lt;=10,"Under 10 Mins",Call_Table_Data[[#This Row],[Duration]]&lt;=30,"10 to 30 Mins",Call_Table_Data[[#This Row],[Duration]]&lt;=60,"30 to 60 Mins",Call_Table_Data[[#This Row],[Duration]]&lt;=120,"1 to 2 Hours",TRUE,"More Than 2 Hours")</f>
        <v>30 to 60 Mins</v>
      </c>
      <c r="K233" s="9">
        <f>ROUND(Call_Table_Data[[#This Row],[Satisfaction Rating]],0)</f>
        <v>4</v>
      </c>
    </row>
    <row r="234" spans="1:11" x14ac:dyDescent="0.3">
      <c r="A234" s="9" t="s">
        <v>1860</v>
      </c>
      <c r="B234" s="9" t="s">
        <v>1613</v>
      </c>
      <c r="C234" s="9">
        <v>94</v>
      </c>
      <c r="D234" s="149" t="s">
        <v>1611</v>
      </c>
      <c r="E234" s="150">
        <v>45001</v>
      </c>
      <c r="F234" s="9">
        <v>99</v>
      </c>
      <c r="G234" s="9">
        <v>4.9000000000000004</v>
      </c>
      <c r="H234" s="9">
        <f>IF(MONTH(Call_Table_Data[[#This Row],[Date of Call]])&lt;=6,YEAR(Call_Table_Data[[#This Row],[Date of Call]]),YEAR(Call_Table_Data[[#This Row],[Date of Call]])+1)</f>
        <v>2023</v>
      </c>
      <c r="I234" s="9" t="str">
        <f>TEXT(Call_Table_Data[[#This Row],[Date of Call]],"DDDD")</f>
        <v>Thursday</v>
      </c>
      <c r="J234" s="9" t="str" cm="1">
        <f t="array" ref="J234">_xlfn.IFS(Call_Table_Data[[#This Row],[Duration]]&lt;=10,"Under 10 Mins",Call_Table_Data[[#This Row],[Duration]]&lt;=30,"10 to 30 Mins",Call_Table_Data[[#This Row],[Duration]]&lt;=60,"30 to 60 Mins",Call_Table_Data[[#This Row],[Duration]]&lt;=120,"1 to 2 Hours",TRUE,"More Than 2 Hours")</f>
        <v>1 to 2 Hours</v>
      </c>
      <c r="K234" s="9">
        <f>ROUND(Call_Table_Data[[#This Row],[Satisfaction Rating]],0)</f>
        <v>5</v>
      </c>
    </row>
    <row r="235" spans="1:11" x14ac:dyDescent="0.3">
      <c r="A235" s="9" t="s">
        <v>1861</v>
      </c>
      <c r="B235" s="9" t="s">
        <v>1620</v>
      </c>
      <c r="C235" s="9">
        <v>54</v>
      </c>
      <c r="D235" s="149" t="s">
        <v>1616</v>
      </c>
      <c r="E235" s="150">
        <v>45001</v>
      </c>
      <c r="F235" s="9">
        <v>26</v>
      </c>
      <c r="G235" s="9">
        <v>4.8</v>
      </c>
      <c r="H235" s="9">
        <f>IF(MONTH(Call_Table_Data[[#This Row],[Date of Call]])&lt;=6,YEAR(Call_Table_Data[[#This Row],[Date of Call]]),YEAR(Call_Table_Data[[#This Row],[Date of Call]])+1)</f>
        <v>2023</v>
      </c>
      <c r="I235" s="9" t="str">
        <f>TEXT(Call_Table_Data[[#This Row],[Date of Call]],"DDDD")</f>
        <v>Thursday</v>
      </c>
      <c r="J235" s="9" t="str" cm="1">
        <f t="array" ref="J235">_xlfn.IFS(Call_Table_Data[[#This Row],[Duration]]&lt;=10,"Under 10 Mins",Call_Table_Data[[#This Row],[Duration]]&lt;=30,"10 to 30 Mins",Call_Table_Data[[#This Row],[Duration]]&lt;=60,"30 to 60 Mins",Call_Table_Data[[#This Row],[Duration]]&lt;=120,"1 to 2 Hours",TRUE,"More Than 2 Hours")</f>
        <v>30 to 60 Mins</v>
      </c>
      <c r="K235" s="9">
        <f>ROUND(Call_Table_Data[[#This Row],[Satisfaction Rating]],0)</f>
        <v>5</v>
      </c>
    </row>
    <row r="236" spans="1:11" x14ac:dyDescent="0.3">
      <c r="A236" s="9" t="s">
        <v>1862</v>
      </c>
      <c r="B236" s="9" t="s">
        <v>1641</v>
      </c>
      <c r="C236" s="9">
        <v>104</v>
      </c>
      <c r="D236" s="149" t="s">
        <v>1616</v>
      </c>
      <c r="E236" s="150">
        <v>45001</v>
      </c>
      <c r="F236" s="9">
        <v>88</v>
      </c>
      <c r="G236" s="9">
        <v>3.2</v>
      </c>
      <c r="H236" s="9">
        <f>IF(MONTH(Call_Table_Data[[#This Row],[Date of Call]])&lt;=6,YEAR(Call_Table_Data[[#This Row],[Date of Call]]),YEAR(Call_Table_Data[[#This Row],[Date of Call]])+1)</f>
        <v>2023</v>
      </c>
      <c r="I236" s="9" t="str">
        <f>TEXT(Call_Table_Data[[#This Row],[Date of Call]],"DDDD")</f>
        <v>Thursday</v>
      </c>
      <c r="J236" s="9" t="str" cm="1">
        <f t="array" ref="J236">_xlfn.IFS(Call_Table_Data[[#This Row],[Duration]]&lt;=10,"Under 10 Mins",Call_Table_Data[[#This Row],[Duration]]&lt;=30,"10 to 30 Mins",Call_Table_Data[[#This Row],[Duration]]&lt;=60,"30 to 60 Mins",Call_Table_Data[[#This Row],[Duration]]&lt;=120,"1 to 2 Hours",TRUE,"More Than 2 Hours")</f>
        <v>1 to 2 Hours</v>
      </c>
      <c r="K236" s="9">
        <f>ROUND(Call_Table_Data[[#This Row],[Satisfaction Rating]],0)</f>
        <v>3</v>
      </c>
    </row>
    <row r="237" spans="1:11" x14ac:dyDescent="0.3">
      <c r="A237" s="9" t="s">
        <v>1863</v>
      </c>
      <c r="B237" s="9" t="s">
        <v>1624</v>
      </c>
      <c r="C237" s="9">
        <v>100</v>
      </c>
      <c r="D237" s="149" t="s">
        <v>1616</v>
      </c>
      <c r="E237" s="150">
        <v>45001</v>
      </c>
      <c r="F237" s="9">
        <v>124</v>
      </c>
      <c r="G237" s="9">
        <v>3.4</v>
      </c>
      <c r="H237" s="9">
        <f>IF(MONTH(Call_Table_Data[[#This Row],[Date of Call]])&lt;=6,YEAR(Call_Table_Data[[#This Row],[Date of Call]]),YEAR(Call_Table_Data[[#This Row],[Date of Call]])+1)</f>
        <v>2023</v>
      </c>
      <c r="I237" s="9" t="str">
        <f>TEXT(Call_Table_Data[[#This Row],[Date of Call]],"DDDD")</f>
        <v>Thursday</v>
      </c>
      <c r="J237" s="9" t="str" cm="1">
        <f t="array" ref="J237">_xlfn.IFS(Call_Table_Data[[#This Row],[Duration]]&lt;=10,"Under 10 Mins",Call_Table_Data[[#This Row],[Duration]]&lt;=30,"10 to 30 Mins",Call_Table_Data[[#This Row],[Duration]]&lt;=60,"30 to 60 Mins",Call_Table_Data[[#This Row],[Duration]]&lt;=120,"1 to 2 Hours",TRUE,"More Than 2 Hours")</f>
        <v>1 to 2 Hours</v>
      </c>
      <c r="K237" s="9">
        <f>ROUND(Call_Table_Data[[#This Row],[Satisfaction Rating]],0)</f>
        <v>3</v>
      </c>
    </row>
    <row r="238" spans="1:11" x14ac:dyDescent="0.3">
      <c r="A238" s="9" t="s">
        <v>1864</v>
      </c>
      <c r="B238" s="9" t="s">
        <v>1644</v>
      </c>
      <c r="C238" s="9">
        <v>84</v>
      </c>
      <c r="D238" s="149" t="s">
        <v>1616</v>
      </c>
      <c r="E238" s="150">
        <v>45001</v>
      </c>
      <c r="F238" s="9">
        <v>72</v>
      </c>
      <c r="G238" s="9">
        <v>3.5</v>
      </c>
      <c r="H238" s="9">
        <f>IF(MONTH(Call_Table_Data[[#This Row],[Date of Call]])&lt;=6,YEAR(Call_Table_Data[[#This Row],[Date of Call]]),YEAR(Call_Table_Data[[#This Row],[Date of Call]])+1)</f>
        <v>2023</v>
      </c>
      <c r="I238" s="9" t="str">
        <f>TEXT(Call_Table_Data[[#This Row],[Date of Call]],"DDDD")</f>
        <v>Thursday</v>
      </c>
      <c r="J238" s="9" t="str" cm="1">
        <f t="array" ref="J238">_xlfn.IFS(Call_Table_Data[[#This Row],[Duration]]&lt;=10,"Under 10 Mins",Call_Table_Data[[#This Row],[Duration]]&lt;=30,"10 to 30 Mins",Call_Table_Data[[#This Row],[Duration]]&lt;=60,"30 to 60 Mins",Call_Table_Data[[#This Row],[Duration]]&lt;=120,"1 to 2 Hours",TRUE,"More Than 2 Hours")</f>
        <v>1 to 2 Hours</v>
      </c>
      <c r="K238" s="9">
        <f>ROUND(Call_Table_Data[[#This Row],[Satisfaction Rating]],0)</f>
        <v>4</v>
      </c>
    </row>
    <row r="239" spans="1:11" x14ac:dyDescent="0.3">
      <c r="A239" s="9" t="s">
        <v>1865</v>
      </c>
      <c r="B239" s="9" t="s">
        <v>1610</v>
      </c>
      <c r="C239" s="9">
        <v>92</v>
      </c>
      <c r="D239" s="149" t="s">
        <v>1621</v>
      </c>
      <c r="E239" s="150">
        <v>45002</v>
      </c>
      <c r="F239" s="9">
        <v>125</v>
      </c>
      <c r="G239" s="9">
        <v>4.9000000000000004</v>
      </c>
      <c r="H239" s="9">
        <f>IF(MONTH(Call_Table_Data[[#This Row],[Date of Call]])&lt;=6,YEAR(Call_Table_Data[[#This Row],[Date of Call]]),YEAR(Call_Table_Data[[#This Row],[Date of Call]])+1)</f>
        <v>2023</v>
      </c>
      <c r="I239" s="9" t="str">
        <f>TEXT(Call_Table_Data[[#This Row],[Date of Call]],"DDDD")</f>
        <v>Friday</v>
      </c>
      <c r="J239" s="9" t="str" cm="1">
        <f t="array" ref="J239">_xlfn.IFS(Call_Table_Data[[#This Row],[Duration]]&lt;=10,"Under 10 Mins",Call_Table_Data[[#This Row],[Duration]]&lt;=30,"10 to 30 Mins",Call_Table_Data[[#This Row],[Duration]]&lt;=60,"30 to 60 Mins",Call_Table_Data[[#This Row],[Duration]]&lt;=120,"1 to 2 Hours",TRUE,"More Than 2 Hours")</f>
        <v>1 to 2 Hours</v>
      </c>
      <c r="K239" s="9">
        <f>ROUND(Call_Table_Data[[#This Row],[Satisfaction Rating]],0)</f>
        <v>5</v>
      </c>
    </row>
    <row r="240" spans="1:11" x14ac:dyDescent="0.3">
      <c r="A240" s="9" t="s">
        <v>1866</v>
      </c>
      <c r="B240" s="9" t="s">
        <v>1629</v>
      </c>
      <c r="C240" s="9">
        <v>64</v>
      </c>
      <c r="D240" s="149" t="s">
        <v>1611</v>
      </c>
      <c r="E240" s="150">
        <v>45002</v>
      </c>
      <c r="F240" s="9">
        <v>22</v>
      </c>
      <c r="G240" s="9">
        <v>4.0999999999999996</v>
      </c>
      <c r="H240" s="9">
        <f>IF(MONTH(Call_Table_Data[[#This Row],[Date of Call]])&lt;=6,YEAR(Call_Table_Data[[#This Row],[Date of Call]]),YEAR(Call_Table_Data[[#This Row],[Date of Call]])+1)</f>
        <v>2023</v>
      </c>
      <c r="I240" s="9" t="str">
        <f>TEXT(Call_Table_Data[[#This Row],[Date of Call]],"DDDD")</f>
        <v>Friday</v>
      </c>
      <c r="J240" s="9" t="str" cm="1">
        <f t="array" ref="J240">_xlfn.IFS(Call_Table_Data[[#This Row],[Duration]]&lt;=10,"Under 10 Mins",Call_Table_Data[[#This Row],[Duration]]&lt;=30,"10 to 30 Mins",Call_Table_Data[[#This Row],[Duration]]&lt;=60,"30 to 60 Mins",Call_Table_Data[[#This Row],[Duration]]&lt;=120,"1 to 2 Hours",TRUE,"More Than 2 Hours")</f>
        <v>1 to 2 Hours</v>
      </c>
      <c r="K240" s="9">
        <f>ROUND(Call_Table_Data[[#This Row],[Satisfaction Rating]],0)</f>
        <v>4</v>
      </c>
    </row>
    <row r="241" spans="1:11" x14ac:dyDescent="0.3">
      <c r="A241" s="9" t="s">
        <v>1867</v>
      </c>
      <c r="B241" s="9" t="s">
        <v>1615</v>
      </c>
      <c r="C241" s="9">
        <v>89</v>
      </c>
      <c r="D241" s="149" t="s">
        <v>1626</v>
      </c>
      <c r="E241" s="150">
        <v>45003</v>
      </c>
      <c r="F241" s="9">
        <v>70</v>
      </c>
      <c r="G241" s="9">
        <v>4.9000000000000004</v>
      </c>
      <c r="H241" s="9">
        <f>IF(MONTH(Call_Table_Data[[#This Row],[Date of Call]])&lt;=6,YEAR(Call_Table_Data[[#This Row],[Date of Call]]),YEAR(Call_Table_Data[[#This Row],[Date of Call]])+1)</f>
        <v>2023</v>
      </c>
      <c r="I241" s="9" t="str">
        <f>TEXT(Call_Table_Data[[#This Row],[Date of Call]],"DDDD")</f>
        <v>Saturday</v>
      </c>
      <c r="J241" s="9" t="str" cm="1">
        <f t="array" ref="J241">_xlfn.IFS(Call_Table_Data[[#This Row],[Duration]]&lt;=10,"Under 10 Mins",Call_Table_Data[[#This Row],[Duration]]&lt;=30,"10 to 30 Mins",Call_Table_Data[[#This Row],[Duration]]&lt;=60,"30 to 60 Mins",Call_Table_Data[[#This Row],[Duration]]&lt;=120,"1 to 2 Hours",TRUE,"More Than 2 Hours")</f>
        <v>1 to 2 Hours</v>
      </c>
      <c r="K241" s="9">
        <f>ROUND(Call_Table_Data[[#This Row],[Satisfaction Rating]],0)</f>
        <v>5</v>
      </c>
    </row>
    <row r="242" spans="1:11" x14ac:dyDescent="0.3">
      <c r="A242" s="9" t="s">
        <v>1868</v>
      </c>
      <c r="B242" s="9" t="s">
        <v>1649</v>
      </c>
      <c r="C242" s="9">
        <v>40</v>
      </c>
      <c r="D242" s="149" t="s">
        <v>1616</v>
      </c>
      <c r="E242" s="150">
        <v>45003</v>
      </c>
      <c r="F242" s="9">
        <v>24</v>
      </c>
      <c r="G242" s="9">
        <v>4.3</v>
      </c>
      <c r="H242" s="9">
        <f>IF(MONTH(Call_Table_Data[[#This Row],[Date of Call]])&lt;=6,YEAR(Call_Table_Data[[#This Row],[Date of Call]]),YEAR(Call_Table_Data[[#This Row],[Date of Call]])+1)</f>
        <v>2023</v>
      </c>
      <c r="I242" s="9" t="str">
        <f>TEXT(Call_Table_Data[[#This Row],[Date of Call]],"DDDD")</f>
        <v>Saturday</v>
      </c>
      <c r="J242" s="9" t="str" cm="1">
        <f t="array" ref="J242">_xlfn.IFS(Call_Table_Data[[#This Row],[Duration]]&lt;=10,"Under 10 Mins",Call_Table_Data[[#This Row],[Duration]]&lt;=30,"10 to 30 Mins",Call_Table_Data[[#This Row],[Duration]]&lt;=60,"30 to 60 Mins",Call_Table_Data[[#This Row],[Duration]]&lt;=120,"1 to 2 Hours",TRUE,"More Than 2 Hours")</f>
        <v>30 to 60 Mins</v>
      </c>
      <c r="K242" s="9">
        <f>ROUND(Call_Table_Data[[#This Row],[Satisfaction Rating]],0)</f>
        <v>4</v>
      </c>
    </row>
    <row r="243" spans="1:11" x14ac:dyDescent="0.3">
      <c r="A243" s="9" t="s">
        <v>1869</v>
      </c>
      <c r="B243" s="9" t="s">
        <v>1633</v>
      </c>
      <c r="C243" s="9">
        <v>75</v>
      </c>
      <c r="D243" s="149" t="s">
        <v>1630</v>
      </c>
      <c r="E243" s="150">
        <v>45003</v>
      </c>
      <c r="F243" s="9">
        <v>32</v>
      </c>
      <c r="G243" s="9">
        <v>4.0999999999999996</v>
      </c>
      <c r="H243" s="9">
        <f>IF(MONTH(Call_Table_Data[[#This Row],[Date of Call]])&lt;=6,YEAR(Call_Table_Data[[#This Row],[Date of Call]]),YEAR(Call_Table_Data[[#This Row],[Date of Call]])+1)</f>
        <v>2023</v>
      </c>
      <c r="I243" s="9" t="str">
        <f>TEXT(Call_Table_Data[[#This Row],[Date of Call]],"DDDD")</f>
        <v>Saturday</v>
      </c>
      <c r="J243" s="9" t="str" cm="1">
        <f t="array" ref="J243">_xlfn.IFS(Call_Table_Data[[#This Row],[Duration]]&lt;=10,"Under 10 Mins",Call_Table_Data[[#This Row],[Duration]]&lt;=30,"10 to 30 Mins",Call_Table_Data[[#This Row],[Duration]]&lt;=60,"30 to 60 Mins",Call_Table_Data[[#This Row],[Duration]]&lt;=120,"1 to 2 Hours",TRUE,"More Than 2 Hours")</f>
        <v>1 to 2 Hours</v>
      </c>
      <c r="K243" s="9">
        <f>ROUND(Call_Table_Data[[#This Row],[Satisfaction Rating]],0)</f>
        <v>4</v>
      </c>
    </row>
    <row r="244" spans="1:11" x14ac:dyDescent="0.3">
      <c r="A244" s="9" t="s">
        <v>1870</v>
      </c>
      <c r="B244" s="9" t="s">
        <v>1662</v>
      </c>
      <c r="C244" s="9">
        <v>106</v>
      </c>
      <c r="D244" s="149" t="s">
        <v>1621</v>
      </c>
      <c r="E244" s="150">
        <v>45003</v>
      </c>
      <c r="F244" s="9">
        <v>112</v>
      </c>
      <c r="G244" s="9">
        <v>4.4000000000000004</v>
      </c>
      <c r="H244" s="9">
        <f>IF(MONTH(Call_Table_Data[[#This Row],[Date of Call]])&lt;=6,YEAR(Call_Table_Data[[#This Row],[Date of Call]]),YEAR(Call_Table_Data[[#This Row],[Date of Call]])+1)</f>
        <v>2023</v>
      </c>
      <c r="I244" s="9" t="str">
        <f>TEXT(Call_Table_Data[[#This Row],[Date of Call]],"DDDD")</f>
        <v>Saturday</v>
      </c>
      <c r="J244" s="9" t="str" cm="1">
        <f t="array" ref="J244">_xlfn.IFS(Call_Table_Data[[#This Row],[Duration]]&lt;=10,"Under 10 Mins",Call_Table_Data[[#This Row],[Duration]]&lt;=30,"10 to 30 Mins",Call_Table_Data[[#This Row],[Duration]]&lt;=60,"30 to 60 Mins",Call_Table_Data[[#This Row],[Duration]]&lt;=120,"1 to 2 Hours",TRUE,"More Than 2 Hours")</f>
        <v>1 to 2 Hours</v>
      </c>
      <c r="K244" s="9">
        <f>ROUND(Call_Table_Data[[#This Row],[Satisfaction Rating]],0)</f>
        <v>4</v>
      </c>
    </row>
    <row r="245" spans="1:11" x14ac:dyDescent="0.3">
      <c r="A245" s="9" t="s">
        <v>1871</v>
      </c>
      <c r="B245" s="9" t="s">
        <v>1629</v>
      </c>
      <c r="C245" s="9">
        <v>58</v>
      </c>
      <c r="D245" s="149" t="s">
        <v>1616</v>
      </c>
      <c r="E245" s="150">
        <v>45004</v>
      </c>
      <c r="F245" s="9">
        <v>43</v>
      </c>
      <c r="G245" s="9">
        <v>4.5</v>
      </c>
      <c r="H245" s="9">
        <f>IF(MONTH(Call_Table_Data[[#This Row],[Date of Call]])&lt;=6,YEAR(Call_Table_Data[[#This Row],[Date of Call]]),YEAR(Call_Table_Data[[#This Row],[Date of Call]])+1)</f>
        <v>2023</v>
      </c>
      <c r="I245" s="9" t="str">
        <f>TEXT(Call_Table_Data[[#This Row],[Date of Call]],"DDDD")</f>
        <v>Sunday</v>
      </c>
      <c r="J245" s="9" t="str" cm="1">
        <f t="array" ref="J245">_xlfn.IFS(Call_Table_Data[[#This Row],[Duration]]&lt;=10,"Under 10 Mins",Call_Table_Data[[#This Row],[Duration]]&lt;=30,"10 to 30 Mins",Call_Table_Data[[#This Row],[Duration]]&lt;=60,"30 to 60 Mins",Call_Table_Data[[#This Row],[Duration]]&lt;=120,"1 to 2 Hours",TRUE,"More Than 2 Hours")</f>
        <v>30 to 60 Mins</v>
      </c>
      <c r="K245" s="9">
        <f>ROUND(Call_Table_Data[[#This Row],[Satisfaction Rating]],0)</f>
        <v>5</v>
      </c>
    </row>
    <row r="246" spans="1:11" x14ac:dyDescent="0.3">
      <c r="A246" s="9" t="s">
        <v>1872</v>
      </c>
      <c r="B246" s="9" t="s">
        <v>1644</v>
      </c>
      <c r="C246" s="9">
        <v>84</v>
      </c>
      <c r="D246" s="149" t="s">
        <v>1621</v>
      </c>
      <c r="E246" s="150">
        <v>45004</v>
      </c>
      <c r="F246" s="9">
        <v>22</v>
      </c>
      <c r="G246" s="9">
        <v>3.5</v>
      </c>
      <c r="H246" s="9">
        <f>IF(MONTH(Call_Table_Data[[#This Row],[Date of Call]])&lt;=6,YEAR(Call_Table_Data[[#This Row],[Date of Call]]),YEAR(Call_Table_Data[[#This Row],[Date of Call]])+1)</f>
        <v>2023</v>
      </c>
      <c r="I246" s="9" t="str">
        <f>TEXT(Call_Table_Data[[#This Row],[Date of Call]],"DDDD")</f>
        <v>Sunday</v>
      </c>
      <c r="J246" s="9" t="str" cm="1">
        <f t="array" ref="J246">_xlfn.IFS(Call_Table_Data[[#This Row],[Duration]]&lt;=10,"Under 10 Mins",Call_Table_Data[[#This Row],[Duration]]&lt;=30,"10 to 30 Mins",Call_Table_Data[[#This Row],[Duration]]&lt;=60,"30 to 60 Mins",Call_Table_Data[[#This Row],[Duration]]&lt;=120,"1 to 2 Hours",TRUE,"More Than 2 Hours")</f>
        <v>1 to 2 Hours</v>
      </c>
      <c r="K246" s="9">
        <f>ROUND(Call_Table_Data[[#This Row],[Satisfaction Rating]],0)</f>
        <v>4</v>
      </c>
    </row>
    <row r="247" spans="1:11" x14ac:dyDescent="0.3">
      <c r="A247" s="9" t="s">
        <v>1873</v>
      </c>
      <c r="B247" s="9" t="s">
        <v>1641</v>
      </c>
      <c r="C247" s="9">
        <v>140</v>
      </c>
      <c r="D247" s="149" t="s">
        <v>1621</v>
      </c>
      <c r="E247" s="150">
        <v>45004</v>
      </c>
      <c r="F247" s="9">
        <v>93</v>
      </c>
      <c r="G247" s="9">
        <v>4.4000000000000004</v>
      </c>
      <c r="H247" s="9">
        <f>IF(MONTH(Call_Table_Data[[#This Row],[Date of Call]])&lt;=6,YEAR(Call_Table_Data[[#This Row],[Date of Call]]),YEAR(Call_Table_Data[[#This Row],[Date of Call]])+1)</f>
        <v>2023</v>
      </c>
      <c r="I247" s="9" t="str">
        <f>TEXT(Call_Table_Data[[#This Row],[Date of Call]],"DDDD")</f>
        <v>Sunday</v>
      </c>
      <c r="J247" s="9" t="str" cm="1">
        <f t="array" ref="J247">_xlfn.IFS(Call_Table_Data[[#This Row],[Duration]]&lt;=10,"Under 10 Mins",Call_Table_Data[[#This Row],[Duration]]&lt;=30,"10 to 30 Mins",Call_Table_Data[[#This Row],[Duration]]&lt;=60,"30 to 60 Mins",Call_Table_Data[[#This Row],[Duration]]&lt;=120,"1 to 2 Hours",TRUE,"More Than 2 Hours")</f>
        <v>More Than 2 Hours</v>
      </c>
      <c r="K247" s="9">
        <f>ROUND(Call_Table_Data[[#This Row],[Satisfaction Rating]],0)</f>
        <v>4</v>
      </c>
    </row>
    <row r="248" spans="1:11" x14ac:dyDescent="0.3">
      <c r="A248" s="9" t="s">
        <v>1874</v>
      </c>
      <c r="B248" s="9" t="s">
        <v>1629</v>
      </c>
      <c r="C248" s="9">
        <v>67</v>
      </c>
      <c r="D248" s="149" t="s">
        <v>1621</v>
      </c>
      <c r="E248" s="150">
        <v>45004</v>
      </c>
      <c r="F248" s="9">
        <v>45</v>
      </c>
      <c r="G248" s="9">
        <v>3.5</v>
      </c>
      <c r="H248" s="9">
        <f>IF(MONTH(Call_Table_Data[[#This Row],[Date of Call]])&lt;=6,YEAR(Call_Table_Data[[#This Row],[Date of Call]]),YEAR(Call_Table_Data[[#This Row],[Date of Call]])+1)</f>
        <v>2023</v>
      </c>
      <c r="I248" s="9" t="str">
        <f>TEXT(Call_Table_Data[[#This Row],[Date of Call]],"DDDD")</f>
        <v>Sunday</v>
      </c>
      <c r="J248" s="9" t="str" cm="1">
        <f t="array" ref="J248">_xlfn.IFS(Call_Table_Data[[#This Row],[Duration]]&lt;=10,"Under 10 Mins",Call_Table_Data[[#This Row],[Duration]]&lt;=30,"10 to 30 Mins",Call_Table_Data[[#This Row],[Duration]]&lt;=60,"30 to 60 Mins",Call_Table_Data[[#This Row],[Duration]]&lt;=120,"1 to 2 Hours",TRUE,"More Than 2 Hours")</f>
        <v>1 to 2 Hours</v>
      </c>
      <c r="K248" s="9">
        <f>ROUND(Call_Table_Data[[#This Row],[Satisfaction Rating]],0)</f>
        <v>4</v>
      </c>
    </row>
    <row r="249" spans="1:11" x14ac:dyDescent="0.3">
      <c r="A249" s="9" t="s">
        <v>1875</v>
      </c>
      <c r="B249" s="9" t="s">
        <v>1613</v>
      </c>
      <c r="C249" s="9">
        <v>126</v>
      </c>
      <c r="D249" s="149" t="s">
        <v>1621</v>
      </c>
      <c r="E249" s="150">
        <v>45005</v>
      </c>
      <c r="F249" s="9">
        <v>96</v>
      </c>
      <c r="G249" s="9">
        <v>3.8</v>
      </c>
      <c r="H249" s="9">
        <f>IF(MONTH(Call_Table_Data[[#This Row],[Date of Call]])&lt;=6,YEAR(Call_Table_Data[[#This Row],[Date of Call]]),YEAR(Call_Table_Data[[#This Row],[Date of Call]])+1)</f>
        <v>2023</v>
      </c>
      <c r="I249" s="9" t="str">
        <f>TEXT(Call_Table_Data[[#This Row],[Date of Call]],"DDDD")</f>
        <v>Monday</v>
      </c>
      <c r="J249" s="9" t="str" cm="1">
        <f t="array" ref="J249">_xlfn.IFS(Call_Table_Data[[#This Row],[Duration]]&lt;=10,"Under 10 Mins",Call_Table_Data[[#This Row],[Duration]]&lt;=30,"10 to 30 Mins",Call_Table_Data[[#This Row],[Duration]]&lt;=60,"30 to 60 Mins",Call_Table_Data[[#This Row],[Duration]]&lt;=120,"1 to 2 Hours",TRUE,"More Than 2 Hours")</f>
        <v>More Than 2 Hours</v>
      </c>
      <c r="K249" s="9">
        <f>ROUND(Call_Table_Data[[#This Row],[Satisfaction Rating]],0)</f>
        <v>4</v>
      </c>
    </row>
    <row r="250" spans="1:11" x14ac:dyDescent="0.3">
      <c r="A250" s="9" t="s">
        <v>1876</v>
      </c>
      <c r="B250" s="9" t="s">
        <v>1613</v>
      </c>
      <c r="C250" s="9">
        <v>89</v>
      </c>
      <c r="D250" s="149" t="s">
        <v>1616</v>
      </c>
      <c r="E250" s="150">
        <v>45005</v>
      </c>
      <c r="F250" s="9">
        <v>96</v>
      </c>
      <c r="G250" s="9">
        <v>3.3</v>
      </c>
      <c r="H250" s="9">
        <f>IF(MONTH(Call_Table_Data[[#This Row],[Date of Call]])&lt;=6,YEAR(Call_Table_Data[[#This Row],[Date of Call]]),YEAR(Call_Table_Data[[#This Row],[Date of Call]])+1)</f>
        <v>2023</v>
      </c>
      <c r="I250" s="9" t="str">
        <f>TEXT(Call_Table_Data[[#This Row],[Date of Call]],"DDDD")</f>
        <v>Monday</v>
      </c>
      <c r="J250" s="9" t="str" cm="1">
        <f t="array" ref="J250">_xlfn.IFS(Call_Table_Data[[#This Row],[Duration]]&lt;=10,"Under 10 Mins",Call_Table_Data[[#This Row],[Duration]]&lt;=30,"10 to 30 Mins",Call_Table_Data[[#This Row],[Duration]]&lt;=60,"30 to 60 Mins",Call_Table_Data[[#This Row],[Duration]]&lt;=120,"1 to 2 Hours",TRUE,"More Than 2 Hours")</f>
        <v>1 to 2 Hours</v>
      </c>
      <c r="K250" s="9">
        <f>ROUND(Call_Table_Data[[#This Row],[Satisfaction Rating]],0)</f>
        <v>3</v>
      </c>
    </row>
    <row r="251" spans="1:11" x14ac:dyDescent="0.3">
      <c r="A251" s="9" t="s">
        <v>1877</v>
      </c>
      <c r="B251" s="9" t="s">
        <v>1615</v>
      </c>
      <c r="C251" s="9">
        <v>56</v>
      </c>
      <c r="D251" s="149" t="s">
        <v>1611</v>
      </c>
      <c r="E251" s="150">
        <v>45005</v>
      </c>
      <c r="F251" s="9">
        <v>31</v>
      </c>
      <c r="G251" s="9">
        <v>4.4000000000000004</v>
      </c>
      <c r="H251" s="9">
        <f>IF(MONTH(Call_Table_Data[[#This Row],[Date of Call]])&lt;=6,YEAR(Call_Table_Data[[#This Row],[Date of Call]]),YEAR(Call_Table_Data[[#This Row],[Date of Call]])+1)</f>
        <v>2023</v>
      </c>
      <c r="I251" s="9" t="str">
        <f>TEXT(Call_Table_Data[[#This Row],[Date of Call]],"DDDD")</f>
        <v>Monday</v>
      </c>
      <c r="J251" s="9" t="str" cm="1">
        <f t="array" ref="J251">_xlfn.IFS(Call_Table_Data[[#This Row],[Duration]]&lt;=10,"Under 10 Mins",Call_Table_Data[[#This Row],[Duration]]&lt;=30,"10 to 30 Mins",Call_Table_Data[[#This Row],[Duration]]&lt;=60,"30 to 60 Mins",Call_Table_Data[[#This Row],[Duration]]&lt;=120,"1 to 2 Hours",TRUE,"More Than 2 Hours")</f>
        <v>30 to 60 Mins</v>
      </c>
      <c r="K251" s="9">
        <f>ROUND(Call_Table_Data[[#This Row],[Satisfaction Rating]],0)</f>
        <v>4</v>
      </c>
    </row>
    <row r="252" spans="1:11" x14ac:dyDescent="0.3">
      <c r="A252" s="9" t="s">
        <v>1878</v>
      </c>
      <c r="B252" s="9" t="s">
        <v>1620</v>
      </c>
      <c r="C252" s="9">
        <v>48</v>
      </c>
      <c r="D252" s="149" t="s">
        <v>1616</v>
      </c>
      <c r="E252" s="150">
        <v>45005</v>
      </c>
      <c r="F252" s="9">
        <v>200</v>
      </c>
      <c r="G252" s="9">
        <v>3.9</v>
      </c>
      <c r="H252" s="9">
        <f>IF(MONTH(Call_Table_Data[[#This Row],[Date of Call]])&lt;=6,YEAR(Call_Table_Data[[#This Row],[Date of Call]]),YEAR(Call_Table_Data[[#This Row],[Date of Call]])+1)</f>
        <v>2023</v>
      </c>
      <c r="I252" s="9" t="str">
        <f>TEXT(Call_Table_Data[[#This Row],[Date of Call]],"DDDD")</f>
        <v>Monday</v>
      </c>
      <c r="J252" s="9" t="str" cm="1">
        <f t="array" ref="J252">_xlfn.IFS(Call_Table_Data[[#This Row],[Duration]]&lt;=10,"Under 10 Mins",Call_Table_Data[[#This Row],[Duration]]&lt;=30,"10 to 30 Mins",Call_Table_Data[[#This Row],[Duration]]&lt;=60,"30 to 60 Mins",Call_Table_Data[[#This Row],[Duration]]&lt;=120,"1 to 2 Hours",TRUE,"More Than 2 Hours")</f>
        <v>30 to 60 Mins</v>
      </c>
      <c r="K252" s="9">
        <f>ROUND(Call_Table_Data[[#This Row],[Satisfaction Rating]],0)</f>
        <v>4</v>
      </c>
    </row>
    <row r="253" spans="1:11" x14ac:dyDescent="0.3">
      <c r="A253" s="9" t="s">
        <v>1879</v>
      </c>
      <c r="B253" s="9" t="s">
        <v>1613</v>
      </c>
      <c r="C253" s="9">
        <v>55</v>
      </c>
      <c r="D253" s="149" t="s">
        <v>1611</v>
      </c>
      <c r="E253" s="150">
        <v>45005</v>
      </c>
      <c r="F253" s="9">
        <v>99</v>
      </c>
      <c r="G253" s="9">
        <v>2.7</v>
      </c>
      <c r="H253" s="9">
        <f>IF(MONTH(Call_Table_Data[[#This Row],[Date of Call]])&lt;=6,YEAR(Call_Table_Data[[#This Row],[Date of Call]]),YEAR(Call_Table_Data[[#This Row],[Date of Call]])+1)</f>
        <v>2023</v>
      </c>
      <c r="I253" s="9" t="str">
        <f>TEXT(Call_Table_Data[[#This Row],[Date of Call]],"DDDD")</f>
        <v>Monday</v>
      </c>
      <c r="J253" s="9" t="str" cm="1">
        <f t="array" ref="J253">_xlfn.IFS(Call_Table_Data[[#This Row],[Duration]]&lt;=10,"Under 10 Mins",Call_Table_Data[[#This Row],[Duration]]&lt;=30,"10 to 30 Mins",Call_Table_Data[[#This Row],[Duration]]&lt;=60,"30 to 60 Mins",Call_Table_Data[[#This Row],[Duration]]&lt;=120,"1 to 2 Hours",TRUE,"More Than 2 Hours")</f>
        <v>30 to 60 Mins</v>
      </c>
      <c r="K253" s="9">
        <f>ROUND(Call_Table_Data[[#This Row],[Satisfaction Rating]],0)</f>
        <v>3</v>
      </c>
    </row>
    <row r="254" spans="1:11" x14ac:dyDescent="0.3">
      <c r="A254" s="9" t="s">
        <v>1880</v>
      </c>
      <c r="B254" s="9" t="s">
        <v>1618</v>
      </c>
      <c r="C254" s="9">
        <v>88</v>
      </c>
      <c r="D254" s="149" t="s">
        <v>1630</v>
      </c>
      <c r="E254" s="150">
        <v>45005</v>
      </c>
      <c r="F254" s="9">
        <v>144</v>
      </c>
      <c r="G254" s="9">
        <v>2.9</v>
      </c>
      <c r="H254" s="9">
        <f>IF(MONTH(Call_Table_Data[[#This Row],[Date of Call]])&lt;=6,YEAR(Call_Table_Data[[#This Row],[Date of Call]]),YEAR(Call_Table_Data[[#This Row],[Date of Call]])+1)</f>
        <v>2023</v>
      </c>
      <c r="I254" s="9" t="str">
        <f>TEXT(Call_Table_Data[[#This Row],[Date of Call]],"DDDD")</f>
        <v>Monday</v>
      </c>
      <c r="J254" s="9" t="str" cm="1">
        <f t="array" ref="J254">_xlfn.IFS(Call_Table_Data[[#This Row],[Duration]]&lt;=10,"Under 10 Mins",Call_Table_Data[[#This Row],[Duration]]&lt;=30,"10 to 30 Mins",Call_Table_Data[[#This Row],[Duration]]&lt;=60,"30 to 60 Mins",Call_Table_Data[[#This Row],[Duration]]&lt;=120,"1 to 2 Hours",TRUE,"More Than 2 Hours")</f>
        <v>1 to 2 Hours</v>
      </c>
      <c r="K254" s="9">
        <f>ROUND(Call_Table_Data[[#This Row],[Satisfaction Rating]],0)</f>
        <v>3</v>
      </c>
    </row>
    <row r="255" spans="1:11" x14ac:dyDescent="0.3">
      <c r="A255" s="9" t="s">
        <v>1881</v>
      </c>
      <c r="B255" s="9" t="s">
        <v>1615</v>
      </c>
      <c r="C255" s="9">
        <v>102</v>
      </c>
      <c r="D255" s="149" t="s">
        <v>1621</v>
      </c>
      <c r="E255" s="150">
        <v>45006</v>
      </c>
      <c r="F255" s="9">
        <v>81</v>
      </c>
      <c r="G255" s="9">
        <v>4</v>
      </c>
      <c r="H255" s="9">
        <f>IF(MONTH(Call_Table_Data[[#This Row],[Date of Call]])&lt;=6,YEAR(Call_Table_Data[[#This Row],[Date of Call]]),YEAR(Call_Table_Data[[#This Row],[Date of Call]])+1)</f>
        <v>2023</v>
      </c>
      <c r="I255" s="9" t="str">
        <f>TEXT(Call_Table_Data[[#This Row],[Date of Call]],"DDDD")</f>
        <v>Tuesday</v>
      </c>
      <c r="J255" s="9" t="str" cm="1">
        <f t="array" ref="J255">_xlfn.IFS(Call_Table_Data[[#This Row],[Duration]]&lt;=10,"Under 10 Mins",Call_Table_Data[[#This Row],[Duration]]&lt;=30,"10 to 30 Mins",Call_Table_Data[[#This Row],[Duration]]&lt;=60,"30 to 60 Mins",Call_Table_Data[[#This Row],[Duration]]&lt;=120,"1 to 2 Hours",TRUE,"More Than 2 Hours")</f>
        <v>1 to 2 Hours</v>
      </c>
      <c r="K255" s="9">
        <f>ROUND(Call_Table_Data[[#This Row],[Satisfaction Rating]],0)</f>
        <v>4</v>
      </c>
    </row>
    <row r="256" spans="1:11" x14ac:dyDescent="0.3">
      <c r="A256" s="9" t="s">
        <v>1882</v>
      </c>
      <c r="B256" s="9" t="s">
        <v>1618</v>
      </c>
      <c r="C256" s="9">
        <v>155</v>
      </c>
      <c r="D256" s="149" t="s">
        <v>1630</v>
      </c>
      <c r="E256" s="150">
        <v>45006</v>
      </c>
      <c r="F256" s="9">
        <v>70</v>
      </c>
      <c r="G256" s="9">
        <v>4.4000000000000004</v>
      </c>
      <c r="H256" s="9">
        <f>IF(MONTH(Call_Table_Data[[#This Row],[Date of Call]])&lt;=6,YEAR(Call_Table_Data[[#This Row],[Date of Call]]),YEAR(Call_Table_Data[[#This Row],[Date of Call]])+1)</f>
        <v>2023</v>
      </c>
      <c r="I256" s="9" t="str">
        <f>TEXT(Call_Table_Data[[#This Row],[Date of Call]],"DDDD")</f>
        <v>Tuesday</v>
      </c>
      <c r="J256" s="9" t="str" cm="1">
        <f t="array" ref="J256">_xlfn.IFS(Call_Table_Data[[#This Row],[Duration]]&lt;=10,"Under 10 Mins",Call_Table_Data[[#This Row],[Duration]]&lt;=30,"10 to 30 Mins",Call_Table_Data[[#This Row],[Duration]]&lt;=60,"30 to 60 Mins",Call_Table_Data[[#This Row],[Duration]]&lt;=120,"1 to 2 Hours",TRUE,"More Than 2 Hours")</f>
        <v>More Than 2 Hours</v>
      </c>
      <c r="K256" s="9">
        <f>ROUND(Call_Table_Data[[#This Row],[Satisfaction Rating]],0)</f>
        <v>4</v>
      </c>
    </row>
    <row r="257" spans="1:11" x14ac:dyDescent="0.3">
      <c r="A257" s="9" t="s">
        <v>1883</v>
      </c>
      <c r="B257" s="9" t="s">
        <v>1613</v>
      </c>
      <c r="C257" s="9">
        <v>63</v>
      </c>
      <c r="D257" s="149" t="s">
        <v>1630</v>
      </c>
      <c r="E257" s="150">
        <v>45006</v>
      </c>
      <c r="F257" s="9">
        <v>148</v>
      </c>
      <c r="G257" s="9">
        <v>5</v>
      </c>
      <c r="H257" s="9">
        <f>IF(MONTH(Call_Table_Data[[#This Row],[Date of Call]])&lt;=6,YEAR(Call_Table_Data[[#This Row],[Date of Call]]),YEAR(Call_Table_Data[[#This Row],[Date of Call]])+1)</f>
        <v>2023</v>
      </c>
      <c r="I257" s="9" t="str">
        <f>TEXT(Call_Table_Data[[#This Row],[Date of Call]],"DDDD")</f>
        <v>Tuesday</v>
      </c>
      <c r="J257" s="9" t="str" cm="1">
        <f t="array" ref="J257">_xlfn.IFS(Call_Table_Data[[#This Row],[Duration]]&lt;=10,"Under 10 Mins",Call_Table_Data[[#This Row],[Duration]]&lt;=30,"10 to 30 Mins",Call_Table_Data[[#This Row],[Duration]]&lt;=60,"30 to 60 Mins",Call_Table_Data[[#This Row],[Duration]]&lt;=120,"1 to 2 Hours",TRUE,"More Than 2 Hours")</f>
        <v>1 to 2 Hours</v>
      </c>
      <c r="K257" s="9">
        <f>ROUND(Call_Table_Data[[#This Row],[Satisfaction Rating]],0)</f>
        <v>5</v>
      </c>
    </row>
    <row r="258" spans="1:11" x14ac:dyDescent="0.3">
      <c r="A258" s="9" t="s">
        <v>1884</v>
      </c>
      <c r="B258" s="9" t="s">
        <v>1624</v>
      </c>
      <c r="C258" s="9">
        <v>59</v>
      </c>
      <c r="D258" s="149" t="s">
        <v>1621</v>
      </c>
      <c r="E258" s="150">
        <v>45006</v>
      </c>
      <c r="F258" s="9">
        <v>215</v>
      </c>
      <c r="G258" s="9">
        <v>4.0999999999999996</v>
      </c>
      <c r="H258" s="9">
        <f>IF(MONTH(Call_Table_Data[[#This Row],[Date of Call]])&lt;=6,YEAR(Call_Table_Data[[#This Row],[Date of Call]]),YEAR(Call_Table_Data[[#This Row],[Date of Call]])+1)</f>
        <v>2023</v>
      </c>
      <c r="I258" s="9" t="str">
        <f>TEXT(Call_Table_Data[[#This Row],[Date of Call]],"DDDD")</f>
        <v>Tuesday</v>
      </c>
      <c r="J258" s="9" t="str" cm="1">
        <f t="array" ref="J258">_xlfn.IFS(Call_Table_Data[[#This Row],[Duration]]&lt;=10,"Under 10 Mins",Call_Table_Data[[#This Row],[Duration]]&lt;=30,"10 to 30 Mins",Call_Table_Data[[#This Row],[Duration]]&lt;=60,"30 to 60 Mins",Call_Table_Data[[#This Row],[Duration]]&lt;=120,"1 to 2 Hours",TRUE,"More Than 2 Hours")</f>
        <v>30 to 60 Mins</v>
      </c>
      <c r="K258" s="9">
        <f>ROUND(Call_Table_Data[[#This Row],[Satisfaction Rating]],0)</f>
        <v>4</v>
      </c>
    </row>
    <row r="259" spans="1:11" x14ac:dyDescent="0.3">
      <c r="A259" s="9" t="s">
        <v>1885</v>
      </c>
      <c r="B259" s="9" t="s">
        <v>1624</v>
      </c>
      <c r="C259" s="9">
        <v>144</v>
      </c>
      <c r="D259" s="149" t="s">
        <v>1616</v>
      </c>
      <c r="E259" s="150">
        <v>45006</v>
      </c>
      <c r="F259" s="9">
        <v>124</v>
      </c>
      <c r="G259" s="9">
        <v>4.4000000000000004</v>
      </c>
      <c r="H259" s="9">
        <f>IF(MONTH(Call_Table_Data[[#This Row],[Date of Call]])&lt;=6,YEAR(Call_Table_Data[[#This Row],[Date of Call]]),YEAR(Call_Table_Data[[#This Row],[Date of Call]])+1)</f>
        <v>2023</v>
      </c>
      <c r="I259" s="9" t="str">
        <f>TEXT(Call_Table_Data[[#This Row],[Date of Call]],"DDDD")</f>
        <v>Tuesday</v>
      </c>
      <c r="J259" s="9" t="str" cm="1">
        <f t="array" ref="J259">_xlfn.IFS(Call_Table_Data[[#This Row],[Duration]]&lt;=10,"Under 10 Mins",Call_Table_Data[[#This Row],[Duration]]&lt;=30,"10 to 30 Mins",Call_Table_Data[[#This Row],[Duration]]&lt;=60,"30 to 60 Mins",Call_Table_Data[[#This Row],[Duration]]&lt;=120,"1 to 2 Hours",TRUE,"More Than 2 Hours")</f>
        <v>More Than 2 Hours</v>
      </c>
      <c r="K259" s="9">
        <f>ROUND(Call_Table_Data[[#This Row],[Satisfaction Rating]],0)</f>
        <v>4</v>
      </c>
    </row>
    <row r="260" spans="1:11" x14ac:dyDescent="0.3">
      <c r="A260" s="9" t="s">
        <v>1886</v>
      </c>
      <c r="B260" s="9" t="s">
        <v>1644</v>
      </c>
      <c r="C260" s="9">
        <v>113</v>
      </c>
      <c r="D260" s="149" t="s">
        <v>1626</v>
      </c>
      <c r="E260" s="150">
        <v>45006</v>
      </c>
      <c r="F260" s="9">
        <v>168</v>
      </c>
      <c r="G260" s="9">
        <v>4.0999999999999996</v>
      </c>
      <c r="H260" s="9">
        <f>IF(MONTH(Call_Table_Data[[#This Row],[Date of Call]])&lt;=6,YEAR(Call_Table_Data[[#This Row],[Date of Call]]),YEAR(Call_Table_Data[[#This Row],[Date of Call]])+1)</f>
        <v>2023</v>
      </c>
      <c r="I260" s="9" t="str">
        <f>TEXT(Call_Table_Data[[#This Row],[Date of Call]],"DDDD")</f>
        <v>Tuesday</v>
      </c>
      <c r="J260" s="9" t="str" cm="1">
        <f t="array" ref="J260">_xlfn.IFS(Call_Table_Data[[#This Row],[Duration]]&lt;=10,"Under 10 Mins",Call_Table_Data[[#This Row],[Duration]]&lt;=30,"10 to 30 Mins",Call_Table_Data[[#This Row],[Duration]]&lt;=60,"30 to 60 Mins",Call_Table_Data[[#This Row],[Duration]]&lt;=120,"1 to 2 Hours",TRUE,"More Than 2 Hours")</f>
        <v>1 to 2 Hours</v>
      </c>
      <c r="K260" s="9">
        <f>ROUND(Call_Table_Data[[#This Row],[Satisfaction Rating]],0)</f>
        <v>4</v>
      </c>
    </row>
    <row r="261" spans="1:11" x14ac:dyDescent="0.3">
      <c r="A261" s="9" t="s">
        <v>1887</v>
      </c>
      <c r="B261" s="9" t="s">
        <v>1652</v>
      </c>
      <c r="C261" s="9">
        <v>154</v>
      </c>
      <c r="D261" s="149" t="s">
        <v>1611</v>
      </c>
      <c r="E261" s="150">
        <v>45006</v>
      </c>
      <c r="F261" s="9">
        <v>90</v>
      </c>
      <c r="G261" s="9">
        <v>4.5</v>
      </c>
      <c r="H261" s="9">
        <f>IF(MONTH(Call_Table_Data[[#This Row],[Date of Call]])&lt;=6,YEAR(Call_Table_Data[[#This Row],[Date of Call]]),YEAR(Call_Table_Data[[#This Row],[Date of Call]])+1)</f>
        <v>2023</v>
      </c>
      <c r="I261" s="9" t="str">
        <f>TEXT(Call_Table_Data[[#This Row],[Date of Call]],"DDDD")</f>
        <v>Tuesday</v>
      </c>
      <c r="J261" s="9" t="str" cm="1">
        <f t="array" ref="J261">_xlfn.IFS(Call_Table_Data[[#This Row],[Duration]]&lt;=10,"Under 10 Mins",Call_Table_Data[[#This Row],[Duration]]&lt;=30,"10 to 30 Mins",Call_Table_Data[[#This Row],[Duration]]&lt;=60,"30 to 60 Mins",Call_Table_Data[[#This Row],[Duration]]&lt;=120,"1 to 2 Hours",TRUE,"More Than 2 Hours")</f>
        <v>More Than 2 Hours</v>
      </c>
      <c r="K261" s="9">
        <f>ROUND(Call_Table_Data[[#This Row],[Satisfaction Rating]],0)</f>
        <v>5</v>
      </c>
    </row>
    <row r="262" spans="1:11" x14ac:dyDescent="0.3">
      <c r="A262" s="9" t="s">
        <v>1888</v>
      </c>
      <c r="B262" s="9" t="s">
        <v>1652</v>
      </c>
      <c r="C262" s="9">
        <v>58</v>
      </c>
      <c r="D262" s="149" t="s">
        <v>1621</v>
      </c>
      <c r="E262" s="150">
        <v>45007</v>
      </c>
      <c r="F262" s="9">
        <v>176</v>
      </c>
      <c r="G262" s="9">
        <v>4.2</v>
      </c>
      <c r="H262" s="9">
        <f>IF(MONTH(Call_Table_Data[[#This Row],[Date of Call]])&lt;=6,YEAR(Call_Table_Data[[#This Row],[Date of Call]]),YEAR(Call_Table_Data[[#This Row],[Date of Call]])+1)</f>
        <v>2023</v>
      </c>
      <c r="I262" s="9" t="str">
        <f>TEXT(Call_Table_Data[[#This Row],[Date of Call]],"DDDD")</f>
        <v>Wednesday</v>
      </c>
      <c r="J262" s="9" t="str" cm="1">
        <f t="array" ref="J262">_xlfn.IFS(Call_Table_Data[[#This Row],[Duration]]&lt;=10,"Under 10 Mins",Call_Table_Data[[#This Row],[Duration]]&lt;=30,"10 to 30 Mins",Call_Table_Data[[#This Row],[Duration]]&lt;=60,"30 to 60 Mins",Call_Table_Data[[#This Row],[Duration]]&lt;=120,"1 to 2 Hours",TRUE,"More Than 2 Hours")</f>
        <v>30 to 60 Mins</v>
      </c>
      <c r="K262" s="9">
        <f>ROUND(Call_Table_Data[[#This Row],[Satisfaction Rating]],0)</f>
        <v>4</v>
      </c>
    </row>
    <row r="263" spans="1:11" x14ac:dyDescent="0.3">
      <c r="A263" s="9" t="s">
        <v>1889</v>
      </c>
      <c r="B263" s="9" t="s">
        <v>1620</v>
      </c>
      <c r="C263" s="9">
        <v>63</v>
      </c>
      <c r="D263" s="149" t="s">
        <v>1630</v>
      </c>
      <c r="E263" s="150">
        <v>45007</v>
      </c>
      <c r="F263" s="9">
        <v>87</v>
      </c>
      <c r="G263" s="9">
        <v>4.5999999999999996</v>
      </c>
      <c r="H263" s="9">
        <f>IF(MONTH(Call_Table_Data[[#This Row],[Date of Call]])&lt;=6,YEAR(Call_Table_Data[[#This Row],[Date of Call]]),YEAR(Call_Table_Data[[#This Row],[Date of Call]])+1)</f>
        <v>2023</v>
      </c>
      <c r="I263" s="9" t="str">
        <f>TEXT(Call_Table_Data[[#This Row],[Date of Call]],"DDDD")</f>
        <v>Wednesday</v>
      </c>
      <c r="J263" s="9" t="str" cm="1">
        <f t="array" ref="J263">_xlfn.IFS(Call_Table_Data[[#This Row],[Duration]]&lt;=10,"Under 10 Mins",Call_Table_Data[[#This Row],[Duration]]&lt;=30,"10 to 30 Mins",Call_Table_Data[[#This Row],[Duration]]&lt;=60,"30 to 60 Mins",Call_Table_Data[[#This Row],[Duration]]&lt;=120,"1 to 2 Hours",TRUE,"More Than 2 Hours")</f>
        <v>1 to 2 Hours</v>
      </c>
      <c r="K263" s="9">
        <f>ROUND(Call_Table_Data[[#This Row],[Satisfaction Rating]],0)</f>
        <v>5</v>
      </c>
    </row>
    <row r="264" spans="1:11" x14ac:dyDescent="0.3">
      <c r="A264" s="9" t="s">
        <v>1890</v>
      </c>
      <c r="B264" s="9" t="s">
        <v>1641</v>
      </c>
      <c r="C264" s="9">
        <v>59</v>
      </c>
      <c r="D264" s="149" t="s">
        <v>1616</v>
      </c>
      <c r="E264" s="150">
        <v>45007</v>
      </c>
      <c r="F264" s="9">
        <v>128</v>
      </c>
      <c r="G264" s="9">
        <v>4.5</v>
      </c>
      <c r="H264" s="9">
        <f>IF(MONTH(Call_Table_Data[[#This Row],[Date of Call]])&lt;=6,YEAR(Call_Table_Data[[#This Row],[Date of Call]]),YEAR(Call_Table_Data[[#This Row],[Date of Call]])+1)</f>
        <v>2023</v>
      </c>
      <c r="I264" s="9" t="str">
        <f>TEXT(Call_Table_Data[[#This Row],[Date of Call]],"DDDD")</f>
        <v>Wednesday</v>
      </c>
      <c r="J264" s="9" t="str" cm="1">
        <f t="array" ref="J264">_xlfn.IFS(Call_Table_Data[[#This Row],[Duration]]&lt;=10,"Under 10 Mins",Call_Table_Data[[#This Row],[Duration]]&lt;=30,"10 to 30 Mins",Call_Table_Data[[#This Row],[Duration]]&lt;=60,"30 to 60 Mins",Call_Table_Data[[#This Row],[Duration]]&lt;=120,"1 to 2 Hours",TRUE,"More Than 2 Hours")</f>
        <v>30 to 60 Mins</v>
      </c>
      <c r="K264" s="9">
        <f>ROUND(Call_Table_Data[[#This Row],[Satisfaction Rating]],0)</f>
        <v>5</v>
      </c>
    </row>
    <row r="265" spans="1:11" x14ac:dyDescent="0.3">
      <c r="A265" s="9" t="s">
        <v>1891</v>
      </c>
      <c r="B265" s="9" t="s">
        <v>1682</v>
      </c>
      <c r="C265" s="9">
        <v>129</v>
      </c>
      <c r="D265" s="149" t="s">
        <v>1630</v>
      </c>
      <c r="E265" s="150">
        <v>45007</v>
      </c>
      <c r="F265" s="9">
        <v>120</v>
      </c>
      <c r="G265" s="9">
        <v>4.0999999999999996</v>
      </c>
      <c r="H265" s="9">
        <f>IF(MONTH(Call_Table_Data[[#This Row],[Date of Call]])&lt;=6,YEAR(Call_Table_Data[[#This Row],[Date of Call]]),YEAR(Call_Table_Data[[#This Row],[Date of Call]])+1)</f>
        <v>2023</v>
      </c>
      <c r="I265" s="9" t="str">
        <f>TEXT(Call_Table_Data[[#This Row],[Date of Call]],"DDDD")</f>
        <v>Wednesday</v>
      </c>
      <c r="J265" s="9" t="str" cm="1">
        <f t="array" ref="J265">_xlfn.IFS(Call_Table_Data[[#This Row],[Duration]]&lt;=10,"Under 10 Mins",Call_Table_Data[[#This Row],[Duration]]&lt;=30,"10 to 30 Mins",Call_Table_Data[[#This Row],[Duration]]&lt;=60,"30 to 60 Mins",Call_Table_Data[[#This Row],[Duration]]&lt;=120,"1 to 2 Hours",TRUE,"More Than 2 Hours")</f>
        <v>More Than 2 Hours</v>
      </c>
      <c r="K265" s="9">
        <f>ROUND(Call_Table_Data[[#This Row],[Satisfaction Rating]],0)</f>
        <v>4</v>
      </c>
    </row>
    <row r="266" spans="1:11" x14ac:dyDescent="0.3">
      <c r="A266" s="9" t="s">
        <v>1892</v>
      </c>
      <c r="B266" s="9" t="s">
        <v>1635</v>
      </c>
      <c r="C266" s="9">
        <v>101</v>
      </c>
      <c r="D266" s="149" t="s">
        <v>1626</v>
      </c>
      <c r="E266" s="150">
        <v>45007</v>
      </c>
      <c r="F266" s="9">
        <v>130</v>
      </c>
      <c r="G266" s="9">
        <v>4.8</v>
      </c>
      <c r="H266" s="9">
        <f>IF(MONTH(Call_Table_Data[[#This Row],[Date of Call]])&lt;=6,YEAR(Call_Table_Data[[#This Row],[Date of Call]]),YEAR(Call_Table_Data[[#This Row],[Date of Call]])+1)</f>
        <v>2023</v>
      </c>
      <c r="I266" s="9" t="str">
        <f>TEXT(Call_Table_Data[[#This Row],[Date of Call]],"DDDD")</f>
        <v>Wednesday</v>
      </c>
      <c r="J266" s="9" t="str" cm="1">
        <f t="array" ref="J266">_xlfn.IFS(Call_Table_Data[[#This Row],[Duration]]&lt;=10,"Under 10 Mins",Call_Table_Data[[#This Row],[Duration]]&lt;=30,"10 to 30 Mins",Call_Table_Data[[#This Row],[Duration]]&lt;=60,"30 to 60 Mins",Call_Table_Data[[#This Row],[Duration]]&lt;=120,"1 to 2 Hours",TRUE,"More Than 2 Hours")</f>
        <v>1 to 2 Hours</v>
      </c>
      <c r="K266" s="9">
        <f>ROUND(Call_Table_Data[[#This Row],[Satisfaction Rating]],0)</f>
        <v>5</v>
      </c>
    </row>
    <row r="267" spans="1:11" x14ac:dyDescent="0.3">
      <c r="A267" s="9" t="s">
        <v>1893</v>
      </c>
      <c r="B267" s="9" t="s">
        <v>1649</v>
      </c>
      <c r="C267" s="9">
        <v>154</v>
      </c>
      <c r="D267" s="149" t="s">
        <v>1616</v>
      </c>
      <c r="E267" s="150">
        <v>45007</v>
      </c>
      <c r="F267" s="9">
        <v>172</v>
      </c>
      <c r="G267" s="9">
        <v>3.1</v>
      </c>
      <c r="H267" s="9">
        <f>IF(MONTH(Call_Table_Data[[#This Row],[Date of Call]])&lt;=6,YEAR(Call_Table_Data[[#This Row],[Date of Call]]),YEAR(Call_Table_Data[[#This Row],[Date of Call]])+1)</f>
        <v>2023</v>
      </c>
      <c r="I267" s="9" t="str">
        <f>TEXT(Call_Table_Data[[#This Row],[Date of Call]],"DDDD")</f>
        <v>Wednesday</v>
      </c>
      <c r="J267" s="9" t="str" cm="1">
        <f t="array" ref="J267">_xlfn.IFS(Call_Table_Data[[#This Row],[Duration]]&lt;=10,"Under 10 Mins",Call_Table_Data[[#This Row],[Duration]]&lt;=30,"10 to 30 Mins",Call_Table_Data[[#This Row],[Duration]]&lt;=60,"30 to 60 Mins",Call_Table_Data[[#This Row],[Duration]]&lt;=120,"1 to 2 Hours",TRUE,"More Than 2 Hours")</f>
        <v>More Than 2 Hours</v>
      </c>
      <c r="K267" s="9">
        <f>ROUND(Call_Table_Data[[#This Row],[Satisfaction Rating]],0)</f>
        <v>3</v>
      </c>
    </row>
    <row r="268" spans="1:11" x14ac:dyDescent="0.3">
      <c r="A268" s="9" t="s">
        <v>1894</v>
      </c>
      <c r="B268" s="9" t="s">
        <v>1629</v>
      </c>
      <c r="C268" s="9">
        <v>131</v>
      </c>
      <c r="D268" s="149" t="s">
        <v>1616</v>
      </c>
      <c r="E268" s="150">
        <v>45007</v>
      </c>
      <c r="F268" s="9">
        <v>58</v>
      </c>
      <c r="G268" s="9">
        <v>4.9000000000000004</v>
      </c>
      <c r="H268" s="9">
        <f>IF(MONTH(Call_Table_Data[[#This Row],[Date of Call]])&lt;=6,YEAR(Call_Table_Data[[#This Row],[Date of Call]]),YEAR(Call_Table_Data[[#This Row],[Date of Call]])+1)</f>
        <v>2023</v>
      </c>
      <c r="I268" s="9" t="str">
        <f>TEXT(Call_Table_Data[[#This Row],[Date of Call]],"DDDD")</f>
        <v>Wednesday</v>
      </c>
      <c r="J268" s="9" t="str" cm="1">
        <f t="array" ref="J268">_xlfn.IFS(Call_Table_Data[[#This Row],[Duration]]&lt;=10,"Under 10 Mins",Call_Table_Data[[#This Row],[Duration]]&lt;=30,"10 to 30 Mins",Call_Table_Data[[#This Row],[Duration]]&lt;=60,"30 to 60 Mins",Call_Table_Data[[#This Row],[Duration]]&lt;=120,"1 to 2 Hours",TRUE,"More Than 2 Hours")</f>
        <v>More Than 2 Hours</v>
      </c>
      <c r="K268" s="9">
        <f>ROUND(Call_Table_Data[[#This Row],[Satisfaction Rating]],0)</f>
        <v>5</v>
      </c>
    </row>
    <row r="269" spans="1:11" x14ac:dyDescent="0.3">
      <c r="A269" s="9" t="s">
        <v>1895</v>
      </c>
      <c r="B269" s="9" t="s">
        <v>1624</v>
      </c>
      <c r="C269" s="9">
        <v>111</v>
      </c>
      <c r="D269" s="149" t="s">
        <v>1626</v>
      </c>
      <c r="E269" s="150">
        <v>45008</v>
      </c>
      <c r="F269" s="9">
        <v>86</v>
      </c>
      <c r="G269" s="9">
        <v>4.0999999999999996</v>
      </c>
      <c r="H269" s="9">
        <f>IF(MONTH(Call_Table_Data[[#This Row],[Date of Call]])&lt;=6,YEAR(Call_Table_Data[[#This Row],[Date of Call]]),YEAR(Call_Table_Data[[#This Row],[Date of Call]])+1)</f>
        <v>2023</v>
      </c>
      <c r="I269" s="9" t="str">
        <f>TEXT(Call_Table_Data[[#This Row],[Date of Call]],"DDDD")</f>
        <v>Thursday</v>
      </c>
      <c r="J269" s="9" t="str" cm="1">
        <f t="array" ref="J269">_xlfn.IFS(Call_Table_Data[[#This Row],[Duration]]&lt;=10,"Under 10 Mins",Call_Table_Data[[#This Row],[Duration]]&lt;=30,"10 to 30 Mins",Call_Table_Data[[#This Row],[Duration]]&lt;=60,"30 to 60 Mins",Call_Table_Data[[#This Row],[Duration]]&lt;=120,"1 to 2 Hours",TRUE,"More Than 2 Hours")</f>
        <v>1 to 2 Hours</v>
      </c>
      <c r="K269" s="9">
        <f>ROUND(Call_Table_Data[[#This Row],[Satisfaction Rating]],0)</f>
        <v>4</v>
      </c>
    </row>
    <row r="270" spans="1:11" x14ac:dyDescent="0.3">
      <c r="A270" s="9" t="s">
        <v>1896</v>
      </c>
      <c r="B270" s="9" t="s">
        <v>1652</v>
      </c>
      <c r="C270" s="9">
        <v>142</v>
      </c>
      <c r="D270" s="149" t="s">
        <v>1626</v>
      </c>
      <c r="E270" s="150">
        <v>45009</v>
      </c>
      <c r="F270" s="9">
        <v>31</v>
      </c>
      <c r="G270" s="9">
        <v>4.4000000000000004</v>
      </c>
      <c r="H270" s="9">
        <f>IF(MONTH(Call_Table_Data[[#This Row],[Date of Call]])&lt;=6,YEAR(Call_Table_Data[[#This Row],[Date of Call]]),YEAR(Call_Table_Data[[#This Row],[Date of Call]])+1)</f>
        <v>2023</v>
      </c>
      <c r="I270" s="9" t="str">
        <f>TEXT(Call_Table_Data[[#This Row],[Date of Call]],"DDDD")</f>
        <v>Friday</v>
      </c>
      <c r="J270" s="9" t="str" cm="1">
        <f t="array" ref="J270">_xlfn.IFS(Call_Table_Data[[#This Row],[Duration]]&lt;=10,"Under 10 Mins",Call_Table_Data[[#This Row],[Duration]]&lt;=30,"10 to 30 Mins",Call_Table_Data[[#This Row],[Duration]]&lt;=60,"30 to 60 Mins",Call_Table_Data[[#This Row],[Duration]]&lt;=120,"1 to 2 Hours",TRUE,"More Than 2 Hours")</f>
        <v>More Than 2 Hours</v>
      </c>
      <c r="K270" s="9">
        <f>ROUND(Call_Table_Data[[#This Row],[Satisfaction Rating]],0)</f>
        <v>4</v>
      </c>
    </row>
    <row r="271" spans="1:11" x14ac:dyDescent="0.3">
      <c r="A271" s="9" t="s">
        <v>1897</v>
      </c>
      <c r="B271" s="9" t="s">
        <v>1615</v>
      </c>
      <c r="C271" s="9">
        <v>93</v>
      </c>
      <c r="D271" s="149" t="s">
        <v>1630</v>
      </c>
      <c r="E271" s="150">
        <v>45009</v>
      </c>
      <c r="F271" s="9">
        <v>72</v>
      </c>
      <c r="G271" s="9">
        <v>4.4000000000000004</v>
      </c>
      <c r="H271" s="9">
        <f>IF(MONTH(Call_Table_Data[[#This Row],[Date of Call]])&lt;=6,YEAR(Call_Table_Data[[#This Row],[Date of Call]]),YEAR(Call_Table_Data[[#This Row],[Date of Call]])+1)</f>
        <v>2023</v>
      </c>
      <c r="I271" s="9" t="str">
        <f>TEXT(Call_Table_Data[[#This Row],[Date of Call]],"DDDD")</f>
        <v>Friday</v>
      </c>
      <c r="J271" s="9" t="str" cm="1">
        <f t="array" ref="J271">_xlfn.IFS(Call_Table_Data[[#This Row],[Duration]]&lt;=10,"Under 10 Mins",Call_Table_Data[[#This Row],[Duration]]&lt;=30,"10 to 30 Mins",Call_Table_Data[[#This Row],[Duration]]&lt;=60,"30 to 60 Mins",Call_Table_Data[[#This Row],[Duration]]&lt;=120,"1 to 2 Hours",TRUE,"More Than 2 Hours")</f>
        <v>1 to 2 Hours</v>
      </c>
      <c r="K271" s="9">
        <f>ROUND(Call_Table_Data[[#This Row],[Satisfaction Rating]],0)</f>
        <v>4</v>
      </c>
    </row>
    <row r="272" spans="1:11" x14ac:dyDescent="0.3">
      <c r="A272" s="9" t="s">
        <v>1898</v>
      </c>
      <c r="B272" s="9" t="s">
        <v>1652</v>
      </c>
      <c r="C272" s="9">
        <v>125</v>
      </c>
      <c r="D272" s="149" t="s">
        <v>1611</v>
      </c>
      <c r="E272" s="150">
        <v>45010</v>
      </c>
      <c r="F272" s="9">
        <v>27</v>
      </c>
      <c r="G272" s="9">
        <v>3</v>
      </c>
      <c r="H272" s="9">
        <f>IF(MONTH(Call_Table_Data[[#This Row],[Date of Call]])&lt;=6,YEAR(Call_Table_Data[[#This Row],[Date of Call]]),YEAR(Call_Table_Data[[#This Row],[Date of Call]])+1)</f>
        <v>2023</v>
      </c>
      <c r="I272" s="9" t="str">
        <f>TEXT(Call_Table_Data[[#This Row],[Date of Call]],"DDDD")</f>
        <v>Saturday</v>
      </c>
      <c r="J272" s="9" t="str" cm="1">
        <f t="array" ref="J272">_xlfn.IFS(Call_Table_Data[[#This Row],[Duration]]&lt;=10,"Under 10 Mins",Call_Table_Data[[#This Row],[Duration]]&lt;=30,"10 to 30 Mins",Call_Table_Data[[#This Row],[Duration]]&lt;=60,"30 to 60 Mins",Call_Table_Data[[#This Row],[Duration]]&lt;=120,"1 to 2 Hours",TRUE,"More Than 2 Hours")</f>
        <v>More Than 2 Hours</v>
      </c>
      <c r="K272" s="9">
        <f>ROUND(Call_Table_Data[[#This Row],[Satisfaction Rating]],0)</f>
        <v>3</v>
      </c>
    </row>
    <row r="273" spans="1:11" x14ac:dyDescent="0.3">
      <c r="A273" s="9" t="s">
        <v>1899</v>
      </c>
      <c r="B273" s="9" t="s">
        <v>1682</v>
      </c>
      <c r="C273" s="9">
        <v>76</v>
      </c>
      <c r="D273" s="149" t="s">
        <v>1616</v>
      </c>
      <c r="E273" s="150">
        <v>45010</v>
      </c>
      <c r="F273" s="9">
        <v>110</v>
      </c>
      <c r="G273" s="9">
        <v>4.4000000000000004</v>
      </c>
      <c r="H273" s="9">
        <f>IF(MONTH(Call_Table_Data[[#This Row],[Date of Call]])&lt;=6,YEAR(Call_Table_Data[[#This Row],[Date of Call]]),YEAR(Call_Table_Data[[#This Row],[Date of Call]])+1)</f>
        <v>2023</v>
      </c>
      <c r="I273" s="9" t="str">
        <f>TEXT(Call_Table_Data[[#This Row],[Date of Call]],"DDDD")</f>
        <v>Saturday</v>
      </c>
      <c r="J273" s="9" t="str" cm="1">
        <f t="array" ref="J273">_xlfn.IFS(Call_Table_Data[[#This Row],[Duration]]&lt;=10,"Under 10 Mins",Call_Table_Data[[#This Row],[Duration]]&lt;=30,"10 to 30 Mins",Call_Table_Data[[#This Row],[Duration]]&lt;=60,"30 to 60 Mins",Call_Table_Data[[#This Row],[Duration]]&lt;=120,"1 to 2 Hours",TRUE,"More Than 2 Hours")</f>
        <v>1 to 2 Hours</v>
      </c>
      <c r="K273" s="9">
        <f>ROUND(Call_Table_Data[[#This Row],[Satisfaction Rating]],0)</f>
        <v>4</v>
      </c>
    </row>
    <row r="274" spans="1:11" x14ac:dyDescent="0.3">
      <c r="A274" s="9" t="s">
        <v>1900</v>
      </c>
      <c r="B274" s="9" t="s">
        <v>1644</v>
      </c>
      <c r="C274" s="9">
        <v>69</v>
      </c>
      <c r="D274" s="149" t="s">
        <v>1630</v>
      </c>
      <c r="E274" s="150">
        <v>45010</v>
      </c>
      <c r="F274" s="9">
        <v>126</v>
      </c>
      <c r="G274" s="9">
        <v>3.7</v>
      </c>
      <c r="H274" s="9">
        <f>IF(MONTH(Call_Table_Data[[#This Row],[Date of Call]])&lt;=6,YEAR(Call_Table_Data[[#This Row],[Date of Call]]),YEAR(Call_Table_Data[[#This Row],[Date of Call]])+1)</f>
        <v>2023</v>
      </c>
      <c r="I274" s="9" t="str">
        <f>TEXT(Call_Table_Data[[#This Row],[Date of Call]],"DDDD")</f>
        <v>Saturday</v>
      </c>
      <c r="J274" s="9" t="str" cm="1">
        <f t="array" ref="J274">_xlfn.IFS(Call_Table_Data[[#This Row],[Duration]]&lt;=10,"Under 10 Mins",Call_Table_Data[[#This Row],[Duration]]&lt;=30,"10 to 30 Mins",Call_Table_Data[[#This Row],[Duration]]&lt;=60,"30 to 60 Mins",Call_Table_Data[[#This Row],[Duration]]&lt;=120,"1 to 2 Hours",TRUE,"More Than 2 Hours")</f>
        <v>1 to 2 Hours</v>
      </c>
      <c r="K274" s="9">
        <f>ROUND(Call_Table_Data[[#This Row],[Satisfaction Rating]],0)</f>
        <v>4</v>
      </c>
    </row>
    <row r="275" spans="1:11" x14ac:dyDescent="0.3">
      <c r="A275" s="9" t="s">
        <v>1901</v>
      </c>
      <c r="B275" s="9" t="s">
        <v>1641</v>
      </c>
      <c r="C275" s="9">
        <v>149</v>
      </c>
      <c r="D275" s="149" t="s">
        <v>1611</v>
      </c>
      <c r="E275" s="150">
        <v>45010</v>
      </c>
      <c r="F275" s="9">
        <v>60</v>
      </c>
      <c r="G275" s="9">
        <v>3.9</v>
      </c>
      <c r="H275" s="9">
        <f>IF(MONTH(Call_Table_Data[[#This Row],[Date of Call]])&lt;=6,YEAR(Call_Table_Data[[#This Row],[Date of Call]]),YEAR(Call_Table_Data[[#This Row],[Date of Call]])+1)</f>
        <v>2023</v>
      </c>
      <c r="I275" s="9" t="str">
        <f>TEXT(Call_Table_Data[[#This Row],[Date of Call]],"DDDD")</f>
        <v>Saturday</v>
      </c>
      <c r="J275" s="9" t="str" cm="1">
        <f t="array" ref="J275">_xlfn.IFS(Call_Table_Data[[#This Row],[Duration]]&lt;=10,"Under 10 Mins",Call_Table_Data[[#This Row],[Duration]]&lt;=30,"10 to 30 Mins",Call_Table_Data[[#This Row],[Duration]]&lt;=60,"30 to 60 Mins",Call_Table_Data[[#This Row],[Duration]]&lt;=120,"1 to 2 Hours",TRUE,"More Than 2 Hours")</f>
        <v>More Than 2 Hours</v>
      </c>
      <c r="K275" s="9">
        <f>ROUND(Call_Table_Data[[#This Row],[Satisfaction Rating]],0)</f>
        <v>4</v>
      </c>
    </row>
    <row r="276" spans="1:11" x14ac:dyDescent="0.3">
      <c r="A276" s="9" t="s">
        <v>1902</v>
      </c>
      <c r="B276" s="9" t="s">
        <v>1652</v>
      </c>
      <c r="C276" s="9">
        <v>57</v>
      </c>
      <c r="D276" s="149" t="s">
        <v>1630</v>
      </c>
      <c r="E276" s="150">
        <v>45010</v>
      </c>
      <c r="F276" s="9">
        <v>35</v>
      </c>
      <c r="G276" s="9">
        <v>3.5</v>
      </c>
      <c r="H276" s="9">
        <f>IF(MONTH(Call_Table_Data[[#This Row],[Date of Call]])&lt;=6,YEAR(Call_Table_Data[[#This Row],[Date of Call]]),YEAR(Call_Table_Data[[#This Row],[Date of Call]])+1)</f>
        <v>2023</v>
      </c>
      <c r="I276" s="9" t="str">
        <f>TEXT(Call_Table_Data[[#This Row],[Date of Call]],"DDDD")</f>
        <v>Saturday</v>
      </c>
      <c r="J276" s="9" t="str" cm="1">
        <f t="array" ref="J276">_xlfn.IFS(Call_Table_Data[[#This Row],[Duration]]&lt;=10,"Under 10 Mins",Call_Table_Data[[#This Row],[Duration]]&lt;=30,"10 to 30 Mins",Call_Table_Data[[#This Row],[Duration]]&lt;=60,"30 to 60 Mins",Call_Table_Data[[#This Row],[Duration]]&lt;=120,"1 to 2 Hours",TRUE,"More Than 2 Hours")</f>
        <v>30 to 60 Mins</v>
      </c>
      <c r="K276" s="9">
        <f>ROUND(Call_Table_Data[[#This Row],[Satisfaction Rating]],0)</f>
        <v>4</v>
      </c>
    </row>
    <row r="277" spans="1:11" x14ac:dyDescent="0.3">
      <c r="A277" s="9" t="s">
        <v>1903</v>
      </c>
      <c r="B277" s="9" t="s">
        <v>1613</v>
      </c>
      <c r="C277" s="9">
        <v>113</v>
      </c>
      <c r="D277" s="149" t="s">
        <v>1616</v>
      </c>
      <c r="E277" s="150">
        <v>45010</v>
      </c>
      <c r="F277" s="9">
        <v>81</v>
      </c>
      <c r="G277" s="9">
        <v>3.5</v>
      </c>
      <c r="H277" s="9">
        <f>IF(MONTH(Call_Table_Data[[#This Row],[Date of Call]])&lt;=6,YEAR(Call_Table_Data[[#This Row],[Date of Call]]),YEAR(Call_Table_Data[[#This Row],[Date of Call]])+1)</f>
        <v>2023</v>
      </c>
      <c r="I277" s="9" t="str">
        <f>TEXT(Call_Table_Data[[#This Row],[Date of Call]],"DDDD")</f>
        <v>Saturday</v>
      </c>
      <c r="J277" s="9" t="str" cm="1">
        <f t="array" ref="J277">_xlfn.IFS(Call_Table_Data[[#This Row],[Duration]]&lt;=10,"Under 10 Mins",Call_Table_Data[[#This Row],[Duration]]&lt;=30,"10 to 30 Mins",Call_Table_Data[[#This Row],[Duration]]&lt;=60,"30 to 60 Mins",Call_Table_Data[[#This Row],[Duration]]&lt;=120,"1 to 2 Hours",TRUE,"More Than 2 Hours")</f>
        <v>1 to 2 Hours</v>
      </c>
      <c r="K277" s="9">
        <f>ROUND(Call_Table_Data[[#This Row],[Satisfaction Rating]],0)</f>
        <v>4</v>
      </c>
    </row>
    <row r="278" spans="1:11" x14ac:dyDescent="0.3">
      <c r="A278" s="9" t="s">
        <v>1904</v>
      </c>
      <c r="B278" s="9" t="s">
        <v>1610</v>
      </c>
      <c r="C278" s="9">
        <v>160</v>
      </c>
      <c r="D278" s="149" t="s">
        <v>1611</v>
      </c>
      <c r="E278" s="150">
        <v>45010</v>
      </c>
      <c r="F278" s="9">
        <v>116</v>
      </c>
      <c r="G278" s="9">
        <v>3.4</v>
      </c>
      <c r="H278" s="9">
        <f>IF(MONTH(Call_Table_Data[[#This Row],[Date of Call]])&lt;=6,YEAR(Call_Table_Data[[#This Row],[Date of Call]]),YEAR(Call_Table_Data[[#This Row],[Date of Call]])+1)</f>
        <v>2023</v>
      </c>
      <c r="I278" s="9" t="str">
        <f>TEXT(Call_Table_Data[[#This Row],[Date of Call]],"DDDD")</f>
        <v>Saturday</v>
      </c>
      <c r="J278" s="9" t="str" cm="1">
        <f t="array" ref="J278">_xlfn.IFS(Call_Table_Data[[#This Row],[Duration]]&lt;=10,"Under 10 Mins",Call_Table_Data[[#This Row],[Duration]]&lt;=30,"10 to 30 Mins",Call_Table_Data[[#This Row],[Duration]]&lt;=60,"30 to 60 Mins",Call_Table_Data[[#This Row],[Duration]]&lt;=120,"1 to 2 Hours",TRUE,"More Than 2 Hours")</f>
        <v>More Than 2 Hours</v>
      </c>
      <c r="K278" s="9">
        <f>ROUND(Call_Table_Data[[#This Row],[Satisfaction Rating]],0)</f>
        <v>3</v>
      </c>
    </row>
    <row r="279" spans="1:11" x14ac:dyDescent="0.3">
      <c r="A279" s="9" t="s">
        <v>1905</v>
      </c>
      <c r="B279" s="9" t="s">
        <v>1620</v>
      </c>
      <c r="C279" s="9">
        <v>158</v>
      </c>
      <c r="D279" s="149" t="s">
        <v>1621</v>
      </c>
      <c r="E279" s="150">
        <v>45010</v>
      </c>
      <c r="F279" s="9">
        <v>60</v>
      </c>
      <c r="G279" s="9">
        <v>4.5</v>
      </c>
      <c r="H279" s="9">
        <f>IF(MONTH(Call_Table_Data[[#This Row],[Date of Call]])&lt;=6,YEAR(Call_Table_Data[[#This Row],[Date of Call]]),YEAR(Call_Table_Data[[#This Row],[Date of Call]])+1)</f>
        <v>2023</v>
      </c>
      <c r="I279" s="9" t="str">
        <f>TEXT(Call_Table_Data[[#This Row],[Date of Call]],"DDDD")</f>
        <v>Saturday</v>
      </c>
      <c r="J279" s="9" t="str" cm="1">
        <f t="array" ref="J279">_xlfn.IFS(Call_Table_Data[[#This Row],[Duration]]&lt;=10,"Under 10 Mins",Call_Table_Data[[#This Row],[Duration]]&lt;=30,"10 to 30 Mins",Call_Table_Data[[#This Row],[Duration]]&lt;=60,"30 to 60 Mins",Call_Table_Data[[#This Row],[Duration]]&lt;=120,"1 to 2 Hours",TRUE,"More Than 2 Hours")</f>
        <v>More Than 2 Hours</v>
      </c>
      <c r="K279" s="9">
        <f>ROUND(Call_Table_Data[[#This Row],[Satisfaction Rating]],0)</f>
        <v>5</v>
      </c>
    </row>
    <row r="280" spans="1:11" x14ac:dyDescent="0.3">
      <c r="A280" s="9" t="s">
        <v>1906</v>
      </c>
      <c r="B280" s="9" t="s">
        <v>1644</v>
      </c>
      <c r="C280" s="9">
        <v>77</v>
      </c>
      <c r="D280" s="149" t="s">
        <v>1611</v>
      </c>
      <c r="E280" s="150">
        <v>45011</v>
      </c>
      <c r="F280" s="9">
        <v>130</v>
      </c>
      <c r="G280" s="9">
        <v>4.2</v>
      </c>
      <c r="H280" s="9">
        <f>IF(MONTH(Call_Table_Data[[#This Row],[Date of Call]])&lt;=6,YEAR(Call_Table_Data[[#This Row],[Date of Call]]),YEAR(Call_Table_Data[[#This Row],[Date of Call]])+1)</f>
        <v>2023</v>
      </c>
      <c r="I280" s="9" t="str">
        <f>TEXT(Call_Table_Data[[#This Row],[Date of Call]],"DDDD")</f>
        <v>Sunday</v>
      </c>
      <c r="J280" s="9" t="str" cm="1">
        <f t="array" ref="J280">_xlfn.IFS(Call_Table_Data[[#This Row],[Duration]]&lt;=10,"Under 10 Mins",Call_Table_Data[[#This Row],[Duration]]&lt;=30,"10 to 30 Mins",Call_Table_Data[[#This Row],[Duration]]&lt;=60,"30 to 60 Mins",Call_Table_Data[[#This Row],[Duration]]&lt;=120,"1 to 2 Hours",TRUE,"More Than 2 Hours")</f>
        <v>1 to 2 Hours</v>
      </c>
      <c r="K280" s="9">
        <f>ROUND(Call_Table_Data[[#This Row],[Satisfaction Rating]],0)</f>
        <v>4</v>
      </c>
    </row>
    <row r="281" spans="1:11" x14ac:dyDescent="0.3">
      <c r="A281" s="9" t="s">
        <v>1907</v>
      </c>
      <c r="B281" s="9" t="s">
        <v>1633</v>
      </c>
      <c r="C281" s="9">
        <v>118</v>
      </c>
      <c r="D281" s="149" t="s">
        <v>1626</v>
      </c>
      <c r="E281" s="150">
        <v>45011</v>
      </c>
      <c r="F281" s="9">
        <v>99</v>
      </c>
      <c r="G281" s="9">
        <v>5</v>
      </c>
      <c r="H281" s="9">
        <f>IF(MONTH(Call_Table_Data[[#This Row],[Date of Call]])&lt;=6,YEAR(Call_Table_Data[[#This Row],[Date of Call]]),YEAR(Call_Table_Data[[#This Row],[Date of Call]])+1)</f>
        <v>2023</v>
      </c>
      <c r="I281" s="9" t="str">
        <f>TEXT(Call_Table_Data[[#This Row],[Date of Call]],"DDDD")</f>
        <v>Sunday</v>
      </c>
      <c r="J281" s="9" t="str" cm="1">
        <f t="array" ref="J281">_xlfn.IFS(Call_Table_Data[[#This Row],[Duration]]&lt;=10,"Under 10 Mins",Call_Table_Data[[#This Row],[Duration]]&lt;=30,"10 to 30 Mins",Call_Table_Data[[#This Row],[Duration]]&lt;=60,"30 to 60 Mins",Call_Table_Data[[#This Row],[Duration]]&lt;=120,"1 to 2 Hours",TRUE,"More Than 2 Hours")</f>
        <v>1 to 2 Hours</v>
      </c>
      <c r="K281" s="9">
        <f>ROUND(Call_Table_Data[[#This Row],[Satisfaction Rating]],0)</f>
        <v>5</v>
      </c>
    </row>
    <row r="282" spans="1:11" x14ac:dyDescent="0.3">
      <c r="A282" s="9" t="s">
        <v>1908</v>
      </c>
      <c r="B282" s="9" t="s">
        <v>1649</v>
      </c>
      <c r="C282" s="9">
        <v>75</v>
      </c>
      <c r="D282" s="149" t="s">
        <v>1616</v>
      </c>
      <c r="E282" s="150">
        <v>45011</v>
      </c>
      <c r="F282" s="9">
        <v>135</v>
      </c>
      <c r="G282" s="9">
        <v>4.7</v>
      </c>
      <c r="H282" s="9">
        <f>IF(MONTH(Call_Table_Data[[#This Row],[Date of Call]])&lt;=6,YEAR(Call_Table_Data[[#This Row],[Date of Call]]),YEAR(Call_Table_Data[[#This Row],[Date of Call]])+1)</f>
        <v>2023</v>
      </c>
      <c r="I282" s="9" t="str">
        <f>TEXT(Call_Table_Data[[#This Row],[Date of Call]],"DDDD")</f>
        <v>Sunday</v>
      </c>
      <c r="J282" s="9" t="str" cm="1">
        <f t="array" ref="J282">_xlfn.IFS(Call_Table_Data[[#This Row],[Duration]]&lt;=10,"Under 10 Mins",Call_Table_Data[[#This Row],[Duration]]&lt;=30,"10 to 30 Mins",Call_Table_Data[[#This Row],[Duration]]&lt;=60,"30 to 60 Mins",Call_Table_Data[[#This Row],[Duration]]&lt;=120,"1 to 2 Hours",TRUE,"More Than 2 Hours")</f>
        <v>1 to 2 Hours</v>
      </c>
      <c r="K282" s="9">
        <f>ROUND(Call_Table_Data[[#This Row],[Satisfaction Rating]],0)</f>
        <v>5</v>
      </c>
    </row>
    <row r="283" spans="1:11" x14ac:dyDescent="0.3">
      <c r="A283" s="9" t="s">
        <v>1909</v>
      </c>
      <c r="B283" s="9" t="s">
        <v>1613</v>
      </c>
      <c r="C283" s="9">
        <v>103</v>
      </c>
      <c r="D283" s="149" t="s">
        <v>1611</v>
      </c>
      <c r="E283" s="150">
        <v>45011</v>
      </c>
      <c r="F283" s="9">
        <v>42</v>
      </c>
      <c r="G283" s="9">
        <v>2.8</v>
      </c>
      <c r="H283" s="9">
        <f>IF(MONTH(Call_Table_Data[[#This Row],[Date of Call]])&lt;=6,YEAR(Call_Table_Data[[#This Row],[Date of Call]]),YEAR(Call_Table_Data[[#This Row],[Date of Call]])+1)</f>
        <v>2023</v>
      </c>
      <c r="I283" s="9" t="str">
        <f>TEXT(Call_Table_Data[[#This Row],[Date of Call]],"DDDD")</f>
        <v>Sunday</v>
      </c>
      <c r="J283" s="9" t="str" cm="1">
        <f t="array" ref="J283">_xlfn.IFS(Call_Table_Data[[#This Row],[Duration]]&lt;=10,"Under 10 Mins",Call_Table_Data[[#This Row],[Duration]]&lt;=30,"10 to 30 Mins",Call_Table_Data[[#This Row],[Duration]]&lt;=60,"30 to 60 Mins",Call_Table_Data[[#This Row],[Duration]]&lt;=120,"1 to 2 Hours",TRUE,"More Than 2 Hours")</f>
        <v>1 to 2 Hours</v>
      </c>
      <c r="K283" s="9">
        <f>ROUND(Call_Table_Data[[#This Row],[Satisfaction Rating]],0)</f>
        <v>3</v>
      </c>
    </row>
    <row r="284" spans="1:11" x14ac:dyDescent="0.3">
      <c r="A284" s="9" t="s">
        <v>1910</v>
      </c>
      <c r="B284" s="9" t="s">
        <v>1644</v>
      </c>
      <c r="C284" s="9">
        <v>116</v>
      </c>
      <c r="D284" s="149" t="s">
        <v>1626</v>
      </c>
      <c r="E284" s="150">
        <v>45012</v>
      </c>
      <c r="F284" s="9">
        <v>63</v>
      </c>
      <c r="G284" s="9">
        <v>3.4</v>
      </c>
      <c r="H284" s="9">
        <f>IF(MONTH(Call_Table_Data[[#This Row],[Date of Call]])&lt;=6,YEAR(Call_Table_Data[[#This Row],[Date of Call]]),YEAR(Call_Table_Data[[#This Row],[Date of Call]])+1)</f>
        <v>2023</v>
      </c>
      <c r="I284" s="9" t="str">
        <f>TEXT(Call_Table_Data[[#This Row],[Date of Call]],"DDDD")</f>
        <v>Monday</v>
      </c>
      <c r="J284" s="9" t="str" cm="1">
        <f t="array" ref="J284">_xlfn.IFS(Call_Table_Data[[#This Row],[Duration]]&lt;=10,"Under 10 Mins",Call_Table_Data[[#This Row],[Duration]]&lt;=30,"10 to 30 Mins",Call_Table_Data[[#This Row],[Duration]]&lt;=60,"30 to 60 Mins",Call_Table_Data[[#This Row],[Duration]]&lt;=120,"1 to 2 Hours",TRUE,"More Than 2 Hours")</f>
        <v>1 to 2 Hours</v>
      </c>
      <c r="K284" s="9">
        <f>ROUND(Call_Table_Data[[#This Row],[Satisfaction Rating]],0)</f>
        <v>3</v>
      </c>
    </row>
    <row r="285" spans="1:11" x14ac:dyDescent="0.3">
      <c r="A285" s="9" t="s">
        <v>1911</v>
      </c>
      <c r="B285" s="9" t="s">
        <v>1624</v>
      </c>
      <c r="C285" s="9">
        <v>61</v>
      </c>
      <c r="D285" s="149" t="s">
        <v>1621</v>
      </c>
      <c r="E285" s="150">
        <v>45012</v>
      </c>
      <c r="F285" s="9">
        <v>140</v>
      </c>
      <c r="G285" s="9">
        <v>1.8</v>
      </c>
      <c r="H285" s="9">
        <f>IF(MONTH(Call_Table_Data[[#This Row],[Date of Call]])&lt;=6,YEAR(Call_Table_Data[[#This Row],[Date of Call]]),YEAR(Call_Table_Data[[#This Row],[Date of Call]])+1)</f>
        <v>2023</v>
      </c>
      <c r="I285" s="9" t="str">
        <f>TEXT(Call_Table_Data[[#This Row],[Date of Call]],"DDDD")</f>
        <v>Monday</v>
      </c>
      <c r="J285" s="9" t="str" cm="1">
        <f t="array" ref="J285">_xlfn.IFS(Call_Table_Data[[#This Row],[Duration]]&lt;=10,"Under 10 Mins",Call_Table_Data[[#This Row],[Duration]]&lt;=30,"10 to 30 Mins",Call_Table_Data[[#This Row],[Duration]]&lt;=60,"30 to 60 Mins",Call_Table_Data[[#This Row],[Duration]]&lt;=120,"1 to 2 Hours",TRUE,"More Than 2 Hours")</f>
        <v>1 to 2 Hours</v>
      </c>
      <c r="K285" s="9">
        <f>ROUND(Call_Table_Data[[#This Row],[Satisfaction Rating]],0)</f>
        <v>2</v>
      </c>
    </row>
    <row r="286" spans="1:11" x14ac:dyDescent="0.3">
      <c r="A286" s="9" t="s">
        <v>1912</v>
      </c>
      <c r="B286" s="9" t="s">
        <v>1652</v>
      </c>
      <c r="C286" s="9">
        <v>126</v>
      </c>
      <c r="D286" s="149" t="s">
        <v>1616</v>
      </c>
      <c r="E286" s="150">
        <v>45012</v>
      </c>
      <c r="F286" s="9">
        <v>128</v>
      </c>
      <c r="G286" s="9">
        <v>4.2</v>
      </c>
      <c r="H286" s="9">
        <f>IF(MONTH(Call_Table_Data[[#This Row],[Date of Call]])&lt;=6,YEAR(Call_Table_Data[[#This Row],[Date of Call]]),YEAR(Call_Table_Data[[#This Row],[Date of Call]])+1)</f>
        <v>2023</v>
      </c>
      <c r="I286" s="9" t="str">
        <f>TEXT(Call_Table_Data[[#This Row],[Date of Call]],"DDDD")</f>
        <v>Monday</v>
      </c>
      <c r="J286" s="9" t="str" cm="1">
        <f t="array" ref="J286">_xlfn.IFS(Call_Table_Data[[#This Row],[Duration]]&lt;=10,"Under 10 Mins",Call_Table_Data[[#This Row],[Duration]]&lt;=30,"10 to 30 Mins",Call_Table_Data[[#This Row],[Duration]]&lt;=60,"30 to 60 Mins",Call_Table_Data[[#This Row],[Duration]]&lt;=120,"1 to 2 Hours",TRUE,"More Than 2 Hours")</f>
        <v>More Than 2 Hours</v>
      </c>
      <c r="K286" s="9">
        <f>ROUND(Call_Table_Data[[#This Row],[Satisfaction Rating]],0)</f>
        <v>4</v>
      </c>
    </row>
    <row r="287" spans="1:11" x14ac:dyDescent="0.3">
      <c r="A287" s="9" t="s">
        <v>1913</v>
      </c>
      <c r="B287" s="9" t="s">
        <v>1635</v>
      </c>
      <c r="C287" s="9">
        <v>141</v>
      </c>
      <c r="D287" s="149" t="s">
        <v>1630</v>
      </c>
      <c r="E287" s="150">
        <v>45012</v>
      </c>
      <c r="F287" s="9">
        <v>80</v>
      </c>
      <c r="G287" s="9">
        <v>4.4000000000000004</v>
      </c>
      <c r="H287" s="9">
        <f>IF(MONTH(Call_Table_Data[[#This Row],[Date of Call]])&lt;=6,YEAR(Call_Table_Data[[#This Row],[Date of Call]]),YEAR(Call_Table_Data[[#This Row],[Date of Call]])+1)</f>
        <v>2023</v>
      </c>
      <c r="I287" s="9" t="str">
        <f>TEXT(Call_Table_Data[[#This Row],[Date of Call]],"DDDD")</f>
        <v>Monday</v>
      </c>
      <c r="J287" s="9" t="str" cm="1">
        <f t="array" ref="J287">_xlfn.IFS(Call_Table_Data[[#This Row],[Duration]]&lt;=10,"Under 10 Mins",Call_Table_Data[[#This Row],[Duration]]&lt;=30,"10 to 30 Mins",Call_Table_Data[[#This Row],[Duration]]&lt;=60,"30 to 60 Mins",Call_Table_Data[[#This Row],[Duration]]&lt;=120,"1 to 2 Hours",TRUE,"More Than 2 Hours")</f>
        <v>More Than 2 Hours</v>
      </c>
      <c r="K287" s="9">
        <f>ROUND(Call_Table_Data[[#This Row],[Satisfaction Rating]],0)</f>
        <v>4</v>
      </c>
    </row>
    <row r="288" spans="1:11" x14ac:dyDescent="0.3">
      <c r="A288" s="9" t="s">
        <v>1914</v>
      </c>
      <c r="B288" s="9" t="s">
        <v>1620</v>
      </c>
      <c r="C288" s="9">
        <v>95</v>
      </c>
      <c r="D288" s="149" t="s">
        <v>1626</v>
      </c>
      <c r="E288" s="150">
        <v>45012</v>
      </c>
      <c r="F288" s="9">
        <v>28</v>
      </c>
      <c r="G288" s="9">
        <v>2.7</v>
      </c>
      <c r="H288" s="9">
        <f>IF(MONTH(Call_Table_Data[[#This Row],[Date of Call]])&lt;=6,YEAR(Call_Table_Data[[#This Row],[Date of Call]]),YEAR(Call_Table_Data[[#This Row],[Date of Call]])+1)</f>
        <v>2023</v>
      </c>
      <c r="I288" s="9" t="str">
        <f>TEXT(Call_Table_Data[[#This Row],[Date of Call]],"DDDD")</f>
        <v>Monday</v>
      </c>
      <c r="J288" s="9" t="str" cm="1">
        <f t="array" ref="J288">_xlfn.IFS(Call_Table_Data[[#This Row],[Duration]]&lt;=10,"Under 10 Mins",Call_Table_Data[[#This Row],[Duration]]&lt;=30,"10 to 30 Mins",Call_Table_Data[[#This Row],[Duration]]&lt;=60,"30 to 60 Mins",Call_Table_Data[[#This Row],[Duration]]&lt;=120,"1 to 2 Hours",TRUE,"More Than 2 Hours")</f>
        <v>1 to 2 Hours</v>
      </c>
      <c r="K288" s="9">
        <f>ROUND(Call_Table_Data[[#This Row],[Satisfaction Rating]],0)</f>
        <v>3</v>
      </c>
    </row>
    <row r="289" spans="1:11" x14ac:dyDescent="0.3">
      <c r="A289" s="9" t="s">
        <v>1915</v>
      </c>
      <c r="B289" s="9" t="s">
        <v>1649</v>
      </c>
      <c r="C289" s="9">
        <v>39</v>
      </c>
      <c r="D289" s="149" t="s">
        <v>1621</v>
      </c>
      <c r="E289" s="150">
        <v>45013</v>
      </c>
      <c r="F289" s="9">
        <v>81</v>
      </c>
      <c r="G289" s="9">
        <v>5</v>
      </c>
      <c r="H289" s="9">
        <f>IF(MONTH(Call_Table_Data[[#This Row],[Date of Call]])&lt;=6,YEAR(Call_Table_Data[[#This Row],[Date of Call]]),YEAR(Call_Table_Data[[#This Row],[Date of Call]])+1)</f>
        <v>2023</v>
      </c>
      <c r="I289" s="9" t="str">
        <f>TEXT(Call_Table_Data[[#This Row],[Date of Call]],"DDDD")</f>
        <v>Tuesday</v>
      </c>
      <c r="J289" s="9" t="str" cm="1">
        <f t="array" ref="J289">_xlfn.IFS(Call_Table_Data[[#This Row],[Duration]]&lt;=10,"Under 10 Mins",Call_Table_Data[[#This Row],[Duration]]&lt;=30,"10 to 30 Mins",Call_Table_Data[[#This Row],[Duration]]&lt;=60,"30 to 60 Mins",Call_Table_Data[[#This Row],[Duration]]&lt;=120,"1 to 2 Hours",TRUE,"More Than 2 Hours")</f>
        <v>30 to 60 Mins</v>
      </c>
      <c r="K289" s="9">
        <f>ROUND(Call_Table_Data[[#This Row],[Satisfaction Rating]],0)</f>
        <v>5</v>
      </c>
    </row>
    <row r="290" spans="1:11" x14ac:dyDescent="0.3">
      <c r="A290" s="9" t="s">
        <v>1916</v>
      </c>
      <c r="B290" s="9" t="s">
        <v>1613</v>
      </c>
      <c r="C290" s="9">
        <v>127</v>
      </c>
      <c r="D290" s="149" t="s">
        <v>1616</v>
      </c>
      <c r="E290" s="150">
        <v>45013</v>
      </c>
      <c r="F290" s="9">
        <v>99</v>
      </c>
      <c r="G290" s="9">
        <v>3.9</v>
      </c>
      <c r="H290" s="9">
        <f>IF(MONTH(Call_Table_Data[[#This Row],[Date of Call]])&lt;=6,YEAR(Call_Table_Data[[#This Row],[Date of Call]]),YEAR(Call_Table_Data[[#This Row],[Date of Call]])+1)</f>
        <v>2023</v>
      </c>
      <c r="I290" s="9" t="str">
        <f>TEXT(Call_Table_Data[[#This Row],[Date of Call]],"DDDD")</f>
        <v>Tuesday</v>
      </c>
      <c r="J290" s="9" t="str" cm="1">
        <f t="array" ref="J290">_xlfn.IFS(Call_Table_Data[[#This Row],[Duration]]&lt;=10,"Under 10 Mins",Call_Table_Data[[#This Row],[Duration]]&lt;=30,"10 to 30 Mins",Call_Table_Data[[#This Row],[Duration]]&lt;=60,"30 to 60 Mins",Call_Table_Data[[#This Row],[Duration]]&lt;=120,"1 to 2 Hours",TRUE,"More Than 2 Hours")</f>
        <v>More Than 2 Hours</v>
      </c>
      <c r="K290" s="9">
        <f>ROUND(Call_Table_Data[[#This Row],[Satisfaction Rating]],0)</f>
        <v>4</v>
      </c>
    </row>
    <row r="291" spans="1:11" x14ac:dyDescent="0.3">
      <c r="A291" s="9" t="s">
        <v>1917</v>
      </c>
      <c r="B291" s="9" t="s">
        <v>1624</v>
      </c>
      <c r="C291" s="9">
        <v>78</v>
      </c>
      <c r="D291" s="149" t="s">
        <v>1616</v>
      </c>
      <c r="E291" s="150">
        <v>45013</v>
      </c>
      <c r="F291" s="9">
        <v>43</v>
      </c>
      <c r="G291" s="9">
        <v>3.8</v>
      </c>
      <c r="H291" s="9">
        <f>IF(MONTH(Call_Table_Data[[#This Row],[Date of Call]])&lt;=6,YEAR(Call_Table_Data[[#This Row],[Date of Call]]),YEAR(Call_Table_Data[[#This Row],[Date of Call]])+1)</f>
        <v>2023</v>
      </c>
      <c r="I291" s="9" t="str">
        <f>TEXT(Call_Table_Data[[#This Row],[Date of Call]],"DDDD")</f>
        <v>Tuesday</v>
      </c>
      <c r="J291" s="9" t="str" cm="1">
        <f t="array" ref="J291">_xlfn.IFS(Call_Table_Data[[#This Row],[Duration]]&lt;=10,"Under 10 Mins",Call_Table_Data[[#This Row],[Duration]]&lt;=30,"10 to 30 Mins",Call_Table_Data[[#This Row],[Duration]]&lt;=60,"30 to 60 Mins",Call_Table_Data[[#This Row],[Duration]]&lt;=120,"1 to 2 Hours",TRUE,"More Than 2 Hours")</f>
        <v>1 to 2 Hours</v>
      </c>
      <c r="K291" s="9">
        <f>ROUND(Call_Table_Data[[#This Row],[Satisfaction Rating]],0)</f>
        <v>4</v>
      </c>
    </row>
    <row r="292" spans="1:11" x14ac:dyDescent="0.3">
      <c r="A292" s="9" t="s">
        <v>1918</v>
      </c>
      <c r="B292" s="9" t="s">
        <v>1633</v>
      </c>
      <c r="C292" s="9">
        <v>40</v>
      </c>
      <c r="D292" s="149" t="s">
        <v>1616</v>
      </c>
      <c r="E292" s="150">
        <v>45013</v>
      </c>
      <c r="F292" s="9">
        <v>34</v>
      </c>
      <c r="G292" s="9">
        <v>4.5999999999999996</v>
      </c>
      <c r="H292" s="9">
        <f>IF(MONTH(Call_Table_Data[[#This Row],[Date of Call]])&lt;=6,YEAR(Call_Table_Data[[#This Row],[Date of Call]]),YEAR(Call_Table_Data[[#This Row],[Date of Call]])+1)</f>
        <v>2023</v>
      </c>
      <c r="I292" s="9" t="str">
        <f>TEXT(Call_Table_Data[[#This Row],[Date of Call]],"DDDD")</f>
        <v>Tuesday</v>
      </c>
      <c r="J292" s="9" t="str" cm="1">
        <f t="array" ref="J292">_xlfn.IFS(Call_Table_Data[[#This Row],[Duration]]&lt;=10,"Under 10 Mins",Call_Table_Data[[#This Row],[Duration]]&lt;=30,"10 to 30 Mins",Call_Table_Data[[#This Row],[Duration]]&lt;=60,"30 to 60 Mins",Call_Table_Data[[#This Row],[Duration]]&lt;=120,"1 to 2 Hours",TRUE,"More Than 2 Hours")</f>
        <v>30 to 60 Mins</v>
      </c>
      <c r="K292" s="9">
        <f>ROUND(Call_Table_Data[[#This Row],[Satisfaction Rating]],0)</f>
        <v>5</v>
      </c>
    </row>
    <row r="293" spans="1:11" x14ac:dyDescent="0.3">
      <c r="A293" s="9" t="s">
        <v>1919</v>
      </c>
      <c r="B293" s="9" t="s">
        <v>1624</v>
      </c>
      <c r="C293" s="9">
        <v>56</v>
      </c>
      <c r="D293" s="149" t="s">
        <v>1621</v>
      </c>
      <c r="E293" s="150">
        <v>45013</v>
      </c>
      <c r="F293" s="9">
        <v>225</v>
      </c>
      <c r="G293" s="9">
        <v>4.5999999999999996</v>
      </c>
      <c r="H293" s="9">
        <f>IF(MONTH(Call_Table_Data[[#This Row],[Date of Call]])&lt;=6,YEAR(Call_Table_Data[[#This Row],[Date of Call]]),YEAR(Call_Table_Data[[#This Row],[Date of Call]])+1)</f>
        <v>2023</v>
      </c>
      <c r="I293" s="9" t="str">
        <f>TEXT(Call_Table_Data[[#This Row],[Date of Call]],"DDDD")</f>
        <v>Tuesday</v>
      </c>
      <c r="J293" s="9" t="str" cm="1">
        <f t="array" ref="J293">_xlfn.IFS(Call_Table_Data[[#This Row],[Duration]]&lt;=10,"Under 10 Mins",Call_Table_Data[[#This Row],[Duration]]&lt;=30,"10 to 30 Mins",Call_Table_Data[[#This Row],[Duration]]&lt;=60,"30 to 60 Mins",Call_Table_Data[[#This Row],[Duration]]&lt;=120,"1 to 2 Hours",TRUE,"More Than 2 Hours")</f>
        <v>30 to 60 Mins</v>
      </c>
      <c r="K293" s="9">
        <f>ROUND(Call_Table_Data[[#This Row],[Satisfaction Rating]],0)</f>
        <v>5</v>
      </c>
    </row>
    <row r="294" spans="1:11" x14ac:dyDescent="0.3">
      <c r="A294" s="9" t="s">
        <v>1920</v>
      </c>
      <c r="B294" s="9" t="s">
        <v>1649</v>
      </c>
      <c r="C294" s="9">
        <v>59</v>
      </c>
      <c r="D294" s="149" t="s">
        <v>1630</v>
      </c>
      <c r="E294" s="150">
        <v>45013</v>
      </c>
      <c r="F294" s="9">
        <v>210</v>
      </c>
      <c r="G294" s="9">
        <v>4.5</v>
      </c>
      <c r="H294" s="9">
        <f>IF(MONTH(Call_Table_Data[[#This Row],[Date of Call]])&lt;=6,YEAR(Call_Table_Data[[#This Row],[Date of Call]]),YEAR(Call_Table_Data[[#This Row],[Date of Call]])+1)</f>
        <v>2023</v>
      </c>
      <c r="I294" s="9" t="str">
        <f>TEXT(Call_Table_Data[[#This Row],[Date of Call]],"DDDD")</f>
        <v>Tuesday</v>
      </c>
      <c r="J294" s="9" t="str" cm="1">
        <f t="array" ref="J294">_xlfn.IFS(Call_Table_Data[[#This Row],[Duration]]&lt;=10,"Under 10 Mins",Call_Table_Data[[#This Row],[Duration]]&lt;=30,"10 to 30 Mins",Call_Table_Data[[#This Row],[Duration]]&lt;=60,"30 to 60 Mins",Call_Table_Data[[#This Row],[Duration]]&lt;=120,"1 to 2 Hours",TRUE,"More Than 2 Hours")</f>
        <v>30 to 60 Mins</v>
      </c>
      <c r="K294" s="9">
        <f>ROUND(Call_Table_Data[[#This Row],[Satisfaction Rating]],0)</f>
        <v>5</v>
      </c>
    </row>
    <row r="295" spans="1:11" x14ac:dyDescent="0.3">
      <c r="A295" s="9" t="s">
        <v>1921</v>
      </c>
      <c r="B295" s="9" t="s">
        <v>1652</v>
      </c>
      <c r="C295" s="9">
        <v>30</v>
      </c>
      <c r="D295" s="149" t="s">
        <v>1616</v>
      </c>
      <c r="E295" s="150">
        <v>45013</v>
      </c>
      <c r="F295" s="9">
        <v>168</v>
      </c>
      <c r="G295" s="9">
        <v>4.2</v>
      </c>
      <c r="H295" s="9">
        <f>IF(MONTH(Call_Table_Data[[#This Row],[Date of Call]])&lt;=6,YEAR(Call_Table_Data[[#This Row],[Date of Call]]),YEAR(Call_Table_Data[[#This Row],[Date of Call]])+1)</f>
        <v>2023</v>
      </c>
      <c r="I295" s="9" t="str">
        <f>TEXT(Call_Table_Data[[#This Row],[Date of Call]],"DDDD")</f>
        <v>Tuesday</v>
      </c>
      <c r="J295" s="9" t="str" cm="1">
        <f t="array" ref="J295">_xlfn.IFS(Call_Table_Data[[#This Row],[Duration]]&lt;=10,"Under 10 Mins",Call_Table_Data[[#This Row],[Duration]]&lt;=30,"10 to 30 Mins",Call_Table_Data[[#This Row],[Duration]]&lt;=60,"30 to 60 Mins",Call_Table_Data[[#This Row],[Duration]]&lt;=120,"1 to 2 Hours",TRUE,"More Than 2 Hours")</f>
        <v>10 to 30 Mins</v>
      </c>
      <c r="K295" s="9">
        <f>ROUND(Call_Table_Data[[#This Row],[Satisfaction Rating]],0)</f>
        <v>4</v>
      </c>
    </row>
    <row r="296" spans="1:11" x14ac:dyDescent="0.3">
      <c r="A296" s="9" t="s">
        <v>1922</v>
      </c>
      <c r="B296" s="9" t="s">
        <v>1633</v>
      </c>
      <c r="C296" s="9">
        <v>63</v>
      </c>
      <c r="D296" s="149" t="s">
        <v>1611</v>
      </c>
      <c r="E296" s="150">
        <v>45014</v>
      </c>
      <c r="F296" s="9">
        <v>82</v>
      </c>
      <c r="G296" s="9">
        <v>4.5</v>
      </c>
      <c r="H296" s="9">
        <f>IF(MONTH(Call_Table_Data[[#This Row],[Date of Call]])&lt;=6,YEAR(Call_Table_Data[[#This Row],[Date of Call]]),YEAR(Call_Table_Data[[#This Row],[Date of Call]])+1)</f>
        <v>2023</v>
      </c>
      <c r="I296" s="9" t="str">
        <f>TEXT(Call_Table_Data[[#This Row],[Date of Call]],"DDDD")</f>
        <v>Wednesday</v>
      </c>
      <c r="J296" s="9" t="str" cm="1">
        <f t="array" ref="J296">_xlfn.IFS(Call_Table_Data[[#This Row],[Duration]]&lt;=10,"Under 10 Mins",Call_Table_Data[[#This Row],[Duration]]&lt;=30,"10 to 30 Mins",Call_Table_Data[[#This Row],[Duration]]&lt;=60,"30 to 60 Mins",Call_Table_Data[[#This Row],[Duration]]&lt;=120,"1 to 2 Hours",TRUE,"More Than 2 Hours")</f>
        <v>1 to 2 Hours</v>
      </c>
      <c r="K296" s="9">
        <f>ROUND(Call_Table_Data[[#This Row],[Satisfaction Rating]],0)</f>
        <v>5</v>
      </c>
    </row>
    <row r="297" spans="1:11" x14ac:dyDescent="0.3">
      <c r="A297" s="9" t="s">
        <v>1923</v>
      </c>
      <c r="B297" s="9" t="s">
        <v>1615</v>
      </c>
      <c r="C297" s="9">
        <v>56</v>
      </c>
      <c r="D297" s="149" t="s">
        <v>1626</v>
      </c>
      <c r="E297" s="150">
        <v>45014</v>
      </c>
      <c r="F297" s="9">
        <v>88</v>
      </c>
      <c r="G297" s="9">
        <v>4.0999999999999996</v>
      </c>
      <c r="H297" s="9">
        <f>IF(MONTH(Call_Table_Data[[#This Row],[Date of Call]])&lt;=6,YEAR(Call_Table_Data[[#This Row],[Date of Call]]),YEAR(Call_Table_Data[[#This Row],[Date of Call]])+1)</f>
        <v>2023</v>
      </c>
      <c r="I297" s="9" t="str">
        <f>TEXT(Call_Table_Data[[#This Row],[Date of Call]],"DDDD")</f>
        <v>Wednesday</v>
      </c>
      <c r="J297" s="9" t="str" cm="1">
        <f t="array" ref="J297">_xlfn.IFS(Call_Table_Data[[#This Row],[Duration]]&lt;=10,"Under 10 Mins",Call_Table_Data[[#This Row],[Duration]]&lt;=30,"10 to 30 Mins",Call_Table_Data[[#This Row],[Duration]]&lt;=60,"30 to 60 Mins",Call_Table_Data[[#This Row],[Duration]]&lt;=120,"1 to 2 Hours",TRUE,"More Than 2 Hours")</f>
        <v>30 to 60 Mins</v>
      </c>
      <c r="K297" s="9">
        <f>ROUND(Call_Table_Data[[#This Row],[Satisfaction Rating]],0)</f>
        <v>4</v>
      </c>
    </row>
    <row r="298" spans="1:11" x14ac:dyDescent="0.3">
      <c r="A298" s="9" t="s">
        <v>1924</v>
      </c>
      <c r="B298" s="9" t="s">
        <v>1682</v>
      </c>
      <c r="C298" s="9">
        <v>95</v>
      </c>
      <c r="D298" s="149" t="s">
        <v>1611</v>
      </c>
      <c r="E298" s="150">
        <v>45014</v>
      </c>
      <c r="F298" s="9">
        <v>111</v>
      </c>
      <c r="G298" s="9">
        <v>3.3</v>
      </c>
      <c r="H298" s="9">
        <f>IF(MONTH(Call_Table_Data[[#This Row],[Date of Call]])&lt;=6,YEAR(Call_Table_Data[[#This Row],[Date of Call]]),YEAR(Call_Table_Data[[#This Row],[Date of Call]])+1)</f>
        <v>2023</v>
      </c>
      <c r="I298" s="9" t="str">
        <f>TEXT(Call_Table_Data[[#This Row],[Date of Call]],"DDDD")</f>
        <v>Wednesday</v>
      </c>
      <c r="J298" s="9" t="str" cm="1">
        <f t="array" ref="J298">_xlfn.IFS(Call_Table_Data[[#This Row],[Duration]]&lt;=10,"Under 10 Mins",Call_Table_Data[[#This Row],[Duration]]&lt;=30,"10 to 30 Mins",Call_Table_Data[[#This Row],[Duration]]&lt;=60,"30 to 60 Mins",Call_Table_Data[[#This Row],[Duration]]&lt;=120,"1 to 2 Hours",TRUE,"More Than 2 Hours")</f>
        <v>1 to 2 Hours</v>
      </c>
      <c r="K298" s="9">
        <f>ROUND(Call_Table_Data[[#This Row],[Satisfaction Rating]],0)</f>
        <v>3</v>
      </c>
    </row>
    <row r="299" spans="1:11" x14ac:dyDescent="0.3">
      <c r="A299" s="9" t="s">
        <v>1925</v>
      </c>
      <c r="B299" s="9" t="s">
        <v>1662</v>
      </c>
      <c r="C299" s="9">
        <v>128</v>
      </c>
      <c r="D299" s="149" t="s">
        <v>1630</v>
      </c>
      <c r="E299" s="150">
        <v>45014</v>
      </c>
      <c r="F299" s="9">
        <v>60</v>
      </c>
      <c r="G299" s="9">
        <v>3.8</v>
      </c>
      <c r="H299" s="9">
        <f>IF(MONTH(Call_Table_Data[[#This Row],[Date of Call]])&lt;=6,YEAR(Call_Table_Data[[#This Row],[Date of Call]]),YEAR(Call_Table_Data[[#This Row],[Date of Call]])+1)</f>
        <v>2023</v>
      </c>
      <c r="I299" s="9" t="str">
        <f>TEXT(Call_Table_Data[[#This Row],[Date of Call]],"DDDD")</f>
        <v>Wednesday</v>
      </c>
      <c r="J299" s="9" t="str" cm="1">
        <f t="array" ref="J299">_xlfn.IFS(Call_Table_Data[[#This Row],[Duration]]&lt;=10,"Under 10 Mins",Call_Table_Data[[#This Row],[Duration]]&lt;=30,"10 to 30 Mins",Call_Table_Data[[#This Row],[Duration]]&lt;=60,"30 to 60 Mins",Call_Table_Data[[#This Row],[Duration]]&lt;=120,"1 to 2 Hours",TRUE,"More Than 2 Hours")</f>
        <v>More Than 2 Hours</v>
      </c>
      <c r="K299" s="9">
        <f>ROUND(Call_Table_Data[[#This Row],[Satisfaction Rating]],0)</f>
        <v>4</v>
      </c>
    </row>
    <row r="300" spans="1:11" x14ac:dyDescent="0.3">
      <c r="A300" s="9" t="s">
        <v>1926</v>
      </c>
      <c r="B300" s="9" t="s">
        <v>1620</v>
      </c>
      <c r="C300" s="9">
        <v>49</v>
      </c>
      <c r="D300" s="149" t="s">
        <v>1611</v>
      </c>
      <c r="E300" s="150">
        <v>45014</v>
      </c>
      <c r="F300" s="9">
        <v>80</v>
      </c>
      <c r="G300" s="9">
        <v>3</v>
      </c>
      <c r="H300" s="9">
        <f>IF(MONTH(Call_Table_Data[[#This Row],[Date of Call]])&lt;=6,YEAR(Call_Table_Data[[#This Row],[Date of Call]]),YEAR(Call_Table_Data[[#This Row],[Date of Call]])+1)</f>
        <v>2023</v>
      </c>
      <c r="I300" s="9" t="str">
        <f>TEXT(Call_Table_Data[[#This Row],[Date of Call]],"DDDD")</f>
        <v>Wednesday</v>
      </c>
      <c r="J300" s="9" t="str" cm="1">
        <f t="array" ref="J300">_xlfn.IFS(Call_Table_Data[[#This Row],[Duration]]&lt;=10,"Under 10 Mins",Call_Table_Data[[#This Row],[Duration]]&lt;=30,"10 to 30 Mins",Call_Table_Data[[#This Row],[Duration]]&lt;=60,"30 to 60 Mins",Call_Table_Data[[#This Row],[Duration]]&lt;=120,"1 to 2 Hours",TRUE,"More Than 2 Hours")</f>
        <v>30 to 60 Mins</v>
      </c>
      <c r="K300" s="9">
        <f>ROUND(Call_Table_Data[[#This Row],[Satisfaction Rating]],0)</f>
        <v>3</v>
      </c>
    </row>
    <row r="301" spans="1:11" x14ac:dyDescent="0.3">
      <c r="A301" s="9" t="s">
        <v>1927</v>
      </c>
      <c r="B301" s="9" t="s">
        <v>1662</v>
      </c>
      <c r="C301" s="9">
        <v>89</v>
      </c>
      <c r="D301" s="149" t="s">
        <v>1621</v>
      </c>
      <c r="E301" s="150">
        <v>45016</v>
      </c>
      <c r="F301" s="9">
        <v>90</v>
      </c>
      <c r="G301" s="9">
        <v>4.5999999999999996</v>
      </c>
      <c r="H301" s="9">
        <f>IF(MONTH(Call_Table_Data[[#This Row],[Date of Call]])&lt;=6,YEAR(Call_Table_Data[[#This Row],[Date of Call]]),YEAR(Call_Table_Data[[#This Row],[Date of Call]])+1)</f>
        <v>2023</v>
      </c>
      <c r="I301" s="9" t="str">
        <f>TEXT(Call_Table_Data[[#This Row],[Date of Call]],"DDDD")</f>
        <v>Friday</v>
      </c>
      <c r="J301" s="9" t="str" cm="1">
        <f t="array" ref="J301">_xlfn.IFS(Call_Table_Data[[#This Row],[Duration]]&lt;=10,"Under 10 Mins",Call_Table_Data[[#This Row],[Duration]]&lt;=30,"10 to 30 Mins",Call_Table_Data[[#This Row],[Duration]]&lt;=60,"30 to 60 Mins",Call_Table_Data[[#This Row],[Duration]]&lt;=120,"1 to 2 Hours",TRUE,"More Than 2 Hours")</f>
        <v>1 to 2 Hours</v>
      </c>
      <c r="K301" s="9">
        <f>ROUND(Call_Table_Data[[#This Row],[Satisfaction Rating]],0)</f>
        <v>5</v>
      </c>
    </row>
    <row r="302" spans="1:11" x14ac:dyDescent="0.3">
      <c r="A302" s="9" t="s">
        <v>1928</v>
      </c>
      <c r="B302" s="9" t="s">
        <v>1641</v>
      </c>
      <c r="C302" s="9">
        <v>87</v>
      </c>
      <c r="D302" s="149" t="s">
        <v>1611</v>
      </c>
      <c r="E302" s="150">
        <v>45016</v>
      </c>
      <c r="F302" s="9">
        <v>225</v>
      </c>
      <c r="G302" s="9">
        <v>2.9</v>
      </c>
      <c r="H302" s="9">
        <f>IF(MONTH(Call_Table_Data[[#This Row],[Date of Call]])&lt;=6,YEAR(Call_Table_Data[[#This Row],[Date of Call]]),YEAR(Call_Table_Data[[#This Row],[Date of Call]])+1)</f>
        <v>2023</v>
      </c>
      <c r="I302" s="9" t="str">
        <f>TEXT(Call_Table_Data[[#This Row],[Date of Call]],"DDDD")</f>
        <v>Friday</v>
      </c>
      <c r="J302" s="9" t="str" cm="1">
        <f t="array" ref="J302">_xlfn.IFS(Call_Table_Data[[#This Row],[Duration]]&lt;=10,"Under 10 Mins",Call_Table_Data[[#This Row],[Duration]]&lt;=30,"10 to 30 Mins",Call_Table_Data[[#This Row],[Duration]]&lt;=60,"30 to 60 Mins",Call_Table_Data[[#This Row],[Duration]]&lt;=120,"1 to 2 Hours",TRUE,"More Than 2 Hours")</f>
        <v>1 to 2 Hours</v>
      </c>
      <c r="K302" s="9">
        <f>ROUND(Call_Table_Data[[#This Row],[Satisfaction Rating]],0)</f>
        <v>3</v>
      </c>
    </row>
    <row r="303" spans="1:11" x14ac:dyDescent="0.3">
      <c r="A303" s="9" t="s">
        <v>1929</v>
      </c>
      <c r="B303" s="9" t="s">
        <v>1610</v>
      </c>
      <c r="C303" s="9">
        <v>60</v>
      </c>
      <c r="D303" s="149" t="s">
        <v>1616</v>
      </c>
      <c r="E303" s="150">
        <v>45017</v>
      </c>
      <c r="F303" s="9">
        <v>215</v>
      </c>
      <c r="G303" s="9">
        <v>3.2</v>
      </c>
      <c r="H303" s="9">
        <f>IF(MONTH(Call_Table_Data[[#This Row],[Date of Call]])&lt;=6,YEAR(Call_Table_Data[[#This Row],[Date of Call]]),YEAR(Call_Table_Data[[#This Row],[Date of Call]])+1)</f>
        <v>2023</v>
      </c>
      <c r="I303" s="9" t="str">
        <f>TEXT(Call_Table_Data[[#This Row],[Date of Call]],"DDDD")</f>
        <v>Saturday</v>
      </c>
      <c r="J303" s="9" t="str" cm="1">
        <f t="array" ref="J303">_xlfn.IFS(Call_Table_Data[[#This Row],[Duration]]&lt;=10,"Under 10 Mins",Call_Table_Data[[#This Row],[Duration]]&lt;=30,"10 to 30 Mins",Call_Table_Data[[#This Row],[Duration]]&lt;=60,"30 to 60 Mins",Call_Table_Data[[#This Row],[Duration]]&lt;=120,"1 to 2 Hours",TRUE,"More Than 2 Hours")</f>
        <v>30 to 60 Mins</v>
      </c>
      <c r="K303" s="9">
        <f>ROUND(Call_Table_Data[[#This Row],[Satisfaction Rating]],0)</f>
        <v>3</v>
      </c>
    </row>
    <row r="304" spans="1:11" x14ac:dyDescent="0.3">
      <c r="A304" s="9" t="s">
        <v>1930</v>
      </c>
      <c r="B304" s="9" t="s">
        <v>1618</v>
      </c>
      <c r="C304" s="9">
        <v>42</v>
      </c>
      <c r="D304" s="149" t="s">
        <v>1621</v>
      </c>
      <c r="E304" s="150">
        <v>45017</v>
      </c>
      <c r="F304" s="9">
        <v>45</v>
      </c>
      <c r="G304" s="9">
        <v>1.5</v>
      </c>
      <c r="H304" s="9">
        <f>IF(MONTH(Call_Table_Data[[#This Row],[Date of Call]])&lt;=6,YEAR(Call_Table_Data[[#This Row],[Date of Call]]),YEAR(Call_Table_Data[[#This Row],[Date of Call]])+1)</f>
        <v>2023</v>
      </c>
      <c r="I304" s="9" t="str">
        <f>TEXT(Call_Table_Data[[#This Row],[Date of Call]],"DDDD")</f>
        <v>Saturday</v>
      </c>
      <c r="J304" s="9" t="str" cm="1">
        <f t="array" ref="J304">_xlfn.IFS(Call_Table_Data[[#This Row],[Duration]]&lt;=10,"Under 10 Mins",Call_Table_Data[[#This Row],[Duration]]&lt;=30,"10 to 30 Mins",Call_Table_Data[[#This Row],[Duration]]&lt;=60,"30 to 60 Mins",Call_Table_Data[[#This Row],[Duration]]&lt;=120,"1 to 2 Hours",TRUE,"More Than 2 Hours")</f>
        <v>30 to 60 Mins</v>
      </c>
      <c r="K304" s="9">
        <f>ROUND(Call_Table_Data[[#This Row],[Satisfaction Rating]],0)</f>
        <v>2</v>
      </c>
    </row>
    <row r="305" spans="1:11" x14ac:dyDescent="0.3">
      <c r="A305" s="9" t="s">
        <v>1931</v>
      </c>
      <c r="B305" s="9" t="s">
        <v>1629</v>
      </c>
      <c r="C305" s="9">
        <v>99</v>
      </c>
      <c r="D305" s="149" t="s">
        <v>1616</v>
      </c>
      <c r="E305" s="150">
        <v>45017</v>
      </c>
      <c r="F305" s="9">
        <v>74</v>
      </c>
      <c r="G305" s="9">
        <v>4</v>
      </c>
      <c r="H305" s="9">
        <f>IF(MONTH(Call_Table_Data[[#This Row],[Date of Call]])&lt;=6,YEAR(Call_Table_Data[[#This Row],[Date of Call]]),YEAR(Call_Table_Data[[#This Row],[Date of Call]])+1)</f>
        <v>2023</v>
      </c>
      <c r="I305" s="9" t="str">
        <f>TEXT(Call_Table_Data[[#This Row],[Date of Call]],"DDDD")</f>
        <v>Saturday</v>
      </c>
      <c r="J305" s="9" t="str" cm="1">
        <f t="array" ref="J305">_xlfn.IFS(Call_Table_Data[[#This Row],[Duration]]&lt;=10,"Under 10 Mins",Call_Table_Data[[#This Row],[Duration]]&lt;=30,"10 to 30 Mins",Call_Table_Data[[#This Row],[Duration]]&lt;=60,"30 to 60 Mins",Call_Table_Data[[#This Row],[Duration]]&lt;=120,"1 to 2 Hours",TRUE,"More Than 2 Hours")</f>
        <v>1 to 2 Hours</v>
      </c>
      <c r="K305" s="9">
        <f>ROUND(Call_Table_Data[[#This Row],[Satisfaction Rating]],0)</f>
        <v>4</v>
      </c>
    </row>
    <row r="306" spans="1:11" x14ac:dyDescent="0.3">
      <c r="A306" s="9" t="s">
        <v>1932</v>
      </c>
      <c r="B306" s="9" t="s">
        <v>1615</v>
      </c>
      <c r="C306" s="9">
        <v>20</v>
      </c>
      <c r="D306" s="149" t="s">
        <v>1621</v>
      </c>
      <c r="E306" s="150">
        <v>45017</v>
      </c>
      <c r="F306" s="9">
        <v>60</v>
      </c>
      <c r="G306" s="9">
        <v>3.6</v>
      </c>
      <c r="H306" s="9">
        <f>IF(MONTH(Call_Table_Data[[#This Row],[Date of Call]])&lt;=6,YEAR(Call_Table_Data[[#This Row],[Date of Call]]),YEAR(Call_Table_Data[[#This Row],[Date of Call]])+1)</f>
        <v>2023</v>
      </c>
      <c r="I306" s="9" t="str">
        <f>TEXT(Call_Table_Data[[#This Row],[Date of Call]],"DDDD")</f>
        <v>Saturday</v>
      </c>
      <c r="J306" s="9" t="str" cm="1">
        <f t="array" ref="J306">_xlfn.IFS(Call_Table_Data[[#This Row],[Duration]]&lt;=10,"Under 10 Mins",Call_Table_Data[[#This Row],[Duration]]&lt;=30,"10 to 30 Mins",Call_Table_Data[[#This Row],[Duration]]&lt;=60,"30 to 60 Mins",Call_Table_Data[[#This Row],[Duration]]&lt;=120,"1 to 2 Hours",TRUE,"More Than 2 Hours")</f>
        <v>10 to 30 Mins</v>
      </c>
      <c r="K306" s="9">
        <f>ROUND(Call_Table_Data[[#This Row],[Satisfaction Rating]],0)</f>
        <v>4</v>
      </c>
    </row>
    <row r="307" spans="1:11" x14ac:dyDescent="0.3">
      <c r="A307" s="9" t="s">
        <v>1933</v>
      </c>
      <c r="B307" s="9" t="s">
        <v>1633</v>
      </c>
      <c r="C307" s="9">
        <v>65</v>
      </c>
      <c r="D307" s="149" t="s">
        <v>1616</v>
      </c>
      <c r="E307" s="150">
        <v>45017</v>
      </c>
      <c r="F307" s="9">
        <v>64</v>
      </c>
      <c r="G307" s="9">
        <v>3.7</v>
      </c>
      <c r="H307" s="9">
        <f>IF(MONTH(Call_Table_Data[[#This Row],[Date of Call]])&lt;=6,YEAR(Call_Table_Data[[#This Row],[Date of Call]]),YEAR(Call_Table_Data[[#This Row],[Date of Call]])+1)</f>
        <v>2023</v>
      </c>
      <c r="I307" s="9" t="str">
        <f>TEXT(Call_Table_Data[[#This Row],[Date of Call]],"DDDD")</f>
        <v>Saturday</v>
      </c>
      <c r="J307" s="9" t="str" cm="1">
        <f t="array" ref="J307">_xlfn.IFS(Call_Table_Data[[#This Row],[Duration]]&lt;=10,"Under 10 Mins",Call_Table_Data[[#This Row],[Duration]]&lt;=30,"10 to 30 Mins",Call_Table_Data[[#This Row],[Duration]]&lt;=60,"30 to 60 Mins",Call_Table_Data[[#This Row],[Duration]]&lt;=120,"1 to 2 Hours",TRUE,"More Than 2 Hours")</f>
        <v>1 to 2 Hours</v>
      </c>
      <c r="K307" s="9">
        <f>ROUND(Call_Table_Data[[#This Row],[Satisfaction Rating]],0)</f>
        <v>4</v>
      </c>
    </row>
    <row r="308" spans="1:11" x14ac:dyDescent="0.3">
      <c r="A308" s="9" t="s">
        <v>1934</v>
      </c>
      <c r="B308" s="9" t="s">
        <v>1652</v>
      </c>
      <c r="C308" s="9">
        <v>71</v>
      </c>
      <c r="D308" s="149" t="s">
        <v>1611</v>
      </c>
      <c r="E308" s="150">
        <v>45018</v>
      </c>
      <c r="F308" s="9">
        <v>110</v>
      </c>
      <c r="G308" s="9">
        <v>4.8</v>
      </c>
      <c r="H308" s="9">
        <f>IF(MONTH(Call_Table_Data[[#This Row],[Date of Call]])&lt;=6,YEAR(Call_Table_Data[[#This Row],[Date of Call]]),YEAR(Call_Table_Data[[#This Row],[Date of Call]])+1)</f>
        <v>2023</v>
      </c>
      <c r="I308" s="9" t="str">
        <f>TEXT(Call_Table_Data[[#This Row],[Date of Call]],"DDDD")</f>
        <v>Sunday</v>
      </c>
      <c r="J308" s="9" t="str" cm="1">
        <f t="array" ref="J308">_xlfn.IFS(Call_Table_Data[[#This Row],[Duration]]&lt;=10,"Under 10 Mins",Call_Table_Data[[#This Row],[Duration]]&lt;=30,"10 to 30 Mins",Call_Table_Data[[#This Row],[Duration]]&lt;=60,"30 to 60 Mins",Call_Table_Data[[#This Row],[Duration]]&lt;=120,"1 to 2 Hours",TRUE,"More Than 2 Hours")</f>
        <v>1 to 2 Hours</v>
      </c>
      <c r="K308" s="9">
        <f>ROUND(Call_Table_Data[[#This Row],[Satisfaction Rating]],0)</f>
        <v>5</v>
      </c>
    </row>
    <row r="309" spans="1:11" x14ac:dyDescent="0.3">
      <c r="A309" s="9" t="s">
        <v>1935</v>
      </c>
      <c r="B309" s="9" t="s">
        <v>1613</v>
      </c>
      <c r="C309" s="9">
        <v>95</v>
      </c>
      <c r="D309" s="149" t="s">
        <v>1630</v>
      </c>
      <c r="E309" s="150">
        <v>45018</v>
      </c>
      <c r="F309" s="9">
        <v>52</v>
      </c>
      <c r="G309" s="9">
        <v>1.2</v>
      </c>
      <c r="H309" s="9">
        <f>IF(MONTH(Call_Table_Data[[#This Row],[Date of Call]])&lt;=6,YEAR(Call_Table_Data[[#This Row],[Date of Call]]),YEAR(Call_Table_Data[[#This Row],[Date of Call]])+1)</f>
        <v>2023</v>
      </c>
      <c r="I309" s="9" t="str">
        <f>TEXT(Call_Table_Data[[#This Row],[Date of Call]],"DDDD")</f>
        <v>Sunday</v>
      </c>
      <c r="J309" s="9" t="str" cm="1">
        <f t="array" ref="J309">_xlfn.IFS(Call_Table_Data[[#This Row],[Duration]]&lt;=10,"Under 10 Mins",Call_Table_Data[[#This Row],[Duration]]&lt;=30,"10 to 30 Mins",Call_Table_Data[[#This Row],[Duration]]&lt;=60,"30 to 60 Mins",Call_Table_Data[[#This Row],[Duration]]&lt;=120,"1 to 2 Hours",TRUE,"More Than 2 Hours")</f>
        <v>1 to 2 Hours</v>
      </c>
      <c r="K309" s="9">
        <f>ROUND(Call_Table_Data[[#This Row],[Satisfaction Rating]],0)</f>
        <v>1</v>
      </c>
    </row>
    <row r="310" spans="1:11" x14ac:dyDescent="0.3">
      <c r="A310" s="9" t="s">
        <v>1936</v>
      </c>
      <c r="B310" s="9" t="s">
        <v>1615</v>
      </c>
      <c r="C310" s="9">
        <v>81</v>
      </c>
      <c r="D310" s="149" t="s">
        <v>1626</v>
      </c>
      <c r="E310" s="150">
        <v>45019</v>
      </c>
      <c r="F310" s="9">
        <v>160</v>
      </c>
      <c r="G310" s="9">
        <v>4.7</v>
      </c>
      <c r="H310" s="9">
        <f>IF(MONTH(Call_Table_Data[[#This Row],[Date of Call]])&lt;=6,YEAR(Call_Table_Data[[#This Row],[Date of Call]]),YEAR(Call_Table_Data[[#This Row],[Date of Call]])+1)</f>
        <v>2023</v>
      </c>
      <c r="I310" s="9" t="str">
        <f>TEXT(Call_Table_Data[[#This Row],[Date of Call]],"DDDD")</f>
        <v>Monday</v>
      </c>
      <c r="J310" s="9" t="str" cm="1">
        <f t="array" ref="J310">_xlfn.IFS(Call_Table_Data[[#This Row],[Duration]]&lt;=10,"Under 10 Mins",Call_Table_Data[[#This Row],[Duration]]&lt;=30,"10 to 30 Mins",Call_Table_Data[[#This Row],[Duration]]&lt;=60,"30 to 60 Mins",Call_Table_Data[[#This Row],[Duration]]&lt;=120,"1 to 2 Hours",TRUE,"More Than 2 Hours")</f>
        <v>1 to 2 Hours</v>
      </c>
      <c r="K310" s="9">
        <f>ROUND(Call_Table_Data[[#This Row],[Satisfaction Rating]],0)</f>
        <v>5</v>
      </c>
    </row>
    <row r="311" spans="1:11" x14ac:dyDescent="0.3">
      <c r="A311" s="9" t="s">
        <v>1937</v>
      </c>
      <c r="B311" s="9" t="s">
        <v>1644</v>
      </c>
      <c r="C311" s="9">
        <v>137</v>
      </c>
      <c r="D311" s="149" t="s">
        <v>1626</v>
      </c>
      <c r="E311" s="150">
        <v>45019</v>
      </c>
      <c r="F311" s="9">
        <v>215</v>
      </c>
      <c r="G311" s="9">
        <v>4.7</v>
      </c>
      <c r="H311" s="9">
        <f>IF(MONTH(Call_Table_Data[[#This Row],[Date of Call]])&lt;=6,YEAR(Call_Table_Data[[#This Row],[Date of Call]]),YEAR(Call_Table_Data[[#This Row],[Date of Call]])+1)</f>
        <v>2023</v>
      </c>
      <c r="I311" s="9" t="str">
        <f>TEXT(Call_Table_Data[[#This Row],[Date of Call]],"DDDD")</f>
        <v>Monday</v>
      </c>
      <c r="J311" s="9" t="str" cm="1">
        <f t="array" ref="J311">_xlfn.IFS(Call_Table_Data[[#This Row],[Duration]]&lt;=10,"Under 10 Mins",Call_Table_Data[[#This Row],[Duration]]&lt;=30,"10 to 30 Mins",Call_Table_Data[[#This Row],[Duration]]&lt;=60,"30 to 60 Mins",Call_Table_Data[[#This Row],[Duration]]&lt;=120,"1 to 2 Hours",TRUE,"More Than 2 Hours")</f>
        <v>More Than 2 Hours</v>
      </c>
      <c r="K311" s="9">
        <f>ROUND(Call_Table_Data[[#This Row],[Satisfaction Rating]],0)</f>
        <v>5</v>
      </c>
    </row>
    <row r="312" spans="1:11" x14ac:dyDescent="0.3">
      <c r="A312" s="9" t="s">
        <v>1938</v>
      </c>
      <c r="B312" s="9" t="s">
        <v>1644</v>
      </c>
      <c r="C312" s="9">
        <v>40</v>
      </c>
      <c r="D312" s="149" t="s">
        <v>1630</v>
      </c>
      <c r="E312" s="150">
        <v>45019</v>
      </c>
      <c r="F312" s="9">
        <v>220</v>
      </c>
      <c r="G312" s="9">
        <v>4.5</v>
      </c>
      <c r="H312" s="9">
        <f>IF(MONTH(Call_Table_Data[[#This Row],[Date of Call]])&lt;=6,YEAR(Call_Table_Data[[#This Row],[Date of Call]]),YEAR(Call_Table_Data[[#This Row],[Date of Call]])+1)</f>
        <v>2023</v>
      </c>
      <c r="I312" s="9" t="str">
        <f>TEXT(Call_Table_Data[[#This Row],[Date of Call]],"DDDD")</f>
        <v>Monday</v>
      </c>
      <c r="J312" s="9" t="str" cm="1">
        <f t="array" ref="J312">_xlfn.IFS(Call_Table_Data[[#This Row],[Duration]]&lt;=10,"Under 10 Mins",Call_Table_Data[[#This Row],[Duration]]&lt;=30,"10 to 30 Mins",Call_Table_Data[[#This Row],[Duration]]&lt;=60,"30 to 60 Mins",Call_Table_Data[[#This Row],[Duration]]&lt;=120,"1 to 2 Hours",TRUE,"More Than 2 Hours")</f>
        <v>30 to 60 Mins</v>
      </c>
      <c r="K312" s="9">
        <f>ROUND(Call_Table_Data[[#This Row],[Satisfaction Rating]],0)</f>
        <v>5</v>
      </c>
    </row>
    <row r="313" spans="1:11" x14ac:dyDescent="0.3">
      <c r="A313" s="9" t="s">
        <v>1939</v>
      </c>
      <c r="B313" s="9" t="s">
        <v>1629</v>
      </c>
      <c r="C313" s="9">
        <v>111</v>
      </c>
      <c r="D313" s="149" t="s">
        <v>1616</v>
      </c>
      <c r="E313" s="150">
        <v>45020</v>
      </c>
      <c r="F313" s="9">
        <v>175</v>
      </c>
      <c r="G313" s="9">
        <v>3.5</v>
      </c>
      <c r="H313" s="9">
        <f>IF(MONTH(Call_Table_Data[[#This Row],[Date of Call]])&lt;=6,YEAR(Call_Table_Data[[#This Row],[Date of Call]]),YEAR(Call_Table_Data[[#This Row],[Date of Call]])+1)</f>
        <v>2023</v>
      </c>
      <c r="I313" s="9" t="str">
        <f>TEXT(Call_Table_Data[[#This Row],[Date of Call]],"DDDD")</f>
        <v>Tuesday</v>
      </c>
      <c r="J313" s="9" t="str" cm="1">
        <f t="array" ref="J313">_xlfn.IFS(Call_Table_Data[[#This Row],[Duration]]&lt;=10,"Under 10 Mins",Call_Table_Data[[#This Row],[Duration]]&lt;=30,"10 to 30 Mins",Call_Table_Data[[#This Row],[Duration]]&lt;=60,"30 to 60 Mins",Call_Table_Data[[#This Row],[Duration]]&lt;=120,"1 to 2 Hours",TRUE,"More Than 2 Hours")</f>
        <v>1 to 2 Hours</v>
      </c>
      <c r="K313" s="9">
        <f>ROUND(Call_Table_Data[[#This Row],[Satisfaction Rating]],0)</f>
        <v>4</v>
      </c>
    </row>
    <row r="314" spans="1:11" x14ac:dyDescent="0.3">
      <c r="A314" s="9" t="s">
        <v>1940</v>
      </c>
      <c r="B314" s="9" t="s">
        <v>1652</v>
      </c>
      <c r="C314" s="9">
        <v>106</v>
      </c>
      <c r="D314" s="149" t="s">
        <v>1616</v>
      </c>
      <c r="E314" s="150">
        <v>45020</v>
      </c>
      <c r="F314" s="9">
        <v>145</v>
      </c>
      <c r="G314" s="9">
        <v>4.0999999999999996</v>
      </c>
      <c r="H314" s="9">
        <f>IF(MONTH(Call_Table_Data[[#This Row],[Date of Call]])&lt;=6,YEAR(Call_Table_Data[[#This Row],[Date of Call]]),YEAR(Call_Table_Data[[#This Row],[Date of Call]])+1)</f>
        <v>2023</v>
      </c>
      <c r="I314" s="9" t="str">
        <f>TEXT(Call_Table_Data[[#This Row],[Date of Call]],"DDDD")</f>
        <v>Tuesday</v>
      </c>
      <c r="J314" s="9" t="str" cm="1">
        <f t="array" ref="J314">_xlfn.IFS(Call_Table_Data[[#This Row],[Duration]]&lt;=10,"Under 10 Mins",Call_Table_Data[[#This Row],[Duration]]&lt;=30,"10 to 30 Mins",Call_Table_Data[[#This Row],[Duration]]&lt;=60,"30 to 60 Mins",Call_Table_Data[[#This Row],[Duration]]&lt;=120,"1 to 2 Hours",TRUE,"More Than 2 Hours")</f>
        <v>1 to 2 Hours</v>
      </c>
      <c r="K314" s="9">
        <f>ROUND(Call_Table_Data[[#This Row],[Satisfaction Rating]],0)</f>
        <v>4</v>
      </c>
    </row>
    <row r="315" spans="1:11" x14ac:dyDescent="0.3">
      <c r="A315" s="9" t="s">
        <v>1941</v>
      </c>
      <c r="B315" s="9" t="s">
        <v>1618</v>
      </c>
      <c r="C315" s="9">
        <v>133</v>
      </c>
      <c r="D315" s="149" t="s">
        <v>1621</v>
      </c>
      <c r="E315" s="150">
        <v>45020</v>
      </c>
      <c r="F315" s="9">
        <v>72</v>
      </c>
      <c r="G315" s="9">
        <v>4.4000000000000004</v>
      </c>
      <c r="H315" s="9">
        <f>IF(MONTH(Call_Table_Data[[#This Row],[Date of Call]])&lt;=6,YEAR(Call_Table_Data[[#This Row],[Date of Call]]),YEAR(Call_Table_Data[[#This Row],[Date of Call]])+1)</f>
        <v>2023</v>
      </c>
      <c r="I315" s="9" t="str">
        <f>TEXT(Call_Table_Data[[#This Row],[Date of Call]],"DDDD")</f>
        <v>Tuesday</v>
      </c>
      <c r="J315" s="9" t="str" cm="1">
        <f t="array" ref="J315">_xlfn.IFS(Call_Table_Data[[#This Row],[Duration]]&lt;=10,"Under 10 Mins",Call_Table_Data[[#This Row],[Duration]]&lt;=30,"10 to 30 Mins",Call_Table_Data[[#This Row],[Duration]]&lt;=60,"30 to 60 Mins",Call_Table_Data[[#This Row],[Duration]]&lt;=120,"1 to 2 Hours",TRUE,"More Than 2 Hours")</f>
        <v>More Than 2 Hours</v>
      </c>
      <c r="K315" s="9">
        <f>ROUND(Call_Table_Data[[#This Row],[Satisfaction Rating]],0)</f>
        <v>4</v>
      </c>
    </row>
    <row r="316" spans="1:11" x14ac:dyDescent="0.3">
      <c r="A316" s="9" t="s">
        <v>1942</v>
      </c>
      <c r="B316" s="9" t="s">
        <v>1624</v>
      </c>
      <c r="C316" s="9">
        <v>38</v>
      </c>
      <c r="D316" s="149" t="s">
        <v>1616</v>
      </c>
      <c r="E316" s="150">
        <v>45021</v>
      </c>
      <c r="F316" s="9">
        <v>81</v>
      </c>
      <c r="G316" s="9">
        <v>3.6</v>
      </c>
      <c r="H316" s="9">
        <f>IF(MONTH(Call_Table_Data[[#This Row],[Date of Call]])&lt;=6,YEAR(Call_Table_Data[[#This Row],[Date of Call]]),YEAR(Call_Table_Data[[#This Row],[Date of Call]])+1)</f>
        <v>2023</v>
      </c>
      <c r="I316" s="9" t="str">
        <f>TEXT(Call_Table_Data[[#This Row],[Date of Call]],"DDDD")</f>
        <v>Wednesday</v>
      </c>
      <c r="J316" s="9" t="str" cm="1">
        <f t="array" ref="J316">_xlfn.IFS(Call_Table_Data[[#This Row],[Duration]]&lt;=10,"Under 10 Mins",Call_Table_Data[[#This Row],[Duration]]&lt;=30,"10 to 30 Mins",Call_Table_Data[[#This Row],[Duration]]&lt;=60,"30 to 60 Mins",Call_Table_Data[[#This Row],[Duration]]&lt;=120,"1 to 2 Hours",TRUE,"More Than 2 Hours")</f>
        <v>30 to 60 Mins</v>
      </c>
      <c r="K316" s="9">
        <f>ROUND(Call_Table_Data[[#This Row],[Satisfaction Rating]],0)</f>
        <v>4</v>
      </c>
    </row>
    <row r="317" spans="1:11" x14ac:dyDescent="0.3">
      <c r="A317" s="9" t="s">
        <v>1943</v>
      </c>
      <c r="B317" s="9" t="s">
        <v>1649</v>
      </c>
      <c r="C317" s="9">
        <v>130</v>
      </c>
      <c r="D317" s="149" t="s">
        <v>1630</v>
      </c>
      <c r="E317" s="150">
        <v>45021</v>
      </c>
      <c r="F317" s="9">
        <v>54</v>
      </c>
      <c r="G317" s="9">
        <v>4.0999999999999996</v>
      </c>
      <c r="H317" s="9">
        <f>IF(MONTH(Call_Table_Data[[#This Row],[Date of Call]])&lt;=6,YEAR(Call_Table_Data[[#This Row],[Date of Call]]),YEAR(Call_Table_Data[[#This Row],[Date of Call]])+1)</f>
        <v>2023</v>
      </c>
      <c r="I317" s="9" t="str">
        <f>TEXT(Call_Table_Data[[#This Row],[Date of Call]],"DDDD")</f>
        <v>Wednesday</v>
      </c>
      <c r="J317" s="9" t="str" cm="1">
        <f t="array" ref="J317">_xlfn.IFS(Call_Table_Data[[#This Row],[Duration]]&lt;=10,"Under 10 Mins",Call_Table_Data[[#This Row],[Duration]]&lt;=30,"10 to 30 Mins",Call_Table_Data[[#This Row],[Duration]]&lt;=60,"30 to 60 Mins",Call_Table_Data[[#This Row],[Duration]]&lt;=120,"1 to 2 Hours",TRUE,"More Than 2 Hours")</f>
        <v>More Than 2 Hours</v>
      </c>
      <c r="K317" s="9">
        <f>ROUND(Call_Table_Data[[#This Row],[Satisfaction Rating]],0)</f>
        <v>4</v>
      </c>
    </row>
    <row r="318" spans="1:11" x14ac:dyDescent="0.3">
      <c r="A318" s="9" t="s">
        <v>1944</v>
      </c>
      <c r="B318" s="9" t="s">
        <v>1633</v>
      </c>
      <c r="C318" s="9">
        <v>23</v>
      </c>
      <c r="D318" s="149" t="s">
        <v>1621</v>
      </c>
      <c r="E318" s="150">
        <v>45021</v>
      </c>
      <c r="F318" s="9">
        <v>105</v>
      </c>
      <c r="G318" s="9">
        <v>4.8</v>
      </c>
      <c r="H318" s="9">
        <f>IF(MONTH(Call_Table_Data[[#This Row],[Date of Call]])&lt;=6,YEAR(Call_Table_Data[[#This Row],[Date of Call]]),YEAR(Call_Table_Data[[#This Row],[Date of Call]])+1)</f>
        <v>2023</v>
      </c>
      <c r="I318" s="9" t="str">
        <f>TEXT(Call_Table_Data[[#This Row],[Date of Call]],"DDDD")</f>
        <v>Wednesday</v>
      </c>
      <c r="J318" s="9" t="str" cm="1">
        <f t="array" ref="J318">_xlfn.IFS(Call_Table_Data[[#This Row],[Duration]]&lt;=10,"Under 10 Mins",Call_Table_Data[[#This Row],[Duration]]&lt;=30,"10 to 30 Mins",Call_Table_Data[[#This Row],[Duration]]&lt;=60,"30 to 60 Mins",Call_Table_Data[[#This Row],[Duration]]&lt;=120,"1 to 2 Hours",TRUE,"More Than 2 Hours")</f>
        <v>10 to 30 Mins</v>
      </c>
      <c r="K318" s="9">
        <f>ROUND(Call_Table_Data[[#This Row],[Satisfaction Rating]],0)</f>
        <v>5</v>
      </c>
    </row>
    <row r="319" spans="1:11" x14ac:dyDescent="0.3">
      <c r="A319" s="9" t="s">
        <v>1945</v>
      </c>
      <c r="B319" s="9" t="s">
        <v>1649</v>
      </c>
      <c r="C319" s="9">
        <v>124</v>
      </c>
      <c r="D319" s="149" t="s">
        <v>1616</v>
      </c>
      <c r="E319" s="150">
        <v>45022</v>
      </c>
      <c r="F319" s="9">
        <v>176</v>
      </c>
      <c r="G319" s="9">
        <v>3.9</v>
      </c>
      <c r="H319" s="9">
        <f>IF(MONTH(Call_Table_Data[[#This Row],[Date of Call]])&lt;=6,YEAR(Call_Table_Data[[#This Row],[Date of Call]]),YEAR(Call_Table_Data[[#This Row],[Date of Call]])+1)</f>
        <v>2023</v>
      </c>
      <c r="I319" s="9" t="str">
        <f>TEXT(Call_Table_Data[[#This Row],[Date of Call]],"DDDD")</f>
        <v>Thursday</v>
      </c>
      <c r="J319" s="9" t="str" cm="1">
        <f t="array" ref="J319">_xlfn.IFS(Call_Table_Data[[#This Row],[Duration]]&lt;=10,"Under 10 Mins",Call_Table_Data[[#This Row],[Duration]]&lt;=30,"10 to 30 Mins",Call_Table_Data[[#This Row],[Duration]]&lt;=60,"30 to 60 Mins",Call_Table_Data[[#This Row],[Duration]]&lt;=120,"1 to 2 Hours",TRUE,"More Than 2 Hours")</f>
        <v>More Than 2 Hours</v>
      </c>
      <c r="K319" s="9">
        <f>ROUND(Call_Table_Data[[#This Row],[Satisfaction Rating]],0)</f>
        <v>4</v>
      </c>
    </row>
    <row r="320" spans="1:11" x14ac:dyDescent="0.3">
      <c r="A320" s="9" t="s">
        <v>1946</v>
      </c>
      <c r="B320" s="9" t="s">
        <v>1615</v>
      </c>
      <c r="C320" s="9">
        <v>107</v>
      </c>
      <c r="D320" s="149" t="s">
        <v>1616</v>
      </c>
      <c r="E320" s="150">
        <v>45022</v>
      </c>
      <c r="F320" s="9">
        <v>115</v>
      </c>
      <c r="G320" s="9">
        <v>3.8</v>
      </c>
      <c r="H320" s="9">
        <f>IF(MONTH(Call_Table_Data[[#This Row],[Date of Call]])&lt;=6,YEAR(Call_Table_Data[[#This Row],[Date of Call]]),YEAR(Call_Table_Data[[#This Row],[Date of Call]])+1)</f>
        <v>2023</v>
      </c>
      <c r="I320" s="9" t="str">
        <f>TEXT(Call_Table_Data[[#This Row],[Date of Call]],"DDDD")</f>
        <v>Thursday</v>
      </c>
      <c r="J320" s="9" t="str" cm="1">
        <f t="array" ref="J320">_xlfn.IFS(Call_Table_Data[[#This Row],[Duration]]&lt;=10,"Under 10 Mins",Call_Table_Data[[#This Row],[Duration]]&lt;=30,"10 to 30 Mins",Call_Table_Data[[#This Row],[Duration]]&lt;=60,"30 to 60 Mins",Call_Table_Data[[#This Row],[Duration]]&lt;=120,"1 to 2 Hours",TRUE,"More Than 2 Hours")</f>
        <v>1 to 2 Hours</v>
      </c>
      <c r="K320" s="9">
        <f>ROUND(Call_Table_Data[[#This Row],[Satisfaction Rating]],0)</f>
        <v>4</v>
      </c>
    </row>
    <row r="321" spans="1:11" x14ac:dyDescent="0.3">
      <c r="A321" s="9" t="s">
        <v>1947</v>
      </c>
      <c r="B321" s="9" t="s">
        <v>1644</v>
      </c>
      <c r="C321" s="9">
        <v>60</v>
      </c>
      <c r="D321" s="149" t="s">
        <v>1611</v>
      </c>
      <c r="E321" s="150">
        <v>45022</v>
      </c>
      <c r="F321" s="9">
        <v>116</v>
      </c>
      <c r="G321" s="9">
        <v>3.9</v>
      </c>
      <c r="H321" s="9">
        <f>IF(MONTH(Call_Table_Data[[#This Row],[Date of Call]])&lt;=6,YEAR(Call_Table_Data[[#This Row],[Date of Call]]),YEAR(Call_Table_Data[[#This Row],[Date of Call]])+1)</f>
        <v>2023</v>
      </c>
      <c r="I321" s="9" t="str">
        <f>TEXT(Call_Table_Data[[#This Row],[Date of Call]],"DDDD")</f>
        <v>Thursday</v>
      </c>
      <c r="J321" s="9" t="str" cm="1">
        <f t="array" ref="J321">_xlfn.IFS(Call_Table_Data[[#This Row],[Duration]]&lt;=10,"Under 10 Mins",Call_Table_Data[[#This Row],[Duration]]&lt;=30,"10 to 30 Mins",Call_Table_Data[[#This Row],[Duration]]&lt;=60,"30 to 60 Mins",Call_Table_Data[[#This Row],[Duration]]&lt;=120,"1 to 2 Hours",TRUE,"More Than 2 Hours")</f>
        <v>30 to 60 Mins</v>
      </c>
      <c r="K321" s="9">
        <f>ROUND(Call_Table_Data[[#This Row],[Satisfaction Rating]],0)</f>
        <v>4</v>
      </c>
    </row>
    <row r="322" spans="1:11" x14ac:dyDescent="0.3">
      <c r="A322" s="9" t="s">
        <v>1948</v>
      </c>
      <c r="B322" s="9" t="s">
        <v>1644</v>
      </c>
      <c r="C322" s="9">
        <v>158</v>
      </c>
      <c r="D322" s="149" t="s">
        <v>1630</v>
      </c>
      <c r="E322" s="150">
        <v>45022</v>
      </c>
      <c r="F322" s="9">
        <v>100</v>
      </c>
      <c r="G322" s="9">
        <v>4.0999999999999996</v>
      </c>
      <c r="H322" s="9">
        <f>IF(MONTH(Call_Table_Data[[#This Row],[Date of Call]])&lt;=6,YEAR(Call_Table_Data[[#This Row],[Date of Call]]),YEAR(Call_Table_Data[[#This Row],[Date of Call]])+1)</f>
        <v>2023</v>
      </c>
      <c r="I322" s="9" t="str">
        <f>TEXT(Call_Table_Data[[#This Row],[Date of Call]],"DDDD")</f>
        <v>Thursday</v>
      </c>
      <c r="J322" s="9" t="str" cm="1">
        <f t="array" ref="J322">_xlfn.IFS(Call_Table_Data[[#This Row],[Duration]]&lt;=10,"Under 10 Mins",Call_Table_Data[[#This Row],[Duration]]&lt;=30,"10 to 30 Mins",Call_Table_Data[[#This Row],[Duration]]&lt;=60,"30 to 60 Mins",Call_Table_Data[[#This Row],[Duration]]&lt;=120,"1 to 2 Hours",TRUE,"More Than 2 Hours")</f>
        <v>More Than 2 Hours</v>
      </c>
      <c r="K322" s="9">
        <f>ROUND(Call_Table_Data[[#This Row],[Satisfaction Rating]],0)</f>
        <v>4</v>
      </c>
    </row>
    <row r="323" spans="1:11" x14ac:dyDescent="0.3">
      <c r="A323" s="9" t="s">
        <v>1949</v>
      </c>
      <c r="B323" s="9" t="s">
        <v>1641</v>
      </c>
      <c r="C323" s="9">
        <v>110</v>
      </c>
      <c r="D323" s="149" t="s">
        <v>1630</v>
      </c>
      <c r="E323" s="150">
        <v>45023</v>
      </c>
      <c r="F323" s="9">
        <v>36</v>
      </c>
      <c r="G323" s="9">
        <v>2.2000000000000002</v>
      </c>
      <c r="H323" s="9">
        <f>IF(MONTH(Call_Table_Data[[#This Row],[Date of Call]])&lt;=6,YEAR(Call_Table_Data[[#This Row],[Date of Call]]),YEAR(Call_Table_Data[[#This Row],[Date of Call]])+1)</f>
        <v>2023</v>
      </c>
      <c r="I323" s="9" t="str">
        <f>TEXT(Call_Table_Data[[#This Row],[Date of Call]],"DDDD")</f>
        <v>Friday</v>
      </c>
      <c r="J323" s="9" t="str" cm="1">
        <f t="array" ref="J323">_xlfn.IFS(Call_Table_Data[[#This Row],[Duration]]&lt;=10,"Under 10 Mins",Call_Table_Data[[#This Row],[Duration]]&lt;=30,"10 to 30 Mins",Call_Table_Data[[#This Row],[Duration]]&lt;=60,"30 to 60 Mins",Call_Table_Data[[#This Row],[Duration]]&lt;=120,"1 to 2 Hours",TRUE,"More Than 2 Hours")</f>
        <v>1 to 2 Hours</v>
      </c>
      <c r="K323" s="9">
        <f>ROUND(Call_Table_Data[[#This Row],[Satisfaction Rating]],0)</f>
        <v>2</v>
      </c>
    </row>
    <row r="324" spans="1:11" x14ac:dyDescent="0.3">
      <c r="A324" s="9" t="s">
        <v>1950</v>
      </c>
      <c r="B324" s="9" t="s">
        <v>1662</v>
      </c>
      <c r="C324" s="9">
        <v>70</v>
      </c>
      <c r="D324" s="149" t="s">
        <v>1630</v>
      </c>
      <c r="E324" s="150">
        <v>45023</v>
      </c>
      <c r="F324" s="9">
        <v>114</v>
      </c>
      <c r="G324" s="9">
        <v>5</v>
      </c>
      <c r="H324" s="9">
        <f>IF(MONTH(Call_Table_Data[[#This Row],[Date of Call]])&lt;=6,YEAR(Call_Table_Data[[#This Row],[Date of Call]]),YEAR(Call_Table_Data[[#This Row],[Date of Call]])+1)</f>
        <v>2023</v>
      </c>
      <c r="I324" s="9" t="str">
        <f>TEXT(Call_Table_Data[[#This Row],[Date of Call]],"DDDD")</f>
        <v>Friday</v>
      </c>
      <c r="J324" s="9" t="str" cm="1">
        <f t="array" ref="J324">_xlfn.IFS(Call_Table_Data[[#This Row],[Duration]]&lt;=10,"Under 10 Mins",Call_Table_Data[[#This Row],[Duration]]&lt;=30,"10 to 30 Mins",Call_Table_Data[[#This Row],[Duration]]&lt;=60,"30 to 60 Mins",Call_Table_Data[[#This Row],[Duration]]&lt;=120,"1 to 2 Hours",TRUE,"More Than 2 Hours")</f>
        <v>1 to 2 Hours</v>
      </c>
      <c r="K324" s="9">
        <f>ROUND(Call_Table_Data[[#This Row],[Satisfaction Rating]],0)</f>
        <v>5</v>
      </c>
    </row>
    <row r="325" spans="1:11" x14ac:dyDescent="0.3">
      <c r="A325" s="9" t="s">
        <v>1951</v>
      </c>
      <c r="B325" s="9" t="s">
        <v>1662</v>
      </c>
      <c r="C325" s="9">
        <v>150</v>
      </c>
      <c r="D325" s="149" t="s">
        <v>1611</v>
      </c>
      <c r="E325" s="150">
        <v>45023</v>
      </c>
      <c r="F325" s="9">
        <v>24</v>
      </c>
      <c r="G325" s="9">
        <v>3.8</v>
      </c>
      <c r="H325" s="9">
        <f>IF(MONTH(Call_Table_Data[[#This Row],[Date of Call]])&lt;=6,YEAR(Call_Table_Data[[#This Row],[Date of Call]]),YEAR(Call_Table_Data[[#This Row],[Date of Call]])+1)</f>
        <v>2023</v>
      </c>
      <c r="I325" s="9" t="str">
        <f>TEXT(Call_Table_Data[[#This Row],[Date of Call]],"DDDD")</f>
        <v>Friday</v>
      </c>
      <c r="J325" s="9" t="str" cm="1">
        <f t="array" ref="J325">_xlfn.IFS(Call_Table_Data[[#This Row],[Duration]]&lt;=10,"Under 10 Mins",Call_Table_Data[[#This Row],[Duration]]&lt;=30,"10 to 30 Mins",Call_Table_Data[[#This Row],[Duration]]&lt;=60,"30 to 60 Mins",Call_Table_Data[[#This Row],[Duration]]&lt;=120,"1 to 2 Hours",TRUE,"More Than 2 Hours")</f>
        <v>More Than 2 Hours</v>
      </c>
      <c r="K325" s="9">
        <f>ROUND(Call_Table_Data[[#This Row],[Satisfaction Rating]],0)</f>
        <v>4</v>
      </c>
    </row>
    <row r="326" spans="1:11" x14ac:dyDescent="0.3">
      <c r="A326" s="9" t="s">
        <v>1952</v>
      </c>
      <c r="B326" s="9" t="s">
        <v>1624</v>
      </c>
      <c r="C326" s="9">
        <v>36</v>
      </c>
      <c r="D326" s="149" t="s">
        <v>1616</v>
      </c>
      <c r="E326" s="150">
        <v>45023</v>
      </c>
      <c r="F326" s="9">
        <v>135</v>
      </c>
      <c r="G326" s="9">
        <v>4.5999999999999996</v>
      </c>
      <c r="H326" s="9">
        <f>IF(MONTH(Call_Table_Data[[#This Row],[Date of Call]])&lt;=6,YEAR(Call_Table_Data[[#This Row],[Date of Call]]),YEAR(Call_Table_Data[[#This Row],[Date of Call]])+1)</f>
        <v>2023</v>
      </c>
      <c r="I326" s="9" t="str">
        <f>TEXT(Call_Table_Data[[#This Row],[Date of Call]],"DDDD")</f>
        <v>Friday</v>
      </c>
      <c r="J326" s="9" t="str" cm="1">
        <f t="array" ref="J326">_xlfn.IFS(Call_Table_Data[[#This Row],[Duration]]&lt;=10,"Under 10 Mins",Call_Table_Data[[#This Row],[Duration]]&lt;=30,"10 to 30 Mins",Call_Table_Data[[#This Row],[Duration]]&lt;=60,"30 to 60 Mins",Call_Table_Data[[#This Row],[Duration]]&lt;=120,"1 to 2 Hours",TRUE,"More Than 2 Hours")</f>
        <v>30 to 60 Mins</v>
      </c>
      <c r="K326" s="9">
        <f>ROUND(Call_Table_Data[[#This Row],[Satisfaction Rating]],0)</f>
        <v>5</v>
      </c>
    </row>
    <row r="327" spans="1:11" x14ac:dyDescent="0.3">
      <c r="A327" s="9" t="s">
        <v>1953</v>
      </c>
      <c r="B327" s="9" t="s">
        <v>1649</v>
      </c>
      <c r="C327" s="9">
        <v>74</v>
      </c>
      <c r="D327" s="149" t="s">
        <v>1616</v>
      </c>
      <c r="E327" s="150">
        <v>45023</v>
      </c>
      <c r="F327" s="9">
        <v>30</v>
      </c>
      <c r="G327" s="9">
        <v>4</v>
      </c>
      <c r="H327" s="9">
        <f>IF(MONTH(Call_Table_Data[[#This Row],[Date of Call]])&lt;=6,YEAR(Call_Table_Data[[#This Row],[Date of Call]]),YEAR(Call_Table_Data[[#This Row],[Date of Call]])+1)</f>
        <v>2023</v>
      </c>
      <c r="I327" s="9" t="str">
        <f>TEXT(Call_Table_Data[[#This Row],[Date of Call]],"DDDD")</f>
        <v>Friday</v>
      </c>
      <c r="J327" s="9" t="str" cm="1">
        <f t="array" ref="J327">_xlfn.IFS(Call_Table_Data[[#This Row],[Duration]]&lt;=10,"Under 10 Mins",Call_Table_Data[[#This Row],[Duration]]&lt;=30,"10 to 30 Mins",Call_Table_Data[[#This Row],[Duration]]&lt;=60,"30 to 60 Mins",Call_Table_Data[[#This Row],[Duration]]&lt;=120,"1 to 2 Hours",TRUE,"More Than 2 Hours")</f>
        <v>1 to 2 Hours</v>
      </c>
      <c r="K327" s="9">
        <f>ROUND(Call_Table_Data[[#This Row],[Satisfaction Rating]],0)</f>
        <v>4</v>
      </c>
    </row>
    <row r="328" spans="1:11" x14ac:dyDescent="0.3">
      <c r="A328" s="9" t="s">
        <v>1954</v>
      </c>
      <c r="B328" s="9" t="s">
        <v>1613</v>
      </c>
      <c r="C328" s="9">
        <v>75</v>
      </c>
      <c r="D328" s="149" t="s">
        <v>1616</v>
      </c>
      <c r="E328" s="150">
        <v>45023</v>
      </c>
      <c r="F328" s="9">
        <v>84</v>
      </c>
      <c r="G328" s="9">
        <v>2.8</v>
      </c>
      <c r="H328" s="9">
        <f>IF(MONTH(Call_Table_Data[[#This Row],[Date of Call]])&lt;=6,YEAR(Call_Table_Data[[#This Row],[Date of Call]]),YEAR(Call_Table_Data[[#This Row],[Date of Call]])+1)</f>
        <v>2023</v>
      </c>
      <c r="I328" s="9" t="str">
        <f>TEXT(Call_Table_Data[[#This Row],[Date of Call]],"DDDD")</f>
        <v>Friday</v>
      </c>
      <c r="J328" s="9" t="str" cm="1">
        <f t="array" ref="J328">_xlfn.IFS(Call_Table_Data[[#This Row],[Duration]]&lt;=10,"Under 10 Mins",Call_Table_Data[[#This Row],[Duration]]&lt;=30,"10 to 30 Mins",Call_Table_Data[[#This Row],[Duration]]&lt;=60,"30 to 60 Mins",Call_Table_Data[[#This Row],[Duration]]&lt;=120,"1 to 2 Hours",TRUE,"More Than 2 Hours")</f>
        <v>1 to 2 Hours</v>
      </c>
      <c r="K328" s="9">
        <f>ROUND(Call_Table_Data[[#This Row],[Satisfaction Rating]],0)</f>
        <v>3</v>
      </c>
    </row>
    <row r="329" spans="1:11" x14ac:dyDescent="0.3">
      <c r="A329" s="9" t="s">
        <v>1955</v>
      </c>
      <c r="B329" s="9" t="s">
        <v>1682</v>
      </c>
      <c r="C329" s="9">
        <v>70</v>
      </c>
      <c r="D329" s="149" t="s">
        <v>1626</v>
      </c>
      <c r="E329" s="150">
        <v>45023</v>
      </c>
      <c r="F329" s="9">
        <v>42</v>
      </c>
      <c r="G329" s="9">
        <v>4.4000000000000004</v>
      </c>
      <c r="H329" s="9">
        <f>IF(MONTH(Call_Table_Data[[#This Row],[Date of Call]])&lt;=6,YEAR(Call_Table_Data[[#This Row],[Date of Call]]),YEAR(Call_Table_Data[[#This Row],[Date of Call]])+1)</f>
        <v>2023</v>
      </c>
      <c r="I329" s="9" t="str">
        <f>TEXT(Call_Table_Data[[#This Row],[Date of Call]],"DDDD")</f>
        <v>Friday</v>
      </c>
      <c r="J329" s="9" t="str" cm="1">
        <f t="array" ref="J329">_xlfn.IFS(Call_Table_Data[[#This Row],[Duration]]&lt;=10,"Under 10 Mins",Call_Table_Data[[#This Row],[Duration]]&lt;=30,"10 to 30 Mins",Call_Table_Data[[#This Row],[Duration]]&lt;=60,"30 to 60 Mins",Call_Table_Data[[#This Row],[Duration]]&lt;=120,"1 to 2 Hours",TRUE,"More Than 2 Hours")</f>
        <v>1 to 2 Hours</v>
      </c>
      <c r="K329" s="9">
        <f>ROUND(Call_Table_Data[[#This Row],[Satisfaction Rating]],0)</f>
        <v>4</v>
      </c>
    </row>
    <row r="330" spans="1:11" x14ac:dyDescent="0.3">
      <c r="A330" s="9" t="s">
        <v>1956</v>
      </c>
      <c r="B330" s="9" t="s">
        <v>1641</v>
      </c>
      <c r="C330" s="9">
        <v>23</v>
      </c>
      <c r="D330" s="149" t="s">
        <v>1630</v>
      </c>
      <c r="E330" s="150">
        <v>45023</v>
      </c>
      <c r="F330" s="9">
        <v>117</v>
      </c>
      <c r="G330" s="9">
        <v>2.4</v>
      </c>
      <c r="H330" s="9">
        <f>IF(MONTH(Call_Table_Data[[#This Row],[Date of Call]])&lt;=6,YEAR(Call_Table_Data[[#This Row],[Date of Call]]),YEAR(Call_Table_Data[[#This Row],[Date of Call]])+1)</f>
        <v>2023</v>
      </c>
      <c r="I330" s="9" t="str">
        <f>TEXT(Call_Table_Data[[#This Row],[Date of Call]],"DDDD")</f>
        <v>Friday</v>
      </c>
      <c r="J330" s="9" t="str" cm="1">
        <f t="array" ref="J330">_xlfn.IFS(Call_Table_Data[[#This Row],[Duration]]&lt;=10,"Under 10 Mins",Call_Table_Data[[#This Row],[Duration]]&lt;=30,"10 to 30 Mins",Call_Table_Data[[#This Row],[Duration]]&lt;=60,"30 to 60 Mins",Call_Table_Data[[#This Row],[Duration]]&lt;=120,"1 to 2 Hours",TRUE,"More Than 2 Hours")</f>
        <v>10 to 30 Mins</v>
      </c>
      <c r="K330" s="9">
        <f>ROUND(Call_Table_Data[[#This Row],[Satisfaction Rating]],0)</f>
        <v>2</v>
      </c>
    </row>
    <row r="331" spans="1:11" x14ac:dyDescent="0.3">
      <c r="A331" s="9" t="s">
        <v>1957</v>
      </c>
      <c r="B331" s="9" t="s">
        <v>1629</v>
      </c>
      <c r="C331" s="9">
        <v>104</v>
      </c>
      <c r="D331" s="149" t="s">
        <v>1621</v>
      </c>
      <c r="E331" s="150">
        <v>45023</v>
      </c>
      <c r="F331" s="9">
        <v>164</v>
      </c>
      <c r="G331" s="9">
        <v>4</v>
      </c>
      <c r="H331" s="9">
        <f>IF(MONTH(Call_Table_Data[[#This Row],[Date of Call]])&lt;=6,YEAR(Call_Table_Data[[#This Row],[Date of Call]]),YEAR(Call_Table_Data[[#This Row],[Date of Call]])+1)</f>
        <v>2023</v>
      </c>
      <c r="I331" s="9" t="str">
        <f>TEXT(Call_Table_Data[[#This Row],[Date of Call]],"DDDD")</f>
        <v>Friday</v>
      </c>
      <c r="J331" s="9" t="str" cm="1">
        <f t="array" ref="J331">_xlfn.IFS(Call_Table_Data[[#This Row],[Duration]]&lt;=10,"Under 10 Mins",Call_Table_Data[[#This Row],[Duration]]&lt;=30,"10 to 30 Mins",Call_Table_Data[[#This Row],[Duration]]&lt;=60,"30 to 60 Mins",Call_Table_Data[[#This Row],[Duration]]&lt;=120,"1 to 2 Hours",TRUE,"More Than 2 Hours")</f>
        <v>1 to 2 Hours</v>
      </c>
      <c r="K331" s="9">
        <f>ROUND(Call_Table_Data[[#This Row],[Satisfaction Rating]],0)</f>
        <v>4</v>
      </c>
    </row>
    <row r="332" spans="1:11" x14ac:dyDescent="0.3">
      <c r="A332" s="9" t="s">
        <v>1958</v>
      </c>
      <c r="B332" s="9" t="s">
        <v>1662</v>
      </c>
      <c r="C332" s="9">
        <v>95</v>
      </c>
      <c r="D332" s="149" t="s">
        <v>1626</v>
      </c>
      <c r="E332" s="150">
        <v>45024</v>
      </c>
      <c r="F332" s="9">
        <v>123</v>
      </c>
      <c r="G332" s="9">
        <v>4.4000000000000004</v>
      </c>
      <c r="H332" s="9">
        <f>IF(MONTH(Call_Table_Data[[#This Row],[Date of Call]])&lt;=6,YEAR(Call_Table_Data[[#This Row],[Date of Call]]),YEAR(Call_Table_Data[[#This Row],[Date of Call]])+1)</f>
        <v>2023</v>
      </c>
      <c r="I332" s="9" t="str">
        <f>TEXT(Call_Table_Data[[#This Row],[Date of Call]],"DDDD")</f>
        <v>Saturday</v>
      </c>
      <c r="J332" s="9" t="str" cm="1">
        <f t="array" ref="J332">_xlfn.IFS(Call_Table_Data[[#This Row],[Duration]]&lt;=10,"Under 10 Mins",Call_Table_Data[[#This Row],[Duration]]&lt;=30,"10 to 30 Mins",Call_Table_Data[[#This Row],[Duration]]&lt;=60,"30 to 60 Mins",Call_Table_Data[[#This Row],[Duration]]&lt;=120,"1 to 2 Hours",TRUE,"More Than 2 Hours")</f>
        <v>1 to 2 Hours</v>
      </c>
      <c r="K332" s="9">
        <f>ROUND(Call_Table_Data[[#This Row],[Satisfaction Rating]],0)</f>
        <v>4</v>
      </c>
    </row>
    <row r="333" spans="1:11" x14ac:dyDescent="0.3">
      <c r="A333" s="9" t="s">
        <v>1959</v>
      </c>
      <c r="B333" s="9" t="s">
        <v>1620</v>
      </c>
      <c r="C333" s="9">
        <v>49</v>
      </c>
      <c r="D333" s="149" t="s">
        <v>1611</v>
      </c>
      <c r="E333" s="150">
        <v>45024</v>
      </c>
      <c r="F333" s="9">
        <v>172</v>
      </c>
      <c r="G333" s="9">
        <v>2.9</v>
      </c>
      <c r="H333" s="9">
        <f>IF(MONTH(Call_Table_Data[[#This Row],[Date of Call]])&lt;=6,YEAR(Call_Table_Data[[#This Row],[Date of Call]]),YEAR(Call_Table_Data[[#This Row],[Date of Call]])+1)</f>
        <v>2023</v>
      </c>
      <c r="I333" s="9" t="str">
        <f>TEXT(Call_Table_Data[[#This Row],[Date of Call]],"DDDD")</f>
        <v>Saturday</v>
      </c>
      <c r="J333" s="9" t="str" cm="1">
        <f t="array" ref="J333">_xlfn.IFS(Call_Table_Data[[#This Row],[Duration]]&lt;=10,"Under 10 Mins",Call_Table_Data[[#This Row],[Duration]]&lt;=30,"10 to 30 Mins",Call_Table_Data[[#This Row],[Duration]]&lt;=60,"30 to 60 Mins",Call_Table_Data[[#This Row],[Duration]]&lt;=120,"1 to 2 Hours",TRUE,"More Than 2 Hours")</f>
        <v>30 to 60 Mins</v>
      </c>
      <c r="K333" s="9">
        <f>ROUND(Call_Table_Data[[#This Row],[Satisfaction Rating]],0)</f>
        <v>3</v>
      </c>
    </row>
    <row r="334" spans="1:11" x14ac:dyDescent="0.3">
      <c r="A334" s="9" t="s">
        <v>1960</v>
      </c>
      <c r="B334" s="9" t="s">
        <v>1652</v>
      </c>
      <c r="C334" s="9">
        <v>8</v>
      </c>
      <c r="D334" s="149" t="s">
        <v>1630</v>
      </c>
      <c r="E334" s="150">
        <v>45024</v>
      </c>
      <c r="F334" s="9">
        <v>20</v>
      </c>
      <c r="G334" s="9">
        <v>4.8</v>
      </c>
      <c r="H334" s="9">
        <f>IF(MONTH(Call_Table_Data[[#This Row],[Date of Call]])&lt;=6,YEAR(Call_Table_Data[[#This Row],[Date of Call]]),YEAR(Call_Table_Data[[#This Row],[Date of Call]])+1)</f>
        <v>2023</v>
      </c>
      <c r="I334" s="9" t="str">
        <f>TEXT(Call_Table_Data[[#This Row],[Date of Call]],"DDDD")</f>
        <v>Saturday</v>
      </c>
      <c r="J334" s="9" t="str" cm="1">
        <f t="array" ref="J334">_xlfn.IFS(Call_Table_Data[[#This Row],[Duration]]&lt;=10,"Under 10 Mins",Call_Table_Data[[#This Row],[Duration]]&lt;=30,"10 to 30 Mins",Call_Table_Data[[#This Row],[Duration]]&lt;=60,"30 to 60 Mins",Call_Table_Data[[#This Row],[Duration]]&lt;=120,"1 to 2 Hours",TRUE,"More Than 2 Hours")</f>
        <v>Under 10 Mins</v>
      </c>
      <c r="K334" s="9">
        <f>ROUND(Call_Table_Data[[#This Row],[Satisfaction Rating]],0)</f>
        <v>5</v>
      </c>
    </row>
    <row r="335" spans="1:11" x14ac:dyDescent="0.3">
      <c r="A335" s="9" t="s">
        <v>1961</v>
      </c>
      <c r="B335" s="9" t="s">
        <v>1662</v>
      </c>
      <c r="C335" s="9">
        <v>157</v>
      </c>
      <c r="D335" s="149" t="s">
        <v>1611</v>
      </c>
      <c r="E335" s="150">
        <v>45024</v>
      </c>
      <c r="F335" s="9">
        <v>72</v>
      </c>
      <c r="G335" s="9">
        <v>3.7</v>
      </c>
      <c r="H335" s="9">
        <f>IF(MONTH(Call_Table_Data[[#This Row],[Date of Call]])&lt;=6,YEAR(Call_Table_Data[[#This Row],[Date of Call]]),YEAR(Call_Table_Data[[#This Row],[Date of Call]])+1)</f>
        <v>2023</v>
      </c>
      <c r="I335" s="9" t="str">
        <f>TEXT(Call_Table_Data[[#This Row],[Date of Call]],"DDDD")</f>
        <v>Saturday</v>
      </c>
      <c r="J335" s="9" t="str" cm="1">
        <f t="array" ref="J335">_xlfn.IFS(Call_Table_Data[[#This Row],[Duration]]&lt;=10,"Under 10 Mins",Call_Table_Data[[#This Row],[Duration]]&lt;=30,"10 to 30 Mins",Call_Table_Data[[#This Row],[Duration]]&lt;=60,"30 to 60 Mins",Call_Table_Data[[#This Row],[Duration]]&lt;=120,"1 to 2 Hours",TRUE,"More Than 2 Hours")</f>
        <v>More Than 2 Hours</v>
      </c>
      <c r="K335" s="9">
        <f>ROUND(Call_Table_Data[[#This Row],[Satisfaction Rating]],0)</f>
        <v>4</v>
      </c>
    </row>
    <row r="336" spans="1:11" x14ac:dyDescent="0.3">
      <c r="A336" s="9" t="s">
        <v>1962</v>
      </c>
      <c r="B336" s="9" t="s">
        <v>1615</v>
      </c>
      <c r="C336" s="9">
        <v>74</v>
      </c>
      <c r="D336" s="149" t="s">
        <v>1616</v>
      </c>
      <c r="E336" s="150">
        <v>45024</v>
      </c>
      <c r="F336" s="9">
        <v>32</v>
      </c>
      <c r="G336" s="9">
        <v>4.8</v>
      </c>
      <c r="H336" s="9">
        <f>IF(MONTH(Call_Table_Data[[#This Row],[Date of Call]])&lt;=6,YEAR(Call_Table_Data[[#This Row],[Date of Call]]),YEAR(Call_Table_Data[[#This Row],[Date of Call]])+1)</f>
        <v>2023</v>
      </c>
      <c r="I336" s="9" t="str">
        <f>TEXT(Call_Table_Data[[#This Row],[Date of Call]],"DDDD")</f>
        <v>Saturday</v>
      </c>
      <c r="J336" s="9" t="str" cm="1">
        <f t="array" ref="J336">_xlfn.IFS(Call_Table_Data[[#This Row],[Duration]]&lt;=10,"Under 10 Mins",Call_Table_Data[[#This Row],[Duration]]&lt;=30,"10 to 30 Mins",Call_Table_Data[[#This Row],[Duration]]&lt;=60,"30 to 60 Mins",Call_Table_Data[[#This Row],[Duration]]&lt;=120,"1 to 2 Hours",TRUE,"More Than 2 Hours")</f>
        <v>1 to 2 Hours</v>
      </c>
      <c r="K336" s="9">
        <f>ROUND(Call_Table_Data[[#This Row],[Satisfaction Rating]],0)</f>
        <v>5</v>
      </c>
    </row>
    <row r="337" spans="1:11" x14ac:dyDescent="0.3">
      <c r="A337" s="9" t="s">
        <v>1963</v>
      </c>
      <c r="B337" s="9" t="s">
        <v>1641</v>
      </c>
      <c r="C337" s="9">
        <v>72</v>
      </c>
      <c r="D337" s="149" t="s">
        <v>1626</v>
      </c>
      <c r="E337" s="150">
        <v>45024</v>
      </c>
      <c r="F337" s="9">
        <v>140</v>
      </c>
      <c r="G337" s="9">
        <v>3.2</v>
      </c>
      <c r="H337" s="9">
        <f>IF(MONTH(Call_Table_Data[[#This Row],[Date of Call]])&lt;=6,YEAR(Call_Table_Data[[#This Row],[Date of Call]]),YEAR(Call_Table_Data[[#This Row],[Date of Call]])+1)</f>
        <v>2023</v>
      </c>
      <c r="I337" s="9" t="str">
        <f>TEXT(Call_Table_Data[[#This Row],[Date of Call]],"DDDD")</f>
        <v>Saturday</v>
      </c>
      <c r="J337" s="9" t="str" cm="1">
        <f t="array" ref="J337">_xlfn.IFS(Call_Table_Data[[#This Row],[Duration]]&lt;=10,"Under 10 Mins",Call_Table_Data[[#This Row],[Duration]]&lt;=30,"10 to 30 Mins",Call_Table_Data[[#This Row],[Duration]]&lt;=60,"30 to 60 Mins",Call_Table_Data[[#This Row],[Duration]]&lt;=120,"1 to 2 Hours",TRUE,"More Than 2 Hours")</f>
        <v>1 to 2 Hours</v>
      </c>
      <c r="K337" s="9">
        <f>ROUND(Call_Table_Data[[#This Row],[Satisfaction Rating]],0)</f>
        <v>3</v>
      </c>
    </row>
    <row r="338" spans="1:11" x14ac:dyDescent="0.3">
      <c r="A338" s="9" t="s">
        <v>1964</v>
      </c>
      <c r="B338" s="9" t="s">
        <v>1615</v>
      </c>
      <c r="C338" s="9">
        <v>79</v>
      </c>
      <c r="D338" s="149" t="s">
        <v>1616</v>
      </c>
      <c r="E338" s="150">
        <v>45025</v>
      </c>
      <c r="F338" s="9">
        <v>120</v>
      </c>
      <c r="G338" s="9">
        <v>4.9000000000000004</v>
      </c>
      <c r="H338" s="9">
        <f>IF(MONTH(Call_Table_Data[[#This Row],[Date of Call]])&lt;=6,YEAR(Call_Table_Data[[#This Row],[Date of Call]]),YEAR(Call_Table_Data[[#This Row],[Date of Call]])+1)</f>
        <v>2023</v>
      </c>
      <c r="I338" s="9" t="str">
        <f>TEXT(Call_Table_Data[[#This Row],[Date of Call]],"DDDD")</f>
        <v>Sunday</v>
      </c>
      <c r="J338" s="9" t="str" cm="1">
        <f t="array" ref="J338">_xlfn.IFS(Call_Table_Data[[#This Row],[Duration]]&lt;=10,"Under 10 Mins",Call_Table_Data[[#This Row],[Duration]]&lt;=30,"10 to 30 Mins",Call_Table_Data[[#This Row],[Duration]]&lt;=60,"30 to 60 Mins",Call_Table_Data[[#This Row],[Duration]]&lt;=120,"1 to 2 Hours",TRUE,"More Than 2 Hours")</f>
        <v>1 to 2 Hours</v>
      </c>
      <c r="K338" s="9">
        <f>ROUND(Call_Table_Data[[#This Row],[Satisfaction Rating]],0)</f>
        <v>5</v>
      </c>
    </row>
    <row r="339" spans="1:11" x14ac:dyDescent="0.3">
      <c r="A339" s="9" t="s">
        <v>1965</v>
      </c>
      <c r="B339" s="9" t="s">
        <v>1649</v>
      </c>
      <c r="C339" s="9">
        <v>23</v>
      </c>
      <c r="D339" s="149" t="s">
        <v>1616</v>
      </c>
      <c r="E339" s="150">
        <v>45025</v>
      </c>
      <c r="F339" s="9">
        <v>86</v>
      </c>
      <c r="G339" s="9">
        <v>2.2000000000000002</v>
      </c>
      <c r="H339" s="9">
        <f>IF(MONTH(Call_Table_Data[[#This Row],[Date of Call]])&lt;=6,YEAR(Call_Table_Data[[#This Row],[Date of Call]]),YEAR(Call_Table_Data[[#This Row],[Date of Call]])+1)</f>
        <v>2023</v>
      </c>
      <c r="I339" s="9" t="str">
        <f>TEXT(Call_Table_Data[[#This Row],[Date of Call]],"DDDD")</f>
        <v>Sunday</v>
      </c>
      <c r="J339" s="9" t="str" cm="1">
        <f t="array" ref="J339">_xlfn.IFS(Call_Table_Data[[#This Row],[Duration]]&lt;=10,"Under 10 Mins",Call_Table_Data[[#This Row],[Duration]]&lt;=30,"10 to 30 Mins",Call_Table_Data[[#This Row],[Duration]]&lt;=60,"30 to 60 Mins",Call_Table_Data[[#This Row],[Duration]]&lt;=120,"1 to 2 Hours",TRUE,"More Than 2 Hours")</f>
        <v>10 to 30 Mins</v>
      </c>
      <c r="K339" s="9">
        <f>ROUND(Call_Table_Data[[#This Row],[Satisfaction Rating]],0)</f>
        <v>2</v>
      </c>
    </row>
    <row r="340" spans="1:11" x14ac:dyDescent="0.3">
      <c r="A340" s="9" t="s">
        <v>1966</v>
      </c>
      <c r="B340" s="9" t="s">
        <v>1613</v>
      </c>
      <c r="C340" s="9">
        <v>69</v>
      </c>
      <c r="D340" s="149" t="s">
        <v>1616</v>
      </c>
      <c r="E340" s="150">
        <v>45025</v>
      </c>
      <c r="F340" s="9">
        <v>132</v>
      </c>
      <c r="G340" s="9">
        <v>5</v>
      </c>
      <c r="H340" s="9">
        <f>IF(MONTH(Call_Table_Data[[#This Row],[Date of Call]])&lt;=6,YEAR(Call_Table_Data[[#This Row],[Date of Call]]),YEAR(Call_Table_Data[[#This Row],[Date of Call]])+1)</f>
        <v>2023</v>
      </c>
      <c r="I340" s="9" t="str">
        <f>TEXT(Call_Table_Data[[#This Row],[Date of Call]],"DDDD")</f>
        <v>Sunday</v>
      </c>
      <c r="J340" s="9" t="str" cm="1">
        <f t="array" ref="J340">_xlfn.IFS(Call_Table_Data[[#This Row],[Duration]]&lt;=10,"Under 10 Mins",Call_Table_Data[[#This Row],[Duration]]&lt;=30,"10 to 30 Mins",Call_Table_Data[[#This Row],[Duration]]&lt;=60,"30 to 60 Mins",Call_Table_Data[[#This Row],[Duration]]&lt;=120,"1 to 2 Hours",TRUE,"More Than 2 Hours")</f>
        <v>1 to 2 Hours</v>
      </c>
      <c r="K340" s="9">
        <f>ROUND(Call_Table_Data[[#This Row],[Satisfaction Rating]],0)</f>
        <v>5</v>
      </c>
    </row>
    <row r="341" spans="1:11" x14ac:dyDescent="0.3">
      <c r="A341" s="9" t="s">
        <v>1967</v>
      </c>
      <c r="B341" s="9" t="s">
        <v>1644</v>
      </c>
      <c r="C341" s="9">
        <v>64</v>
      </c>
      <c r="D341" s="149" t="s">
        <v>1616</v>
      </c>
      <c r="E341" s="150">
        <v>45025</v>
      </c>
      <c r="F341" s="9">
        <v>80</v>
      </c>
      <c r="G341" s="9">
        <v>3.3</v>
      </c>
      <c r="H341" s="9">
        <f>IF(MONTH(Call_Table_Data[[#This Row],[Date of Call]])&lt;=6,YEAR(Call_Table_Data[[#This Row],[Date of Call]]),YEAR(Call_Table_Data[[#This Row],[Date of Call]])+1)</f>
        <v>2023</v>
      </c>
      <c r="I341" s="9" t="str">
        <f>TEXT(Call_Table_Data[[#This Row],[Date of Call]],"DDDD")</f>
        <v>Sunday</v>
      </c>
      <c r="J341" s="9" t="str" cm="1">
        <f t="array" ref="J341">_xlfn.IFS(Call_Table_Data[[#This Row],[Duration]]&lt;=10,"Under 10 Mins",Call_Table_Data[[#This Row],[Duration]]&lt;=30,"10 to 30 Mins",Call_Table_Data[[#This Row],[Duration]]&lt;=60,"30 to 60 Mins",Call_Table_Data[[#This Row],[Duration]]&lt;=120,"1 to 2 Hours",TRUE,"More Than 2 Hours")</f>
        <v>1 to 2 Hours</v>
      </c>
      <c r="K341" s="9">
        <f>ROUND(Call_Table_Data[[#This Row],[Satisfaction Rating]],0)</f>
        <v>3</v>
      </c>
    </row>
    <row r="342" spans="1:11" x14ac:dyDescent="0.3">
      <c r="A342" s="9" t="s">
        <v>1968</v>
      </c>
      <c r="B342" s="9" t="s">
        <v>1635</v>
      </c>
      <c r="C342" s="9">
        <v>47</v>
      </c>
      <c r="D342" s="149" t="s">
        <v>1611</v>
      </c>
      <c r="E342" s="150">
        <v>45025</v>
      </c>
      <c r="F342" s="9">
        <v>132</v>
      </c>
      <c r="G342" s="9">
        <v>3.7</v>
      </c>
      <c r="H342" s="9">
        <f>IF(MONTH(Call_Table_Data[[#This Row],[Date of Call]])&lt;=6,YEAR(Call_Table_Data[[#This Row],[Date of Call]]),YEAR(Call_Table_Data[[#This Row],[Date of Call]])+1)</f>
        <v>2023</v>
      </c>
      <c r="I342" s="9" t="str">
        <f>TEXT(Call_Table_Data[[#This Row],[Date of Call]],"DDDD")</f>
        <v>Sunday</v>
      </c>
      <c r="J342" s="9" t="str" cm="1">
        <f t="array" ref="J342">_xlfn.IFS(Call_Table_Data[[#This Row],[Duration]]&lt;=10,"Under 10 Mins",Call_Table_Data[[#This Row],[Duration]]&lt;=30,"10 to 30 Mins",Call_Table_Data[[#This Row],[Duration]]&lt;=60,"30 to 60 Mins",Call_Table_Data[[#This Row],[Duration]]&lt;=120,"1 to 2 Hours",TRUE,"More Than 2 Hours")</f>
        <v>30 to 60 Mins</v>
      </c>
      <c r="K342" s="9">
        <f>ROUND(Call_Table_Data[[#This Row],[Satisfaction Rating]],0)</f>
        <v>4</v>
      </c>
    </row>
    <row r="343" spans="1:11" x14ac:dyDescent="0.3">
      <c r="A343" s="9" t="s">
        <v>1969</v>
      </c>
      <c r="B343" s="9" t="s">
        <v>1615</v>
      </c>
      <c r="C343" s="9">
        <v>55</v>
      </c>
      <c r="D343" s="149" t="s">
        <v>1626</v>
      </c>
      <c r="E343" s="150">
        <v>45025</v>
      </c>
      <c r="F343" s="9">
        <v>27</v>
      </c>
      <c r="G343" s="9">
        <v>3.7</v>
      </c>
      <c r="H343" s="9">
        <f>IF(MONTH(Call_Table_Data[[#This Row],[Date of Call]])&lt;=6,YEAR(Call_Table_Data[[#This Row],[Date of Call]]),YEAR(Call_Table_Data[[#This Row],[Date of Call]])+1)</f>
        <v>2023</v>
      </c>
      <c r="I343" s="9" t="str">
        <f>TEXT(Call_Table_Data[[#This Row],[Date of Call]],"DDDD")</f>
        <v>Sunday</v>
      </c>
      <c r="J343" s="9" t="str" cm="1">
        <f t="array" ref="J343">_xlfn.IFS(Call_Table_Data[[#This Row],[Duration]]&lt;=10,"Under 10 Mins",Call_Table_Data[[#This Row],[Duration]]&lt;=30,"10 to 30 Mins",Call_Table_Data[[#This Row],[Duration]]&lt;=60,"30 to 60 Mins",Call_Table_Data[[#This Row],[Duration]]&lt;=120,"1 to 2 Hours",TRUE,"More Than 2 Hours")</f>
        <v>30 to 60 Mins</v>
      </c>
      <c r="K343" s="9">
        <f>ROUND(Call_Table_Data[[#This Row],[Satisfaction Rating]],0)</f>
        <v>4</v>
      </c>
    </row>
    <row r="344" spans="1:11" x14ac:dyDescent="0.3">
      <c r="A344" s="9" t="s">
        <v>1970</v>
      </c>
      <c r="B344" s="9" t="s">
        <v>1629</v>
      </c>
      <c r="C344" s="9">
        <v>104</v>
      </c>
      <c r="D344" s="149" t="s">
        <v>1626</v>
      </c>
      <c r="E344" s="150">
        <v>45026</v>
      </c>
      <c r="F344" s="9">
        <v>68</v>
      </c>
      <c r="G344" s="9">
        <v>3.6</v>
      </c>
      <c r="H344" s="9">
        <f>IF(MONTH(Call_Table_Data[[#This Row],[Date of Call]])&lt;=6,YEAR(Call_Table_Data[[#This Row],[Date of Call]]),YEAR(Call_Table_Data[[#This Row],[Date of Call]])+1)</f>
        <v>2023</v>
      </c>
      <c r="I344" s="9" t="str">
        <f>TEXT(Call_Table_Data[[#This Row],[Date of Call]],"DDDD")</f>
        <v>Monday</v>
      </c>
      <c r="J344" s="9" t="str" cm="1">
        <f t="array" ref="J344">_xlfn.IFS(Call_Table_Data[[#This Row],[Duration]]&lt;=10,"Under 10 Mins",Call_Table_Data[[#This Row],[Duration]]&lt;=30,"10 to 30 Mins",Call_Table_Data[[#This Row],[Duration]]&lt;=60,"30 to 60 Mins",Call_Table_Data[[#This Row],[Duration]]&lt;=120,"1 to 2 Hours",TRUE,"More Than 2 Hours")</f>
        <v>1 to 2 Hours</v>
      </c>
      <c r="K344" s="9">
        <f>ROUND(Call_Table_Data[[#This Row],[Satisfaction Rating]],0)</f>
        <v>4</v>
      </c>
    </row>
    <row r="345" spans="1:11" x14ac:dyDescent="0.3">
      <c r="A345" s="9" t="s">
        <v>1971</v>
      </c>
      <c r="B345" s="9" t="s">
        <v>1635</v>
      </c>
      <c r="C345" s="9">
        <v>116</v>
      </c>
      <c r="D345" s="149" t="s">
        <v>1616</v>
      </c>
      <c r="E345" s="150">
        <v>45026</v>
      </c>
      <c r="F345" s="9">
        <v>22</v>
      </c>
      <c r="G345" s="9">
        <v>4.7</v>
      </c>
      <c r="H345" s="9">
        <f>IF(MONTH(Call_Table_Data[[#This Row],[Date of Call]])&lt;=6,YEAR(Call_Table_Data[[#This Row],[Date of Call]]),YEAR(Call_Table_Data[[#This Row],[Date of Call]])+1)</f>
        <v>2023</v>
      </c>
      <c r="I345" s="9" t="str">
        <f>TEXT(Call_Table_Data[[#This Row],[Date of Call]],"DDDD")</f>
        <v>Monday</v>
      </c>
      <c r="J345" s="9" t="str" cm="1">
        <f t="array" ref="J345">_xlfn.IFS(Call_Table_Data[[#This Row],[Duration]]&lt;=10,"Under 10 Mins",Call_Table_Data[[#This Row],[Duration]]&lt;=30,"10 to 30 Mins",Call_Table_Data[[#This Row],[Duration]]&lt;=60,"30 to 60 Mins",Call_Table_Data[[#This Row],[Duration]]&lt;=120,"1 to 2 Hours",TRUE,"More Than 2 Hours")</f>
        <v>1 to 2 Hours</v>
      </c>
      <c r="K345" s="9">
        <f>ROUND(Call_Table_Data[[#This Row],[Satisfaction Rating]],0)</f>
        <v>5</v>
      </c>
    </row>
    <row r="346" spans="1:11" x14ac:dyDescent="0.3">
      <c r="A346" s="9" t="s">
        <v>1972</v>
      </c>
      <c r="B346" s="9" t="s">
        <v>1649</v>
      </c>
      <c r="C346" s="9">
        <v>99</v>
      </c>
      <c r="D346" s="149" t="s">
        <v>1626</v>
      </c>
      <c r="E346" s="150">
        <v>45026</v>
      </c>
      <c r="F346" s="9">
        <v>42</v>
      </c>
      <c r="G346" s="9">
        <v>3.1</v>
      </c>
      <c r="H346" s="9">
        <f>IF(MONTH(Call_Table_Data[[#This Row],[Date of Call]])&lt;=6,YEAR(Call_Table_Data[[#This Row],[Date of Call]]),YEAR(Call_Table_Data[[#This Row],[Date of Call]])+1)</f>
        <v>2023</v>
      </c>
      <c r="I346" s="9" t="str">
        <f>TEXT(Call_Table_Data[[#This Row],[Date of Call]],"DDDD")</f>
        <v>Monday</v>
      </c>
      <c r="J346" s="9" t="str" cm="1">
        <f t="array" ref="J346">_xlfn.IFS(Call_Table_Data[[#This Row],[Duration]]&lt;=10,"Under 10 Mins",Call_Table_Data[[#This Row],[Duration]]&lt;=30,"10 to 30 Mins",Call_Table_Data[[#This Row],[Duration]]&lt;=60,"30 to 60 Mins",Call_Table_Data[[#This Row],[Duration]]&lt;=120,"1 to 2 Hours",TRUE,"More Than 2 Hours")</f>
        <v>1 to 2 Hours</v>
      </c>
      <c r="K346" s="9">
        <f>ROUND(Call_Table_Data[[#This Row],[Satisfaction Rating]],0)</f>
        <v>3</v>
      </c>
    </row>
    <row r="347" spans="1:11" x14ac:dyDescent="0.3">
      <c r="A347" s="9" t="s">
        <v>1973</v>
      </c>
      <c r="B347" s="9" t="s">
        <v>1629</v>
      </c>
      <c r="C347" s="9">
        <v>84</v>
      </c>
      <c r="D347" s="149" t="s">
        <v>1626</v>
      </c>
      <c r="E347" s="150">
        <v>45027</v>
      </c>
      <c r="F347" s="9">
        <v>38</v>
      </c>
      <c r="G347" s="9">
        <v>3.3</v>
      </c>
      <c r="H347" s="9">
        <f>IF(MONTH(Call_Table_Data[[#This Row],[Date of Call]])&lt;=6,YEAR(Call_Table_Data[[#This Row],[Date of Call]]),YEAR(Call_Table_Data[[#This Row],[Date of Call]])+1)</f>
        <v>2023</v>
      </c>
      <c r="I347" s="9" t="str">
        <f>TEXT(Call_Table_Data[[#This Row],[Date of Call]],"DDDD")</f>
        <v>Tuesday</v>
      </c>
      <c r="J347" s="9" t="str" cm="1">
        <f t="array" ref="J347">_xlfn.IFS(Call_Table_Data[[#This Row],[Duration]]&lt;=10,"Under 10 Mins",Call_Table_Data[[#This Row],[Duration]]&lt;=30,"10 to 30 Mins",Call_Table_Data[[#This Row],[Duration]]&lt;=60,"30 to 60 Mins",Call_Table_Data[[#This Row],[Duration]]&lt;=120,"1 to 2 Hours",TRUE,"More Than 2 Hours")</f>
        <v>1 to 2 Hours</v>
      </c>
      <c r="K347" s="9">
        <f>ROUND(Call_Table_Data[[#This Row],[Satisfaction Rating]],0)</f>
        <v>3</v>
      </c>
    </row>
    <row r="348" spans="1:11" x14ac:dyDescent="0.3">
      <c r="A348" s="9" t="s">
        <v>1974</v>
      </c>
      <c r="B348" s="9" t="s">
        <v>1652</v>
      </c>
      <c r="C348" s="9">
        <v>159</v>
      </c>
      <c r="D348" s="149" t="s">
        <v>1626</v>
      </c>
      <c r="E348" s="150">
        <v>45027</v>
      </c>
      <c r="F348" s="9">
        <v>42</v>
      </c>
      <c r="G348" s="9">
        <v>4.5</v>
      </c>
      <c r="H348" s="9">
        <f>IF(MONTH(Call_Table_Data[[#This Row],[Date of Call]])&lt;=6,YEAR(Call_Table_Data[[#This Row],[Date of Call]]),YEAR(Call_Table_Data[[#This Row],[Date of Call]])+1)</f>
        <v>2023</v>
      </c>
      <c r="I348" s="9" t="str">
        <f>TEXT(Call_Table_Data[[#This Row],[Date of Call]],"DDDD")</f>
        <v>Tuesday</v>
      </c>
      <c r="J348" s="9" t="str" cm="1">
        <f t="array" ref="J348">_xlfn.IFS(Call_Table_Data[[#This Row],[Duration]]&lt;=10,"Under 10 Mins",Call_Table_Data[[#This Row],[Duration]]&lt;=30,"10 to 30 Mins",Call_Table_Data[[#This Row],[Duration]]&lt;=60,"30 to 60 Mins",Call_Table_Data[[#This Row],[Duration]]&lt;=120,"1 to 2 Hours",TRUE,"More Than 2 Hours")</f>
        <v>More Than 2 Hours</v>
      </c>
      <c r="K348" s="9">
        <f>ROUND(Call_Table_Data[[#This Row],[Satisfaction Rating]],0)</f>
        <v>5</v>
      </c>
    </row>
    <row r="349" spans="1:11" x14ac:dyDescent="0.3">
      <c r="A349" s="9" t="s">
        <v>1975</v>
      </c>
      <c r="B349" s="9" t="s">
        <v>1624</v>
      </c>
      <c r="C349" s="9">
        <v>25</v>
      </c>
      <c r="D349" s="149" t="s">
        <v>1611</v>
      </c>
      <c r="E349" s="150">
        <v>45027</v>
      </c>
      <c r="F349" s="9">
        <v>75</v>
      </c>
      <c r="G349" s="9">
        <v>3.9</v>
      </c>
      <c r="H349" s="9">
        <f>IF(MONTH(Call_Table_Data[[#This Row],[Date of Call]])&lt;=6,YEAR(Call_Table_Data[[#This Row],[Date of Call]]),YEAR(Call_Table_Data[[#This Row],[Date of Call]])+1)</f>
        <v>2023</v>
      </c>
      <c r="I349" s="9" t="str">
        <f>TEXT(Call_Table_Data[[#This Row],[Date of Call]],"DDDD")</f>
        <v>Tuesday</v>
      </c>
      <c r="J349" s="9" t="str" cm="1">
        <f t="array" ref="J349">_xlfn.IFS(Call_Table_Data[[#This Row],[Duration]]&lt;=10,"Under 10 Mins",Call_Table_Data[[#This Row],[Duration]]&lt;=30,"10 to 30 Mins",Call_Table_Data[[#This Row],[Duration]]&lt;=60,"30 to 60 Mins",Call_Table_Data[[#This Row],[Duration]]&lt;=120,"1 to 2 Hours",TRUE,"More Than 2 Hours")</f>
        <v>10 to 30 Mins</v>
      </c>
      <c r="K349" s="9">
        <f>ROUND(Call_Table_Data[[#This Row],[Satisfaction Rating]],0)</f>
        <v>4</v>
      </c>
    </row>
    <row r="350" spans="1:11" x14ac:dyDescent="0.3">
      <c r="A350" s="9" t="s">
        <v>1976</v>
      </c>
      <c r="B350" s="9" t="s">
        <v>1652</v>
      </c>
      <c r="C350" s="9">
        <v>53</v>
      </c>
      <c r="D350" s="149" t="s">
        <v>1630</v>
      </c>
      <c r="E350" s="150">
        <v>45028</v>
      </c>
      <c r="F350" s="9">
        <v>23</v>
      </c>
      <c r="G350" s="9">
        <v>4.9000000000000004</v>
      </c>
      <c r="H350" s="9">
        <f>IF(MONTH(Call_Table_Data[[#This Row],[Date of Call]])&lt;=6,YEAR(Call_Table_Data[[#This Row],[Date of Call]]),YEAR(Call_Table_Data[[#This Row],[Date of Call]])+1)</f>
        <v>2023</v>
      </c>
      <c r="I350" s="9" t="str">
        <f>TEXT(Call_Table_Data[[#This Row],[Date of Call]],"DDDD")</f>
        <v>Wednesday</v>
      </c>
      <c r="J350" s="9" t="str" cm="1">
        <f t="array" ref="J350">_xlfn.IFS(Call_Table_Data[[#This Row],[Duration]]&lt;=10,"Under 10 Mins",Call_Table_Data[[#This Row],[Duration]]&lt;=30,"10 to 30 Mins",Call_Table_Data[[#This Row],[Duration]]&lt;=60,"30 to 60 Mins",Call_Table_Data[[#This Row],[Duration]]&lt;=120,"1 to 2 Hours",TRUE,"More Than 2 Hours")</f>
        <v>30 to 60 Mins</v>
      </c>
      <c r="K350" s="9">
        <f>ROUND(Call_Table_Data[[#This Row],[Satisfaction Rating]],0)</f>
        <v>5</v>
      </c>
    </row>
    <row r="351" spans="1:11" x14ac:dyDescent="0.3">
      <c r="A351" s="9" t="s">
        <v>1977</v>
      </c>
      <c r="B351" s="9" t="s">
        <v>1652</v>
      </c>
      <c r="C351" s="9">
        <v>89</v>
      </c>
      <c r="D351" s="149" t="s">
        <v>1611</v>
      </c>
      <c r="E351" s="150">
        <v>45028</v>
      </c>
      <c r="F351" s="9">
        <v>200</v>
      </c>
      <c r="G351" s="9">
        <v>4.8</v>
      </c>
      <c r="H351" s="9">
        <f>IF(MONTH(Call_Table_Data[[#This Row],[Date of Call]])&lt;=6,YEAR(Call_Table_Data[[#This Row],[Date of Call]]),YEAR(Call_Table_Data[[#This Row],[Date of Call]])+1)</f>
        <v>2023</v>
      </c>
      <c r="I351" s="9" t="str">
        <f>TEXT(Call_Table_Data[[#This Row],[Date of Call]],"DDDD")</f>
        <v>Wednesday</v>
      </c>
      <c r="J351" s="9" t="str" cm="1">
        <f t="array" ref="J351">_xlfn.IFS(Call_Table_Data[[#This Row],[Duration]]&lt;=10,"Under 10 Mins",Call_Table_Data[[#This Row],[Duration]]&lt;=30,"10 to 30 Mins",Call_Table_Data[[#This Row],[Duration]]&lt;=60,"30 to 60 Mins",Call_Table_Data[[#This Row],[Duration]]&lt;=120,"1 to 2 Hours",TRUE,"More Than 2 Hours")</f>
        <v>1 to 2 Hours</v>
      </c>
      <c r="K351" s="9">
        <f>ROUND(Call_Table_Data[[#This Row],[Satisfaction Rating]],0)</f>
        <v>5</v>
      </c>
    </row>
    <row r="352" spans="1:11" x14ac:dyDescent="0.3">
      <c r="A352" s="9" t="s">
        <v>1978</v>
      </c>
      <c r="B352" s="9" t="s">
        <v>1618</v>
      </c>
      <c r="C352" s="9">
        <v>73</v>
      </c>
      <c r="D352" s="149" t="s">
        <v>1616</v>
      </c>
      <c r="E352" s="150">
        <v>45029</v>
      </c>
      <c r="F352" s="9">
        <v>45</v>
      </c>
      <c r="G352" s="9">
        <v>3.6</v>
      </c>
      <c r="H352" s="9">
        <f>IF(MONTH(Call_Table_Data[[#This Row],[Date of Call]])&lt;=6,YEAR(Call_Table_Data[[#This Row],[Date of Call]]),YEAR(Call_Table_Data[[#This Row],[Date of Call]])+1)</f>
        <v>2023</v>
      </c>
      <c r="I352" s="9" t="str">
        <f>TEXT(Call_Table_Data[[#This Row],[Date of Call]],"DDDD")</f>
        <v>Thursday</v>
      </c>
      <c r="J352" s="9" t="str" cm="1">
        <f t="array" ref="J352">_xlfn.IFS(Call_Table_Data[[#This Row],[Duration]]&lt;=10,"Under 10 Mins",Call_Table_Data[[#This Row],[Duration]]&lt;=30,"10 to 30 Mins",Call_Table_Data[[#This Row],[Duration]]&lt;=60,"30 to 60 Mins",Call_Table_Data[[#This Row],[Duration]]&lt;=120,"1 to 2 Hours",TRUE,"More Than 2 Hours")</f>
        <v>1 to 2 Hours</v>
      </c>
      <c r="K352" s="9">
        <f>ROUND(Call_Table_Data[[#This Row],[Satisfaction Rating]],0)</f>
        <v>4</v>
      </c>
    </row>
    <row r="353" spans="1:11" x14ac:dyDescent="0.3">
      <c r="A353" s="9" t="s">
        <v>1979</v>
      </c>
      <c r="B353" s="9" t="s">
        <v>1649</v>
      </c>
      <c r="C353" s="9">
        <v>50</v>
      </c>
      <c r="D353" s="149" t="s">
        <v>1616</v>
      </c>
      <c r="E353" s="150">
        <v>45029</v>
      </c>
      <c r="F353" s="9">
        <v>105</v>
      </c>
      <c r="G353" s="9">
        <v>3.5</v>
      </c>
      <c r="H353" s="9">
        <f>IF(MONTH(Call_Table_Data[[#This Row],[Date of Call]])&lt;=6,YEAR(Call_Table_Data[[#This Row],[Date of Call]]),YEAR(Call_Table_Data[[#This Row],[Date of Call]])+1)</f>
        <v>2023</v>
      </c>
      <c r="I353" s="9" t="str">
        <f>TEXT(Call_Table_Data[[#This Row],[Date of Call]],"DDDD")</f>
        <v>Thursday</v>
      </c>
      <c r="J353" s="9" t="str" cm="1">
        <f t="array" ref="J353">_xlfn.IFS(Call_Table_Data[[#This Row],[Duration]]&lt;=10,"Under 10 Mins",Call_Table_Data[[#This Row],[Duration]]&lt;=30,"10 to 30 Mins",Call_Table_Data[[#This Row],[Duration]]&lt;=60,"30 to 60 Mins",Call_Table_Data[[#This Row],[Duration]]&lt;=120,"1 to 2 Hours",TRUE,"More Than 2 Hours")</f>
        <v>30 to 60 Mins</v>
      </c>
      <c r="K353" s="9">
        <f>ROUND(Call_Table_Data[[#This Row],[Satisfaction Rating]],0)</f>
        <v>4</v>
      </c>
    </row>
    <row r="354" spans="1:11" x14ac:dyDescent="0.3">
      <c r="A354" s="9" t="s">
        <v>1980</v>
      </c>
      <c r="B354" s="9" t="s">
        <v>1620</v>
      </c>
      <c r="C354" s="9">
        <v>98</v>
      </c>
      <c r="D354" s="149" t="s">
        <v>1616</v>
      </c>
      <c r="E354" s="150">
        <v>45029</v>
      </c>
      <c r="F354" s="9">
        <v>22</v>
      </c>
      <c r="G354" s="9">
        <v>3.8</v>
      </c>
      <c r="H354" s="9">
        <f>IF(MONTH(Call_Table_Data[[#This Row],[Date of Call]])&lt;=6,YEAR(Call_Table_Data[[#This Row],[Date of Call]]),YEAR(Call_Table_Data[[#This Row],[Date of Call]])+1)</f>
        <v>2023</v>
      </c>
      <c r="I354" s="9" t="str">
        <f>TEXT(Call_Table_Data[[#This Row],[Date of Call]],"DDDD")</f>
        <v>Thursday</v>
      </c>
      <c r="J354" s="9" t="str" cm="1">
        <f t="array" ref="J354">_xlfn.IFS(Call_Table_Data[[#This Row],[Duration]]&lt;=10,"Under 10 Mins",Call_Table_Data[[#This Row],[Duration]]&lt;=30,"10 to 30 Mins",Call_Table_Data[[#This Row],[Duration]]&lt;=60,"30 to 60 Mins",Call_Table_Data[[#This Row],[Duration]]&lt;=120,"1 to 2 Hours",TRUE,"More Than 2 Hours")</f>
        <v>1 to 2 Hours</v>
      </c>
      <c r="K354" s="9">
        <f>ROUND(Call_Table_Data[[#This Row],[Satisfaction Rating]],0)</f>
        <v>4</v>
      </c>
    </row>
    <row r="355" spans="1:11" x14ac:dyDescent="0.3">
      <c r="A355" s="9" t="s">
        <v>1981</v>
      </c>
      <c r="B355" s="9" t="s">
        <v>1633</v>
      </c>
      <c r="C355" s="9">
        <v>114</v>
      </c>
      <c r="D355" s="149" t="s">
        <v>1626</v>
      </c>
      <c r="E355" s="150">
        <v>45030</v>
      </c>
      <c r="F355" s="9">
        <v>126</v>
      </c>
      <c r="G355" s="9">
        <v>4.4000000000000004</v>
      </c>
      <c r="H355" s="9">
        <f>IF(MONTH(Call_Table_Data[[#This Row],[Date of Call]])&lt;=6,YEAR(Call_Table_Data[[#This Row],[Date of Call]]),YEAR(Call_Table_Data[[#This Row],[Date of Call]])+1)</f>
        <v>2023</v>
      </c>
      <c r="I355" s="9" t="str">
        <f>TEXT(Call_Table_Data[[#This Row],[Date of Call]],"DDDD")</f>
        <v>Friday</v>
      </c>
      <c r="J355" s="9" t="str" cm="1">
        <f t="array" ref="J355">_xlfn.IFS(Call_Table_Data[[#This Row],[Duration]]&lt;=10,"Under 10 Mins",Call_Table_Data[[#This Row],[Duration]]&lt;=30,"10 to 30 Mins",Call_Table_Data[[#This Row],[Duration]]&lt;=60,"30 to 60 Mins",Call_Table_Data[[#This Row],[Duration]]&lt;=120,"1 to 2 Hours",TRUE,"More Than 2 Hours")</f>
        <v>1 to 2 Hours</v>
      </c>
      <c r="K355" s="9">
        <f>ROUND(Call_Table_Data[[#This Row],[Satisfaction Rating]],0)</f>
        <v>4</v>
      </c>
    </row>
    <row r="356" spans="1:11" x14ac:dyDescent="0.3">
      <c r="A356" s="9" t="s">
        <v>1982</v>
      </c>
      <c r="B356" s="9" t="s">
        <v>1644</v>
      </c>
      <c r="C356" s="9">
        <v>67</v>
      </c>
      <c r="D356" s="149" t="s">
        <v>1626</v>
      </c>
      <c r="E356" s="150">
        <v>45030</v>
      </c>
      <c r="F356" s="9">
        <v>35</v>
      </c>
      <c r="G356" s="9">
        <v>3</v>
      </c>
      <c r="H356" s="9">
        <f>IF(MONTH(Call_Table_Data[[#This Row],[Date of Call]])&lt;=6,YEAR(Call_Table_Data[[#This Row],[Date of Call]]),YEAR(Call_Table_Data[[#This Row],[Date of Call]])+1)</f>
        <v>2023</v>
      </c>
      <c r="I356" s="9" t="str">
        <f>TEXT(Call_Table_Data[[#This Row],[Date of Call]],"DDDD")</f>
        <v>Friday</v>
      </c>
      <c r="J356" s="9" t="str" cm="1">
        <f t="array" ref="J356">_xlfn.IFS(Call_Table_Data[[#This Row],[Duration]]&lt;=10,"Under 10 Mins",Call_Table_Data[[#This Row],[Duration]]&lt;=30,"10 to 30 Mins",Call_Table_Data[[#This Row],[Duration]]&lt;=60,"30 to 60 Mins",Call_Table_Data[[#This Row],[Duration]]&lt;=120,"1 to 2 Hours",TRUE,"More Than 2 Hours")</f>
        <v>1 to 2 Hours</v>
      </c>
      <c r="K356" s="9">
        <f>ROUND(Call_Table_Data[[#This Row],[Satisfaction Rating]],0)</f>
        <v>3</v>
      </c>
    </row>
    <row r="357" spans="1:11" x14ac:dyDescent="0.3">
      <c r="A357" s="9" t="s">
        <v>1983</v>
      </c>
      <c r="B357" s="9" t="s">
        <v>1615</v>
      </c>
      <c r="C357" s="9">
        <v>91</v>
      </c>
      <c r="D357" s="149" t="s">
        <v>1616</v>
      </c>
      <c r="E357" s="150">
        <v>45030</v>
      </c>
      <c r="F357" s="9">
        <v>84</v>
      </c>
      <c r="G357" s="9">
        <v>4.5</v>
      </c>
      <c r="H357" s="9">
        <f>IF(MONTH(Call_Table_Data[[#This Row],[Date of Call]])&lt;=6,YEAR(Call_Table_Data[[#This Row],[Date of Call]]),YEAR(Call_Table_Data[[#This Row],[Date of Call]])+1)</f>
        <v>2023</v>
      </c>
      <c r="I357" s="9" t="str">
        <f>TEXT(Call_Table_Data[[#This Row],[Date of Call]],"DDDD")</f>
        <v>Friday</v>
      </c>
      <c r="J357" s="9" t="str" cm="1">
        <f t="array" ref="J357">_xlfn.IFS(Call_Table_Data[[#This Row],[Duration]]&lt;=10,"Under 10 Mins",Call_Table_Data[[#This Row],[Duration]]&lt;=30,"10 to 30 Mins",Call_Table_Data[[#This Row],[Duration]]&lt;=60,"30 to 60 Mins",Call_Table_Data[[#This Row],[Duration]]&lt;=120,"1 to 2 Hours",TRUE,"More Than 2 Hours")</f>
        <v>1 to 2 Hours</v>
      </c>
      <c r="K357" s="9">
        <f>ROUND(Call_Table_Data[[#This Row],[Satisfaction Rating]],0)</f>
        <v>5</v>
      </c>
    </row>
    <row r="358" spans="1:11" x14ac:dyDescent="0.3">
      <c r="A358" s="9" t="s">
        <v>1984</v>
      </c>
      <c r="B358" s="9" t="s">
        <v>1682</v>
      </c>
      <c r="C358" s="9">
        <v>67</v>
      </c>
      <c r="D358" s="149" t="s">
        <v>1616</v>
      </c>
      <c r="E358" s="150">
        <v>45031</v>
      </c>
      <c r="F358" s="9">
        <v>172</v>
      </c>
      <c r="G358" s="9">
        <v>4.5</v>
      </c>
      <c r="H358" s="9">
        <f>IF(MONTH(Call_Table_Data[[#This Row],[Date of Call]])&lt;=6,YEAR(Call_Table_Data[[#This Row],[Date of Call]]),YEAR(Call_Table_Data[[#This Row],[Date of Call]])+1)</f>
        <v>2023</v>
      </c>
      <c r="I358" s="9" t="str">
        <f>TEXT(Call_Table_Data[[#This Row],[Date of Call]],"DDDD")</f>
        <v>Saturday</v>
      </c>
      <c r="J358" s="9" t="str" cm="1">
        <f t="array" ref="J358">_xlfn.IFS(Call_Table_Data[[#This Row],[Duration]]&lt;=10,"Under 10 Mins",Call_Table_Data[[#This Row],[Duration]]&lt;=30,"10 to 30 Mins",Call_Table_Data[[#This Row],[Duration]]&lt;=60,"30 to 60 Mins",Call_Table_Data[[#This Row],[Duration]]&lt;=120,"1 to 2 Hours",TRUE,"More Than 2 Hours")</f>
        <v>1 to 2 Hours</v>
      </c>
      <c r="K358" s="9">
        <f>ROUND(Call_Table_Data[[#This Row],[Satisfaction Rating]],0)</f>
        <v>5</v>
      </c>
    </row>
    <row r="359" spans="1:11" x14ac:dyDescent="0.3">
      <c r="A359" s="9" t="s">
        <v>1985</v>
      </c>
      <c r="B359" s="9" t="s">
        <v>1633</v>
      </c>
      <c r="C359" s="9">
        <v>139</v>
      </c>
      <c r="D359" s="149" t="s">
        <v>1611</v>
      </c>
      <c r="E359" s="150">
        <v>45031</v>
      </c>
      <c r="F359" s="9">
        <v>114</v>
      </c>
      <c r="G359" s="9">
        <v>4</v>
      </c>
      <c r="H359" s="9">
        <f>IF(MONTH(Call_Table_Data[[#This Row],[Date of Call]])&lt;=6,YEAR(Call_Table_Data[[#This Row],[Date of Call]]),YEAR(Call_Table_Data[[#This Row],[Date of Call]])+1)</f>
        <v>2023</v>
      </c>
      <c r="I359" s="9" t="str">
        <f>TEXT(Call_Table_Data[[#This Row],[Date of Call]],"DDDD")</f>
        <v>Saturday</v>
      </c>
      <c r="J359" s="9" t="str" cm="1">
        <f t="array" ref="J359">_xlfn.IFS(Call_Table_Data[[#This Row],[Duration]]&lt;=10,"Under 10 Mins",Call_Table_Data[[#This Row],[Duration]]&lt;=30,"10 to 30 Mins",Call_Table_Data[[#This Row],[Duration]]&lt;=60,"30 to 60 Mins",Call_Table_Data[[#This Row],[Duration]]&lt;=120,"1 to 2 Hours",TRUE,"More Than 2 Hours")</f>
        <v>More Than 2 Hours</v>
      </c>
      <c r="K359" s="9">
        <f>ROUND(Call_Table_Data[[#This Row],[Satisfaction Rating]],0)</f>
        <v>4</v>
      </c>
    </row>
    <row r="360" spans="1:11" x14ac:dyDescent="0.3">
      <c r="A360" s="9" t="s">
        <v>1986</v>
      </c>
      <c r="B360" s="9" t="s">
        <v>1682</v>
      </c>
      <c r="C360" s="9">
        <v>102</v>
      </c>
      <c r="D360" s="149" t="s">
        <v>1611</v>
      </c>
      <c r="E360" s="150">
        <v>45031</v>
      </c>
      <c r="F360" s="9">
        <v>60</v>
      </c>
      <c r="G360" s="9">
        <v>3.8</v>
      </c>
      <c r="H360" s="9">
        <f>IF(MONTH(Call_Table_Data[[#This Row],[Date of Call]])&lt;=6,YEAR(Call_Table_Data[[#This Row],[Date of Call]]),YEAR(Call_Table_Data[[#This Row],[Date of Call]])+1)</f>
        <v>2023</v>
      </c>
      <c r="I360" s="9" t="str">
        <f>TEXT(Call_Table_Data[[#This Row],[Date of Call]],"DDDD")</f>
        <v>Saturday</v>
      </c>
      <c r="J360" s="9" t="str" cm="1">
        <f t="array" ref="J360">_xlfn.IFS(Call_Table_Data[[#This Row],[Duration]]&lt;=10,"Under 10 Mins",Call_Table_Data[[#This Row],[Duration]]&lt;=30,"10 to 30 Mins",Call_Table_Data[[#This Row],[Duration]]&lt;=60,"30 to 60 Mins",Call_Table_Data[[#This Row],[Duration]]&lt;=120,"1 to 2 Hours",TRUE,"More Than 2 Hours")</f>
        <v>1 to 2 Hours</v>
      </c>
      <c r="K360" s="9">
        <f>ROUND(Call_Table_Data[[#This Row],[Satisfaction Rating]],0)</f>
        <v>4</v>
      </c>
    </row>
    <row r="361" spans="1:11" x14ac:dyDescent="0.3">
      <c r="A361" s="9" t="s">
        <v>1987</v>
      </c>
      <c r="B361" s="9" t="s">
        <v>1662</v>
      </c>
      <c r="C361" s="9">
        <v>108</v>
      </c>
      <c r="D361" s="149" t="s">
        <v>1621</v>
      </c>
      <c r="E361" s="150">
        <v>45031</v>
      </c>
      <c r="F361" s="9">
        <v>26</v>
      </c>
      <c r="G361" s="9">
        <v>3.3</v>
      </c>
      <c r="H361" s="9">
        <f>IF(MONTH(Call_Table_Data[[#This Row],[Date of Call]])&lt;=6,YEAR(Call_Table_Data[[#This Row],[Date of Call]]),YEAR(Call_Table_Data[[#This Row],[Date of Call]])+1)</f>
        <v>2023</v>
      </c>
      <c r="I361" s="9" t="str">
        <f>TEXT(Call_Table_Data[[#This Row],[Date of Call]],"DDDD")</f>
        <v>Saturday</v>
      </c>
      <c r="J361" s="9" t="str" cm="1">
        <f t="array" ref="J361">_xlfn.IFS(Call_Table_Data[[#This Row],[Duration]]&lt;=10,"Under 10 Mins",Call_Table_Data[[#This Row],[Duration]]&lt;=30,"10 to 30 Mins",Call_Table_Data[[#This Row],[Duration]]&lt;=60,"30 to 60 Mins",Call_Table_Data[[#This Row],[Duration]]&lt;=120,"1 to 2 Hours",TRUE,"More Than 2 Hours")</f>
        <v>1 to 2 Hours</v>
      </c>
      <c r="K361" s="9">
        <f>ROUND(Call_Table_Data[[#This Row],[Satisfaction Rating]],0)</f>
        <v>3</v>
      </c>
    </row>
    <row r="362" spans="1:11" x14ac:dyDescent="0.3">
      <c r="A362" s="9" t="s">
        <v>1988</v>
      </c>
      <c r="B362" s="9" t="s">
        <v>1624</v>
      </c>
      <c r="C362" s="9">
        <v>66</v>
      </c>
      <c r="D362" s="149" t="s">
        <v>1616</v>
      </c>
      <c r="E362" s="150">
        <v>45031</v>
      </c>
      <c r="F362" s="9">
        <v>210</v>
      </c>
      <c r="G362" s="9">
        <v>4.3</v>
      </c>
      <c r="H362" s="9">
        <f>IF(MONTH(Call_Table_Data[[#This Row],[Date of Call]])&lt;=6,YEAR(Call_Table_Data[[#This Row],[Date of Call]]),YEAR(Call_Table_Data[[#This Row],[Date of Call]])+1)</f>
        <v>2023</v>
      </c>
      <c r="I362" s="9" t="str">
        <f>TEXT(Call_Table_Data[[#This Row],[Date of Call]],"DDDD")</f>
        <v>Saturday</v>
      </c>
      <c r="J362" s="9" t="str" cm="1">
        <f t="array" ref="J362">_xlfn.IFS(Call_Table_Data[[#This Row],[Duration]]&lt;=10,"Under 10 Mins",Call_Table_Data[[#This Row],[Duration]]&lt;=30,"10 to 30 Mins",Call_Table_Data[[#This Row],[Duration]]&lt;=60,"30 to 60 Mins",Call_Table_Data[[#This Row],[Duration]]&lt;=120,"1 to 2 Hours",TRUE,"More Than 2 Hours")</f>
        <v>1 to 2 Hours</v>
      </c>
      <c r="K362" s="9">
        <f>ROUND(Call_Table_Data[[#This Row],[Satisfaction Rating]],0)</f>
        <v>4</v>
      </c>
    </row>
    <row r="363" spans="1:11" x14ac:dyDescent="0.3">
      <c r="A363" s="9" t="s">
        <v>1989</v>
      </c>
      <c r="B363" s="9" t="s">
        <v>1641</v>
      </c>
      <c r="C363" s="9">
        <v>85</v>
      </c>
      <c r="D363" s="149" t="s">
        <v>1611</v>
      </c>
      <c r="E363" s="150">
        <v>45031</v>
      </c>
      <c r="F363" s="9">
        <v>129</v>
      </c>
      <c r="G363" s="9">
        <v>4.2</v>
      </c>
      <c r="H363" s="9">
        <f>IF(MONTH(Call_Table_Data[[#This Row],[Date of Call]])&lt;=6,YEAR(Call_Table_Data[[#This Row],[Date of Call]]),YEAR(Call_Table_Data[[#This Row],[Date of Call]])+1)</f>
        <v>2023</v>
      </c>
      <c r="I363" s="9" t="str">
        <f>TEXT(Call_Table_Data[[#This Row],[Date of Call]],"DDDD")</f>
        <v>Saturday</v>
      </c>
      <c r="J363" s="9" t="str" cm="1">
        <f t="array" ref="J363">_xlfn.IFS(Call_Table_Data[[#This Row],[Duration]]&lt;=10,"Under 10 Mins",Call_Table_Data[[#This Row],[Duration]]&lt;=30,"10 to 30 Mins",Call_Table_Data[[#This Row],[Duration]]&lt;=60,"30 to 60 Mins",Call_Table_Data[[#This Row],[Duration]]&lt;=120,"1 to 2 Hours",TRUE,"More Than 2 Hours")</f>
        <v>1 to 2 Hours</v>
      </c>
      <c r="K363" s="9">
        <f>ROUND(Call_Table_Data[[#This Row],[Satisfaction Rating]],0)</f>
        <v>4</v>
      </c>
    </row>
    <row r="364" spans="1:11" x14ac:dyDescent="0.3">
      <c r="A364" s="9" t="s">
        <v>1990</v>
      </c>
      <c r="B364" s="9" t="s">
        <v>1644</v>
      </c>
      <c r="C364" s="9">
        <v>55</v>
      </c>
      <c r="D364" s="149" t="s">
        <v>1621</v>
      </c>
      <c r="E364" s="150">
        <v>45031</v>
      </c>
      <c r="F364" s="9">
        <v>215</v>
      </c>
      <c r="G364" s="9">
        <v>4.3</v>
      </c>
      <c r="H364" s="9">
        <f>IF(MONTH(Call_Table_Data[[#This Row],[Date of Call]])&lt;=6,YEAR(Call_Table_Data[[#This Row],[Date of Call]]),YEAR(Call_Table_Data[[#This Row],[Date of Call]])+1)</f>
        <v>2023</v>
      </c>
      <c r="I364" s="9" t="str">
        <f>TEXT(Call_Table_Data[[#This Row],[Date of Call]],"DDDD")</f>
        <v>Saturday</v>
      </c>
      <c r="J364" s="9" t="str" cm="1">
        <f t="array" ref="J364">_xlfn.IFS(Call_Table_Data[[#This Row],[Duration]]&lt;=10,"Under 10 Mins",Call_Table_Data[[#This Row],[Duration]]&lt;=30,"10 to 30 Mins",Call_Table_Data[[#This Row],[Duration]]&lt;=60,"30 to 60 Mins",Call_Table_Data[[#This Row],[Duration]]&lt;=120,"1 to 2 Hours",TRUE,"More Than 2 Hours")</f>
        <v>30 to 60 Mins</v>
      </c>
      <c r="K364" s="9">
        <f>ROUND(Call_Table_Data[[#This Row],[Satisfaction Rating]],0)</f>
        <v>4</v>
      </c>
    </row>
    <row r="365" spans="1:11" x14ac:dyDescent="0.3">
      <c r="A365" s="9" t="s">
        <v>1991</v>
      </c>
      <c r="B365" s="9" t="s">
        <v>1662</v>
      </c>
      <c r="C365" s="9">
        <v>17</v>
      </c>
      <c r="D365" s="149" t="s">
        <v>1630</v>
      </c>
      <c r="E365" s="150">
        <v>45031</v>
      </c>
      <c r="F365" s="9">
        <v>69</v>
      </c>
      <c r="G365" s="9">
        <v>4.5999999999999996</v>
      </c>
      <c r="H365" s="9">
        <f>IF(MONTH(Call_Table_Data[[#This Row],[Date of Call]])&lt;=6,YEAR(Call_Table_Data[[#This Row],[Date of Call]]),YEAR(Call_Table_Data[[#This Row],[Date of Call]])+1)</f>
        <v>2023</v>
      </c>
      <c r="I365" s="9" t="str">
        <f>TEXT(Call_Table_Data[[#This Row],[Date of Call]],"DDDD")</f>
        <v>Saturday</v>
      </c>
      <c r="J365" s="9" t="str" cm="1">
        <f t="array" ref="J365">_xlfn.IFS(Call_Table_Data[[#This Row],[Duration]]&lt;=10,"Under 10 Mins",Call_Table_Data[[#This Row],[Duration]]&lt;=30,"10 to 30 Mins",Call_Table_Data[[#This Row],[Duration]]&lt;=60,"30 to 60 Mins",Call_Table_Data[[#This Row],[Duration]]&lt;=120,"1 to 2 Hours",TRUE,"More Than 2 Hours")</f>
        <v>10 to 30 Mins</v>
      </c>
      <c r="K365" s="9">
        <f>ROUND(Call_Table_Data[[#This Row],[Satisfaction Rating]],0)</f>
        <v>5</v>
      </c>
    </row>
    <row r="366" spans="1:11" x14ac:dyDescent="0.3">
      <c r="A366" s="9" t="s">
        <v>1992</v>
      </c>
      <c r="B366" s="9" t="s">
        <v>1644</v>
      </c>
      <c r="C366" s="9">
        <v>128</v>
      </c>
      <c r="D366" s="149" t="s">
        <v>1630</v>
      </c>
      <c r="E366" s="150">
        <v>45031</v>
      </c>
      <c r="F366" s="9">
        <v>140</v>
      </c>
      <c r="G366" s="9">
        <v>3</v>
      </c>
      <c r="H366" s="9">
        <f>IF(MONTH(Call_Table_Data[[#This Row],[Date of Call]])&lt;=6,YEAR(Call_Table_Data[[#This Row],[Date of Call]]),YEAR(Call_Table_Data[[#This Row],[Date of Call]])+1)</f>
        <v>2023</v>
      </c>
      <c r="I366" s="9" t="str">
        <f>TEXT(Call_Table_Data[[#This Row],[Date of Call]],"DDDD")</f>
        <v>Saturday</v>
      </c>
      <c r="J366" s="9" t="str" cm="1">
        <f t="array" ref="J366">_xlfn.IFS(Call_Table_Data[[#This Row],[Duration]]&lt;=10,"Under 10 Mins",Call_Table_Data[[#This Row],[Duration]]&lt;=30,"10 to 30 Mins",Call_Table_Data[[#This Row],[Duration]]&lt;=60,"30 to 60 Mins",Call_Table_Data[[#This Row],[Duration]]&lt;=120,"1 to 2 Hours",TRUE,"More Than 2 Hours")</f>
        <v>More Than 2 Hours</v>
      </c>
      <c r="K366" s="9">
        <f>ROUND(Call_Table_Data[[#This Row],[Satisfaction Rating]],0)</f>
        <v>3</v>
      </c>
    </row>
    <row r="367" spans="1:11" x14ac:dyDescent="0.3">
      <c r="A367" s="9" t="s">
        <v>1993</v>
      </c>
      <c r="B367" s="9" t="s">
        <v>1649</v>
      </c>
      <c r="C367" s="9">
        <v>45</v>
      </c>
      <c r="D367" s="149" t="s">
        <v>1621</v>
      </c>
      <c r="E367" s="150">
        <v>45032</v>
      </c>
      <c r="F367" s="9">
        <v>156</v>
      </c>
      <c r="G367" s="9">
        <v>2.7</v>
      </c>
      <c r="H367" s="9">
        <f>IF(MONTH(Call_Table_Data[[#This Row],[Date of Call]])&lt;=6,YEAR(Call_Table_Data[[#This Row],[Date of Call]]),YEAR(Call_Table_Data[[#This Row],[Date of Call]])+1)</f>
        <v>2023</v>
      </c>
      <c r="I367" s="9" t="str">
        <f>TEXT(Call_Table_Data[[#This Row],[Date of Call]],"DDDD")</f>
        <v>Sunday</v>
      </c>
      <c r="J367" s="9" t="str" cm="1">
        <f t="array" ref="J367">_xlfn.IFS(Call_Table_Data[[#This Row],[Duration]]&lt;=10,"Under 10 Mins",Call_Table_Data[[#This Row],[Duration]]&lt;=30,"10 to 30 Mins",Call_Table_Data[[#This Row],[Duration]]&lt;=60,"30 to 60 Mins",Call_Table_Data[[#This Row],[Duration]]&lt;=120,"1 to 2 Hours",TRUE,"More Than 2 Hours")</f>
        <v>30 to 60 Mins</v>
      </c>
      <c r="K367" s="9">
        <f>ROUND(Call_Table_Data[[#This Row],[Satisfaction Rating]],0)</f>
        <v>3</v>
      </c>
    </row>
    <row r="368" spans="1:11" x14ac:dyDescent="0.3">
      <c r="A368" s="9" t="s">
        <v>1994</v>
      </c>
      <c r="B368" s="9" t="s">
        <v>1662</v>
      </c>
      <c r="C368" s="9">
        <v>41</v>
      </c>
      <c r="D368" s="149" t="s">
        <v>1630</v>
      </c>
      <c r="E368" s="150">
        <v>45032</v>
      </c>
      <c r="F368" s="9">
        <v>164</v>
      </c>
      <c r="G368" s="9">
        <v>3.1</v>
      </c>
      <c r="H368" s="9">
        <f>IF(MONTH(Call_Table_Data[[#This Row],[Date of Call]])&lt;=6,YEAR(Call_Table_Data[[#This Row],[Date of Call]]),YEAR(Call_Table_Data[[#This Row],[Date of Call]])+1)</f>
        <v>2023</v>
      </c>
      <c r="I368" s="9" t="str">
        <f>TEXT(Call_Table_Data[[#This Row],[Date of Call]],"DDDD")</f>
        <v>Sunday</v>
      </c>
      <c r="J368" s="9" t="str" cm="1">
        <f t="array" ref="J368">_xlfn.IFS(Call_Table_Data[[#This Row],[Duration]]&lt;=10,"Under 10 Mins",Call_Table_Data[[#This Row],[Duration]]&lt;=30,"10 to 30 Mins",Call_Table_Data[[#This Row],[Duration]]&lt;=60,"30 to 60 Mins",Call_Table_Data[[#This Row],[Duration]]&lt;=120,"1 to 2 Hours",TRUE,"More Than 2 Hours")</f>
        <v>30 to 60 Mins</v>
      </c>
      <c r="K368" s="9">
        <f>ROUND(Call_Table_Data[[#This Row],[Satisfaction Rating]],0)</f>
        <v>3</v>
      </c>
    </row>
    <row r="369" spans="1:11" x14ac:dyDescent="0.3">
      <c r="A369" s="9" t="s">
        <v>1995</v>
      </c>
      <c r="B369" s="9" t="s">
        <v>1635</v>
      </c>
      <c r="C369" s="9">
        <v>49</v>
      </c>
      <c r="D369" s="149" t="s">
        <v>1630</v>
      </c>
      <c r="E369" s="150">
        <v>45032</v>
      </c>
      <c r="F369" s="9">
        <v>195</v>
      </c>
      <c r="G369" s="9">
        <v>2.6</v>
      </c>
      <c r="H369" s="9">
        <f>IF(MONTH(Call_Table_Data[[#This Row],[Date of Call]])&lt;=6,YEAR(Call_Table_Data[[#This Row],[Date of Call]]),YEAR(Call_Table_Data[[#This Row],[Date of Call]])+1)</f>
        <v>2023</v>
      </c>
      <c r="I369" s="9" t="str">
        <f>TEXT(Call_Table_Data[[#This Row],[Date of Call]],"DDDD")</f>
        <v>Sunday</v>
      </c>
      <c r="J369" s="9" t="str" cm="1">
        <f t="array" ref="J369">_xlfn.IFS(Call_Table_Data[[#This Row],[Duration]]&lt;=10,"Under 10 Mins",Call_Table_Data[[#This Row],[Duration]]&lt;=30,"10 to 30 Mins",Call_Table_Data[[#This Row],[Duration]]&lt;=60,"30 to 60 Mins",Call_Table_Data[[#This Row],[Duration]]&lt;=120,"1 to 2 Hours",TRUE,"More Than 2 Hours")</f>
        <v>30 to 60 Mins</v>
      </c>
      <c r="K369" s="9">
        <f>ROUND(Call_Table_Data[[#This Row],[Satisfaction Rating]],0)</f>
        <v>3</v>
      </c>
    </row>
    <row r="370" spans="1:11" x14ac:dyDescent="0.3">
      <c r="A370" s="9" t="s">
        <v>1996</v>
      </c>
      <c r="B370" s="9" t="s">
        <v>1613</v>
      </c>
      <c r="C370" s="9">
        <v>21</v>
      </c>
      <c r="D370" s="149" t="s">
        <v>1626</v>
      </c>
      <c r="E370" s="150">
        <v>45032</v>
      </c>
      <c r="F370" s="9">
        <v>74</v>
      </c>
      <c r="G370" s="9">
        <v>4.5999999999999996</v>
      </c>
      <c r="H370" s="9">
        <f>IF(MONTH(Call_Table_Data[[#This Row],[Date of Call]])&lt;=6,YEAR(Call_Table_Data[[#This Row],[Date of Call]]),YEAR(Call_Table_Data[[#This Row],[Date of Call]])+1)</f>
        <v>2023</v>
      </c>
      <c r="I370" s="9" t="str">
        <f>TEXT(Call_Table_Data[[#This Row],[Date of Call]],"DDDD")</f>
        <v>Sunday</v>
      </c>
      <c r="J370" s="9" t="str" cm="1">
        <f t="array" ref="J370">_xlfn.IFS(Call_Table_Data[[#This Row],[Duration]]&lt;=10,"Under 10 Mins",Call_Table_Data[[#This Row],[Duration]]&lt;=30,"10 to 30 Mins",Call_Table_Data[[#This Row],[Duration]]&lt;=60,"30 to 60 Mins",Call_Table_Data[[#This Row],[Duration]]&lt;=120,"1 to 2 Hours",TRUE,"More Than 2 Hours")</f>
        <v>10 to 30 Mins</v>
      </c>
      <c r="K370" s="9">
        <f>ROUND(Call_Table_Data[[#This Row],[Satisfaction Rating]],0)</f>
        <v>5</v>
      </c>
    </row>
    <row r="371" spans="1:11" x14ac:dyDescent="0.3">
      <c r="A371" s="9" t="s">
        <v>1997</v>
      </c>
      <c r="B371" s="9" t="s">
        <v>1652</v>
      </c>
      <c r="C371" s="9">
        <v>133</v>
      </c>
      <c r="D371" s="149" t="s">
        <v>1621</v>
      </c>
      <c r="E371" s="150">
        <v>45032</v>
      </c>
      <c r="F371" s="9">
        <v>100</v>
      </c>
      <c r="G371" s="9">
        <v>4</v>
      </c>
      <c r="H371" s="9">
        <f>IF(MONTH(Call_Table_Data[[#This Row],[Date of Call]])&lt;=6,YEAR(Call_Table_Data[[#This Row],[Date of Call]]),YEAR(Call_Table_Data[[#This Row],[Date of Call]])+1)</f>
        <v>2023</v>
      </c>
      <c r="I371" s="9" t="str">
        <f>TEXT(Call_Table_Data[[#This Row],[Date of Call]],"DDDD")</f>
        <v>Sunday</v>
      </c>
      <c r="J371" s="9" t="str" cm="1">
        <f t="array" ref="J371">_xlfn.IFS(Call_Table_Data[[#This Row],[Duration]]&lt;=10,"Under 10 Mins",Call_Table_Data[[#This Row],[Duration]]&lt;=30,"10 to 30 Mins",Call_Table_Data[[#This Row],[Duration]]&lt;=60,"30 to 60 Mins",Call_Table_Data[[#This Row],[Duration]]&lt;=120,"1 to 2 Hours",TRUE,"More Than 2 Hours")</f>
        <v>More Than 2 Hours</v>
      </c>
      <c r="K371" s="9">
        <f>ROUND(Call_Table_Data[[#This Row],[Satisfaction Rating]],0)</f>
        <v>4</v>
      </c>
    </row>
    <row r="372" spans="1:11" x14ac:dyDescent="0.3">
      <c r="A372" s="9" t="s">
        <v>1998</v>
      </c>
      <c r="B372" s="9" t="s">
        <v>1610</v>
      </c>
      <c r="C372" s="9">
        <v>135</v>
      </c>
      <c r="D372" s="149" t="s">
        <v>1616</v>
      </c>
      <c r="E372" s="150">
        <v>45032</v>
      </c>
      <c r="F372" s="9">
        <v>185</v>
      </c>
      <c r="G372" s="9">
        <v>4.5</v>
      </c>
      <c r="H372" s="9">
        <f>IF(MONTH(Call_Table_Data[[#This Row],[Date of Call]])&lt;=6,YEAR(Call_Table_Data[[#This Row],[Date of Call]]),YEAR(Call_Table_Data[[#This Row],[Date of Call]])+1)</f>
        <v>2023</v>
      </c>
      <c r="I372" s="9" t="str">
        <f>TEXT(Call_Table_Data[[#This Row],[Date of Call]],"DDDD")</f>
        <v>Sunday</v>
      </c>
      <c r="J372" s="9" t="str" cm="1">
        <f t="array" ref="J372">_xlfn.IFS(Call_Table_Data[[#This Row],[Duration]]&lt;=10,"Under 10 Mins",Call_Table_Data[[#This Row],[Duration]]&lt;=30,"10 to 30 Mins",Call_Table_Data[[#This Row],[Duration]]&lt;=60,"30 to 60 Mins",Call_Table_Data[[#This Row],[Duration]]&lt;=120,"1 to 2 Hours",TRUE,"More Than 2 Hours")</f>
        <v>More Than 2 Hours</v>
      </c>
      <c r="K372" s="9">
        <f>ROUND(Call_Table_Data[[#This Row],[Satisfaction Rating]],0)</f>
        <v>5</v>
      </c>
    </row>
    <row r="373" spans="1:11" x14ac:dyDescent="0.3">
      <c r="A373" s="9" t="s">
        <v>1999</v>
      </c>
      <c r="B373" s="9" t="s">
        <v>1633</v>
      </c>
      <c r="C373" s="9">
        <v>69</v>
      </c>
      <c r="D373" s="149" t="s">
        <v>1621</v>
      </c>
      <c r="E373" s="150">
        <v>45032</v>
      </c>
      <c r="F373" s="9">
        <v>130</v>
      </c>
      <c r="G373" s="9">
        <v>1.9</v>
      </c>
      <c r="H373" s="9">
        <f>IF(MONTH(Call_Table_Data[[#This Row],[Date of Call]])&lt;=6,YEAR(Call_Table_Data[[#This Row],[Date of Call]]),YEAR(Call_Table_Data[[#This Row],[Date of Call]])+1)</f>
        <v>2023</v>
      </c>
      <c r="I373" s="9" t="str">
        <f>TEXT(Call_Table_Data[[#This Row],[Date of Call]],"DDDD")</f>
        <v>Sunday</v>
      </c>
      <c r="J373" s="9" t="str" cm="1">
        <f t="array" ref="J373">_xlfn.IFS(Call_Table_Data[[#This Row],[Duration]]&lt;=10,"Under 10 Mins",Call_Table_Data[[#This Row],[Duration]]&lt;=30,"10 to 30 Mins",Call_Table_Data[[#This Row],[Duration]]&lt;=60,"30 to 60 Mins",Call_Table_Data[[#This Row],[Duration]]&lt;=120,"1 to 2 Hours",TRUE,"More Than 2 Hours")</f>
        <v>1 to 2 Hours</v>
      </c>
      <c r="K373" s="9">
        <f>ROUND(Call_Table_Data[[#This Row],[Satisfaction Rating]],0)</f>
        <v>2</v>
      </c>
    </row>
    <row r="374" spans="1:11" x14ac:dyDescent="0.3">
      <c r="A374" s="9" t="s">
        <v>2000</v>
      </c>
      <c r="B374" s="9" t="s">
        <v>1629</v>
      </c>
      <c r="C374" s="9">
        <v>110</v>
      </c>
      <c r="D374" s="149" t="s">
        <v>1626</v>
      </c>
      <c r="E374" s="150">
        <v>45033</v>
      </c>
      <c r="F374" s="9">
        <v>21</v>
      </c>
      <c r="G374" s="9">
        <v>2.6</v>
      </c>
      <c r="H374" s="9">
        <f>IF(MONTH(Call_Table_Data[[#This Row],[Date of Call]])&lt;=6,YEAR(Call_Table_Data[[#This Row],[Date of Call]]),YEAR(Call_Table_Data[[#This Row],[Date of Call]])+1)</f>
        <v>2023</v>
      </c>
      <c r="I374" s="9" t="str">
        <f>TEXT(Call_Table_Data[[#This Row],[Date of Call]],"DDDD")</f>
        <v>Monday</v>
      </c>
      <c r="J374" s="9" t="str" cm="1">
        <f t="array" ref="J374">_xlfn.IFS(Call_Table_Data[[#This Row],[Duration]]&lt;=10,"Under 10 Mins",Call_Table_Data[[#This Row],[Duration]]&lt;=30,"10 to 30 Mins",Call_Table_Data[[#This Row],[Duration]]&lt;=60,"30 to 60 Mins",Call_Table_Data[[#This Row],[Duration]]&lt;=120,"1 to 2 Hours",TRUE,"More Than 2 Hours")</f>
        <v>1 to 2 Hours</v>
      </c>
      <c r="K374" s="9">
        <f>ROUND(Call_Table_Data[[#This Row],[Satisfaction Rating]],0)</f>
        <v>3</v>
      </c>
    </row>
    <row r="375" spans="1:11" x14ac:dyDescent="0.3">
      <c r="A375" s="9" t="s">
        <v>2001</v>
      </c>
      <c r="B375" s="9" t="s">
        <v>1682</v>
      </c>
      <c r="C375" s="9">
        <v>64</v>
      </c>
      <c r="D375" s="149" t="s">
        <v>1611</v>
      </c>
      <c r="E375" s="150">
        <v>45033</v>
      </c>
      <c r="F375" s="9">
        <v>88</v>
      </c>
      <c r="G375" s="9">
        <v>4.3</v>
      </c>
      <c r="H375" s="9">
        <f>IF(MONTH(Call_Table_Data[[#This Row],[Date of Call]])&lt;=6,YEAR(Call_Table_Data[[#This Row],[Date of Call]]),YEAR(Call_Table_Data[[#This Row],[Date of Call]])+1)</f>
        <v>2023</v>
      </c>
      <c r="I375" s="9" t="str">
        <f>TEXT(Call_Table_Data[[#This Row],[Date of Call]],"DDDD")</f>
        <v>Monday</v>
      </c>
      <c r="J375" s="9" t="str" cm="1">
        <f t="array" ref="J375">_xlfn.IFS(Call_Table_Data[[#This Row],[Duration]]&lt;=10,"Under 10 Mins",Call_Table_Data[[#This Row],[Duration]]&lt;=30,"10 to 30 Mins",Call_Table_Data[[#This Row],[Duration]]&lt;=60,"30 to 60 Mins",Call_Table_Data[[#This Row],[Duration]]&lt;=120,"1 to 2 Hours",TRUE,"More Than 2 Hours")</f>
        <v>1 to 2 Hours</v>
      </c>
      <c r="K375" s="9">
        <f>ROUND(Call_Table_Data[[#This Row],[Satisfaction Rating]],0)</f>
        <v>4</v>
      </c>
    </row>
    <row r="376" spans="1:11" x14ac:dyDescent="0.3">
      <c r="A376" s="9" t="s">
        <v>2002</v>
      </c>
      <c r="B376" s="9" t="s">
        <v>1615</v>
      </c>
      <c r="C376" s="9">
        <v>105</v>
      </c>
      <c r="D376" s="149" t="s">
        <v>1630</v>
      </c>
      <c r="E376" s="150">
        <v>45033</v>
      </c>
      <c r="F376" s="9">
        <v>35</v>
      </c>
      <c r="G376" s="9">
        <v>4.4000000000000004</v>
      </c>
      <c r="H376" s="9">
        <f>IF(MONTH(Call_Table_Data[[#This Row],[Date of Call]])&lt;=6,YEAR(Call_Table_Data[[#This Row],[Date of Call]]),YEAR(Call_Table_Data[[#This Row],[Date of Call]])+1)</f>
        <v>2023</v>
      </c>
      <c r="I376" s="9" t="str">
        <f>TEXT(Call_Table_Data[[#This Row],[Date of Call]],"DDDD")</f>
        <v>Monday</v>
      </c>
      <c r="J376" s="9" t="str" cm="1">
        <f t="array" ref="J376">_xlfn.IFS(Call_Table_Data[[#This Row],[Duration]]&lt;=10,"Under 10 Mins",Call_Table_Data[[#This Row],[Duration]]&lt;=30,"10 to 30 Mins",Call_Table_Data[[#This Row],[Duration]]&lt;=60,"30 to 60 Mins",Call_Table_Data[[#This Row],[Duration]]&lt;=120,"1 to 2 Hours",TRUE,"More Than 2 Hours")</f>
        <v>1 to 2 Hours</v>
      </c>
      <c r="K376" s="9">
        <f>ROUND(Call_Table_Data[[#This Row],[Satisfaction Rating]],0)</f>
        <v>4</v>
      </c>
    </row>
    <row r="377" spans="1:11" x14ac:dyDescent="0.3">
      <c r="A377" s="9" t="s">
        <v>2003</v>
      </c>
      <c r="B377" s="9" t="s">
        <v>1682</v>
      </c>
      <c r="C377" s="9">
        <v>165</v>
      </c>
      <c r="D377" s="149" t="s">
        <v>1616</v>
      </c>
      <c r="E377" s="150">
        <v>45033</v>
      </c>
      <c r="F377" s="9">
        <v>68</v>
      </c>
      <c r="G377" s="9">
        <v>4.3</v>
      </c>
      <c r="H377" s="9">
        <f>IF(MONTH(Call_Table_Data[[#This Row],[Date of Call]])&lt;=6,YEAR(Call_Table_Data[[#This Row],[Date of Call]]),YEAR(Call_Table_Data[[#This Row],[Date of Call]])+1)</f>
        <v>2023</v>
      </c>
      <c r="I377" s="9" t="str">
        <f>TEXT(Call_Table_Data[[#This Row],[Date of Call]],"DDDD")</f>
        <v>Monday</v>
      </c>
      <c r="J377" s="9" t="str" cm="1">
        <f t="array" ref="J377">_xlfn.IFS(Call_Table_Data[[#This Row],[Duration]]&lt;=10,"Under 10 Mins",Call_Table_Data[[#This Row],[Duration]]&lt;=30,"10 to 30 Mins",Call_Table_Data[[#This Row],[Duration]]&lt;=60,"30 to 60 Mins",Call_Table_Data[[#This Row],[Duration]]&lt;=120,"1 to 2 Hours",TRUE,"More Than 2 Hours")</f>
        <v>More Than 2 Hours</v>
      </c>
      <c r="K377" s="9">
        <f>ROUND(Call_Table_Data[[#This Row],[Satisfaction Rating]],0)</f>
        <v>4</v>
      </c>
    </row>
    <row r="378" spans="1:11" x14ac:dyDescent="0.3">
      <c r="A378" s="9" t="s">
        <v>2004</v>
      </c>
      <c r="B378" s="9" t="s">
        <v>1649</v>
      </c>
      <c r="C378" s="9">
        <v>125</v>
      </c>
      <c r="D378" s="149" t="s">
        <v>1616</v>
      </c>
      <c r="E378" s="150">
        <v>45033</v>
      </c>
      <c r="F378" s="9">
        <v>148</v>
      </c>
      <c r="G378" s="9">
        <v>4.5</v>
      </c>
      <c r="H378" s="9">
        <f>IF(MONTH(Call_Table_Data[[#This Row],[Date of Call]])&lt;=6,YEAR(Call_Table_Data[[#This Row],[Date of Call]]),YEAR(Call_Table_Data[[#This Row],[Date of Call]])+1)</f>
        <v>2023</v>
      </c>
      <c r="I378" s="9" t="str">
        <f>TEXT(Call_Table_Data[[#This Row],[Date of Call]],"DDDD")</f>
        <v>Monday</v>
      </c>
      <c r="J378" s="9" t="str" cm="1">
        <f t="array" ref="J378">_xlfn.IFS(Call_Table_Data[[#This Row],[Duration]]&lt;=10,"Under 10 Mins",Call_Table_Data[[#This Row],[Duration]]&lt;=30,"10 to 30 Mins",Call_Table_Data[[#This Row],[Duration]]&lt;=60,"30 to 60 Mins",Call_Table_Data[[#This Row],[Duration]]&lt;=120,"1 to 2 Hours",TRUE,"More Than 2 Hours")</f>
        <v>More Than 2 Hours</v>
      </c>
      <c r="K378" s="9">
        <f>ROUND(Call_Table_Data[[#This Row],[Satisfaction Rating]],0)</f>
        <v>5</v>
      </c>
    </row>
    <row r="379" spans="1:11" x14ac:dyDescent="0.3">
      <c r="A379" s="9" t="s">
        <v>2005</v>
      </c>
      <c r="B379" s="9" t="s">
        <v>1615</v>
      </c>
      <c r="C379" s="9">
        <v>88</v>
      </c>
      <c r="D379" s="149" t="s">
        <v>1611</v>
      </c>
      <c r="E379" s="150">
        <v>45034</v>
      </c>
      <c r="F379" s="9">
        <v>81</v>
      </c>
      <c r="G379" s="9">
        <v>4.2</v>
      </c>
      <c r="H379" s="9">
        <f>IF(MONTH(Call_Table_Data[[#This Row],[Date of Call]])&lt;=6,YEAR(Call_Table_Data[[#This Row],[Date of Call]]),YEAR(Call_Table_Data[[#This Row],[Date of Call]])+1)</f>
        <v>2023</v>
      </c>
      <c r="I379" s="9" t="str">
        <f>TEXT(Call_Table_Data[[#This Row],[Date of Call]],"DDDD")</f>
        <v>Tuesday</v>
      </c>
      <c r="J379" s="9" t="str" cm="1">
        <f t="array" ref="J379">_xlfn.IFS(Call_Table_Data[[#This Row],[Duration]]&lt;=10,"Under 10 Mins",Call_Table_Data[[#This Row],[Duration]]&lt;=30,"10 to 30 Mins",Call_Table_Data[[#This Row],[Duration]]&lt;=60,"30 to 60 Mins",Call_Table_Data[[#This Row],[Duration]]&lt;=120,"1 to 2 Hours",TRUE,"More Than 2 Hours")</f>
        <v>1 to 2 Hours</v>
      </c>
      <c r="K379" s="9">
        <f>ROUND(Call_Table_Data[[#This Row],[Satisfaction Rating]],0)</f>
        <v>4</v>
      </c>
    </row>
    <row r="380" spans="1:11" x14ac:dyDescent="0.3">
      <c r="A380" s="9" t="s">
        <v>2006</v>
      </c>
      <c r="B380" s="9" t="s">
        <v>1633</v>
      </c>
      <c r="C380" s="9">
        <v>6</v>
      </c>
      <c r="D380" s="149" t="s">
        <v>1611</v>
      </c>
      <c r="E380" s="150">
        <v>45034</v>
      </c>
      <c r="F380" s="9">
        <v>75</v>
      </c>
      <c r="G380" s="9">
        <v>3.9</v>
      </c>
      <c r="H380" s="9">
        <f>IF(MONTH(Call_Table_Data[[#This Row],[Date of Call]])&lt;=6,YEAR(Call_Table_Data[[#This Row],[Date of Call]]),YEAR(Call_Table_Data[[#This Row],[Date of Call]])+1)</f>
        <v>2023</v>
      </c>
      <c r="I380" s="9" t="str">
        <f>TEXT(Call_Table_Data[[#This Row],[Date of Call]],"DDDD")</f>
        <v>Tuesday</v>
      </c>
      <c r="J380" s="9" t="str" cm="1">
        <f t="array" ref="J380">_xlfn.IFS(Call_Table_Data[[#This Row],[Duration]]&lt;=10,"Under 10 Mins",Call_Table_Data[[#This Row],[Duration]]&lt;=30,"10 to 30 Mins",Call_Table_Data[[#This Row],[Duration]]&lt;=60,"30 to 60 Mins",Call_Table_Data[[#This Row],[Duration]]&lt;=120,"1 to 2 Hours",TRUE,"More Than 2 Hours")</f>
        <v>Under 10 Mins</v>
      </c>
      <c r="K380" s="9">
        <f>ROUND(Call_Table_Data[[#This Row],[Satisfaction Rating]],0)</f>
        <v>4</v>
      </c>
    </row>
    <row r="381" spans="1:11" x14ac:dyDescent="0.3">
      <c r="A381" s="9" t="s">
        <v>2007</v>
      </c>
      <c r="B381" s="9" t="s">
        <v>1641</v>
      </c>
      <c r="C381" s="9">
        <v>69</v>
      </c>
      <c r="D381" s="149" t="s">
        <v>1621</v>
      </c>
      <c r="E381" s="150">
        <v>45035</v>
      </c>
      <c r="F381" s="9">
        <v>32</v>
      </c>
      <c r="G381" s="9">
        <v>3.6</v>
      </c>
      <c r="H381" s="9">
        <f>IF(MONTH(Call_Table_Data[[#This Row],[Date of Call]])&lt;=6,YEAR(Call_Table_Data[[#This Row],[Date of Call]]),YEAR(Call_Table_Data[[#This Row],[Date of Call]])+1)</f>
        <v>2023</v>
      </c>
      <c r="I381" s="9" t="str">
        <f>TEXT(Call_Table_Data[[#This Row],[Date of Call]],"DDDD")</f>
        <v>Wednesday</v>
      </c>
      <c r="J381" s="9" t="str" cm="1">
        <f t="array" ref="J381">_xlfn.IFS(Call_Table_Data[[#This Row],[Duration]]&lt;=10,"Under 10 Mins",Call_Table_Data[[#This Row],[Duration]]&lt;=30,"10 to 30 Mins",Call_Table_Data[[#This Row],[Duration]]&lt;=60,"30 to 60 Mins",Call_Table_Data[[#This Row],[Duration]]&lt;=120,"1 to 2 Hours",TRUE,"More Than 2 Hours")</f>
        <v>1 to 2 Hours</v>
      </c>
      <c r="K381" s="9">
        <f>ROUND(Call_Table_Data[[#This Row],[Satisfaction Rating]],0)</f>
        <v>4</v>
      </c>
    </row>
    <row r="382" spans="1:11" x14ac:dyDescent="0.3">
      <c r="A382" s="9" t="s">
        <v>2008</v>
      </c>
      <c r="B382" s="9" t="s">
        <v>1662</v>
      </c>
      <c r="C382" s="9">
        <v>107</v>
      </c>
      <c r="D382" s="149" t="s">
        <v>1621</v>
      </c>
      <c r="E382" s="150">
        <v>45035</v>
      </c>
      <c r="F382" s="9">
        <v>156</v>
      </c>
      <c r="G382" s="9">
        <v>3.8</v>
      </c>
      <c r="H382" s="9">
        <f>IF(MONTH(Call_Table_Data[[#This Row],[Date of Call]])&lt;=6,YEAR(Call_Table_Data[[#This Row],[Date of Call]]),YEAR(Call_Table_Data[[#This Row],[Date of Call]])+1)</f>
        <v>2023</v>
      </c>
      <c r="I382" s="9" t="str">
        <f>TEXT(Call_Table_Data[[#This Row],[Date of Call]],"DDDD")</f>
        <v>Wednesday</v>
      </c>
      <c r="J382" s="9" t="str" cm="1">
        <f t="array" ref="J382">_xlfn.IFS(Call_Table_Data[[#This Row],[Duration]]&lt;=10,"Under 10 Mins",Call_Table_Data[[#This Row],[Duration]]&lt;=30,"10 to 30 Mins",Call_Table_Data[[#This Row],[Duration]]&lt;=60,"30 to 60 Mins",Call_Table_Data[[#This Row],[Duration]]&lt;=120,"1 to 2 Hours",TRUE,"More Than 2 Hours")</f>
        <v>1 to 2 Hours</v>
      </c>
      <c r="K382" s="9">
        <f>ROUND(Call_Table_Data[[#This Row],[Satisfaction Rating]],0)</f>
        <v>4</v>
      </c>
    </row>
    <row r="383" spans="1:11" x14ac:dyDescent="0.3">
      <c r="A383" s="9" t="s">
        <v>2009</v>
      </c>
      <c r="B383" s="9" t="s">
        <v>1613</v>
      </c>
      <c r="C383" s="9">
        <v>90</v>
      </c>
      <c r="D383" s="149" t="s">
        <v>1616</v>
      </c>
      <c r="E383" s="150">
        <v>45035</v>
      </c>
      <c r="F383" s="9">
        <v>99</v>
      </c>
      <c r="G383" s="9">
        <v>4.9000000000000004</v>
      </c>
      <c r="H383" s="9">
        <f>IF(MONTH(Call_Table_Data[[#This Row],[Date of Call]])&lt;=6,YEAR(Call_Table_Data[[#This Row],[Date of Call]]),YEAR(Call_Table_Data[[#This Row],[Date of Call]])+1)</f>
        <v>2023</v>
      </c>
      <c r="I383" s="9" t="str">
        <f>TEXT(Call_Table_Data[[#This Row],[Date of Call]],"DDDD")</f>
        <v>Wednesday</v>
      </c>
      <c r="J383" s="9" t="str" cm="1">
        <f t="array" ref="J383">_xlfn.IFS(Call_Table_Data[[#This Row],[Duration]]&lt;=10,"Under 10 Mins",Call_Table_Data[[#This Row],[Duration]]&lt;=30,"10 to 30 Mins",Call_Table_Data[[#This Row],[Duration]]&lt;=60,"30 to 60 Mins",Call_Table_Data[[#This Row],[Duration]]&lt;=120,"1 to 2 Hours",TRUE,"More Than 2 Hours")</f>
        <v>1 to 2 Hours</v>
      </c>
      <c r="K383" s="9">
        <f>ROUND(Call_Table_Data[[#This Row],[Satisfaction Rating]],0)</f>
        <v>5</v>
      </c>
    </row>
    <row r="384" spans="1:11" x14ac:dyDescent="0.3">
      <c r="A384" s="9" t="s">
        <v>2010</v>
      </c>
      <c r="B384" s="9" t="s">
        <v>1610</v>
      </c>
      <c r="C384" s="9">
        <v>120</v>
      </c>
      <c r="D384" s="149" t="s">
        <v>1630</v>
      </c>
      <c r="E384" s="150">
        <v>45035</v>
      </c>
      <c r="F384" s="9">
        <v>26</v>
      </c>
      <c r="G384" s="9">
        <v>4</v>
      </c>
      <c r="H384" s="9">
        <f>IF(MONTH(Call_Table_Data[[#This Row],[Date of Call]])&lt;=6,YEAR(Call_Table_Data[[#This Row],[Date of Call]]),YEAR(Call_Table_Data[[#This Row],[Date of Call]])+1)</f>
        <v>2023</v>
      </c>
      <c r="I384" s="9" t="str">
        <f>TEXT(Call_Table_Data[[#This Row],[Date of Call]],"DDDD")</f>
        <v>Wednesday</v>
      </c>
      <c r="J384" s="9" t="str" cm="1">
        <f t="array" ref="J384">_xlfn.IFS(Call_Table_Data[[#This Row],[Duration]]&lt;=10,"Under 10 Mins",Call_Table_Data[[#This Row],[Duration]]&lt;=30,"10 to 30 Mins",Call_Table_Data[[#This Row],[Duration]]&lt;=60,"30 to 60 Mins",Call_Table_Data[[#This Row],[Duration]]&lt;=120,"1 to 2 Hours",TRUE,"More Than 2 Hours")</f>
        <v>1 to 2 Hours</v>
      </c>
      <c r="K384" s="9">
        <f>ROUND(Call_Table_Data[[#This Row],[Satisfaction Rating]],0)</f>
        <v>4</v>
      </c>
    </row>
    <row r="385" spans="1:11" x14ac:dyDescent="0.3">
      <c r="A385" s="9" t="s">
        <v>2011</v>
      </c>
      <c r="B385" s="9" t="s">
        <v>1620</v>
      </c>
      <c r="C385" s="9">
        <v>47</v>
      </c>
      <c r="D385" s="149" t="s">
        <v>1621</v>
      </c>
      <c r="E385" s="150">
        <v>45035</v>
      </c>
      <c r="F385" s="9">
        <v>84</v>
      </c>
      <c r="G385" s="9">
        <v>4.0999999999999996</v>
      </c>
      <c r="H385" s="9">
        <f>IF(MONTH(Call_Table_Data[[#This Row],[Date of Call]])&lt;=6,YEAR(Call_Table_Data[[#This Row],[Date of Call]]),YEAR(Call_Table_Data[[#This Row],[Date of Call]])+1)</f>
        <v>2023</v>
      </c>
      <c r="I385" s="9" t="str">
        <f>TEXT(Call_Table_Data[[#This Row],[Date of Call]],"DDDD")</f>
        <v>Wednesday</v>
      </c>
      <c r="J385" s="9" t="str" cm="1">
        <f t="array" ref="J385">_xlfn.IFS(Call_Table_Data[[#This Row],[Duration]]&lt;=10,"Under 10 Mins",Call_Table_Data[[#This Row],[Duration]]&lt;=30,"10 to 30 Mins",Call_Table_Data[[#This Row],[Duration]]&lt;=60,"30 to 60 Mins",Call_Table_Data[[#This Row],[Duration]]&lt;=120,"1 to 2 Hours",TRUE,"More Than 2 Hours")</f>
        <v>30 to 60 Mins</v>
      </c>
      <c r="K385" s="9">
        <f>ROUND(Call_Table_Data[[#This Row],[Satisfaction Rating]],0)</f>
        <v>4</v>
      </c>
    </row>
    <row r="386" spans="1:11" x14ac:dyDescent="0.3">
      <c r="A386" s="9" t="s">
        <v>2012</v>
      </c>
      <c r="B386" s="9" t="s">
        <v>1618</v>
      </c>
      <c r="C386" s="9">
        <v>60</v>
      </c>
      <c r="D386" s="149" t="s">
        <v>1630</v>
      </c>
      <c r="E386" s="150">
        <v>45035</v>
      </c>
      <c r="F386" s="9">
        <v>84</v>
      </c>
      <c r="G386" s="9">
        <v>4.8</v>
      </c>
      <c r="H386" s="9">
        <f>IF(MONTH(Call_Table_Data[[#This Row],[Date of Call]])&lt;=6,YEAR(Call_Table_Data[[#This Row],[Date of Call]]),YEAR(Call_Table_Data[[#This Row],[Date of Call]])+1)</f>
        <v>2023</v>
      </c>
      <c r="I386" s="9" t="str">
        <f>TEXT(Call_Table_Data[[#This Row],[Date of Call]],"DDDD")</f>
        <v>Wednesday</v>
      </c>
      <c r="J386" s="9" t="str" cm="1">
        <f t="array" ref="J386">_xlfn.IFS(Call_Table_Data[[#This Row],[Duration]]&lt;=10,"Under 10 Mins",Call_Table_Data[[#This Row],[Duration]]&lt;=30,"10 to 30 Mins",Call_Table_Data[[#This Row],[Duration]]&lt;=60,"30 to 60 Mins",Call_Table_Data[[#This Row],[Duration]]&lt;=120,"1 to 2 Hours",TRUE,"More Than 2 Hours")</f>
        <v>30 to 60 Mins</v>
      </c>
      <c r="K386" s="9">
        <f>ROUND(Call_Table_Data[[#This Row],[Satisfaction Rating]],0)</f>
        <v>5</v>
      </c>
    </row>
    <row r="387" spans="1:11" x14ac:dyDescent="0.3">
      <c r="A387" s="9" t="s">
        <v>2013</v>
      </c>
      <c r="B387" s="9" t="s">
        <v>1644</v>
      </c>
      <c r="C387" s="9">
        <v>64</v>
      </c>
      <c r="D387" s="149" t="s">
        <v>1616</v>
      </c>
      <c r="E387" s="150">
        <v>45035</v>
      </c>
      <c r="F387" s="9">
        <v>170</v>
      </c>
      <c r="G387" s="9">
        <v>2.2999999999999998</v>
      </c>
      <c r="H387" s="9">
        <f>IF(MONTH(Call_Table_Data[[#This Row],[Date of Call]])&lt;=6,YEAR(Call_Table_Data[[#This Row],[Date of Call]]),YEAR(Call_Table_Data[[#This Row],[Date of Call]])+1)</f>
        <v>2023</v>
      </c>
      <c r="I387" s="9" t="str">
        <f>TEXT(Call_Table_Data[[#This Row],[Date of Call]],"DDDD")</f>
        <v>Wednesday</v>
      </c>
      <c r="J387" s="9" t="str" cm="1">
        <f t="array" ref="J387">_xlfn.IFS(Call_Table_Data[[#This Row],[Duration]]&lt;=10,"Under 10 Mins",Call_Table_Data[[#This Row],[Duration]]&lt;=30,"10 to 30 Mins",Call_Table_Data[[#This Row],[Duration]]&lt;=60,"30 to 60 Mins",Call_Table_Data[[#This Row],[Duration]]&lt;=120,"1 to 2 Hours",TRUE,"More Than 2 Hours")</f>
        <v>1 to 2 Hours</v>
      </c>
      <c r="K387" s="9">
        <f>ROUND(Call_Table_Data[[#This Row],[Satisfaction Rating]],0)</f>
        <v>2</v>
      </c>
    </row>
    <row r="388" spans="1:11" x14ac:dyDescent="0.3">
      <c r="A388" s="9" t="s">
        <v>2014</v>
      </c>
      <c r="B388" s="9" t="s">
        <v>1682</v>
      </c>
      <c r="C388" s="9">
        <v>62</v>
      </c>
      <c r="D388" s="149" t="s">
        <v>1621</v>
      </c>
      <c r="E388" s="150">
        <v>45035</v>
      </c>
      <c r="F388" s="9">
        <v>35</v>
      </c>
      <c r="G388" s="9">
        <v>4.4000000000000004</v>
      </c>
      <c r="H388" s="9">
        <f>IF(MONTH(Call_Table_Data[[#This Row],[Date of Call]])&lt;=6,YEAR(Call_Table_Data[[#This Row],[Date of Call]]),YEAR(Call_Table_Data[[#This Row],[Date of Call]])+1)</f>
        <v>2023</v>
      </c>
      <c r="I388" s="9" t="str">
        <f>TEXT(Call_Table_Data[[#This Row],[Date of Call]],"DDDD")</f>
        <v>Wednesday</v>
      </c>
      <c r="J388" s="9" t="str" cm="1">
        <f t="array" ref="J388">_xlfn.IFS(Call_Table_Data[[#This Row],[Duration]]&lt;=10,"Under 10 Mins",Call_Table_Data[[#This Row],[Duration]]&lt;=30,"10 to 30 Mins",Call_Table_Data[[#This Row],[Duration]]&lt;=60,"30 to 60 Mins",Call_Table_Data[[#This Row],[Duration]]&lt;=120,"1 to 2 Hours",TRUE,"More Than 2 Hours")</f>
        <v>1 to 2 Hours</v>
      </c>
      <c r="K388" s="9">
        <f>ROUND(Call_Table_Data[[#This Row],[Satisfaction Rating]],0)</f>
        <v>4</v>
      </c>
    </row>
    <row r="389" spans="1:11" x14ac:dyDescent="0.3">
      <c r="A389" s="9" t="s">
        <v>2015</v>
      </c>
      <c r="B389" s="9" t="s">
        <v>1629</v>
      </c>
      <c r="C389" s="9">
        <v>88</v>
      </c>
      <c r="D389" s="149" t="s">
        <v>1621</v>
      </c>
      <c r="E389" s="150">
        <v>45036</v>
      </c>
      <c r="F389" s="9">
        <v>35</v>
      </c>
      <c r="G389" s="9">
        <v>3.8</v>
      </c>
      <c r="H389" s="9">
        <f>IF(MONTH(Call_Table_Data[[#This Row],[Date of Call]])&lt;=6,YEAR(Call_Table_Data[[#This Row],[Date of Call]]),YEAR(Call_Table_Data[[#This Row],[Date of Call]])+1)</f>
        <v>2023</v>
      </c>
      <c r="I389" s="9" t="str">
        <f>TEXT(Call_Table_Data[[#This Row],[Date of Call]],"DDDD")</f>
        <v>Thursday</v>
      </c>
      <c r="J389" s="9" t="str" cm="1">
        <f t="array" ref="J389">_xlfn.IFS(Call_Table_Data[[#This Row],[Duration]]&lt;=10,"Under 10 Mins",Call_Table_Data[[#This Row],[Duration]]&lt;=30,"10 to 30 Mins",Call_Table_Data[[#This Row],[Duration]]&lt;=60,"30 to 60 Mins",Call_Table_Data[[#This Row],[Duration]]&lt;=120,"1 to 2 Hours",TRUE,"More Than 2 Hours")</f>
        <v>1 to 2 Hours</v>
      </c>
      <c r="K389" s="9">
        <f>ROUND(Call_Table_Data[[#This Row],[Satisfaction Rating]],0)</f>
        <v>4</v>
      </c>
    </row>
    <row r="390" spans="1:11" x14ac:dyDescent="0.3">
      <c r="A390" s="9" t="s">
        <v>2016</v>
      </c>
      <c r="B390" s="9" t="s">
        <v>1649</v>
      </c>
      <c r="C390" s="9">
        <v>116</v>
      </c>
      <c r="D390" s="149" t="s">
        <v>1621</v>
      </c>
      <c r="E390" s="150">
        <v>45036</v>
      </c>
      <c r="F390" s="9">
        <v>132</v>
      </c>
      <c r="G390" s="9">
        <v>5</v>
      </c>
      <c r="H390" s="9">
        <f>IF(MONTH(Call_Table_Data[[#This Row],[Date of Call]])&lt;=6,YEAR(Call_Table_Data[[#This Row],[Date of Call]]),YEAR(Call_Table_Data[[#This Row],[Date of Call]])+1)</f>
        <v>2023</v>
      </c>
      <c r="I390" s="9" t="str">
        <f>TEXT(Call_Table_Data[[#This Row],[Date of Call]],"DDDD")</f>
        <v>Thursday</v>
      </c>
      <c r="J390" s="9" t="str" cm="1">
        <f t="array" ref="J390">_xlfn.IFS(Call_Table_Data[[#This Row],[Duration]]&lt;=10,"Under 10 Mins",Call_Table_Data[[#This Row],[Duration]]&lt;=30,"10 to 30 Mins",Call_Table_Data[[#This Row],[Duration]]&lt;=60,"30 to 60 Mins",Call_Table_Data[[#This Row],[Duration]]&lt;=120,"1 to 2 Hours",TRUE,"More Than 2 Hours")</f>
        <v>1 to 2 Hours</v>
      </c>
      <c r="K390" s="9">
        <f>ROUND(Call_Table_Data[[#This Row],[Satisfaction Rating]],0)</f>
        <v>5</v>
      </c>
    </row>
    <row r="391" spans="1:11" x14ac:dyDescent="0.3">
      <c r="A391" s="9" t="s">
        <v>2017</v>
      </c>
      <c r="B391" s="9" t="s">
        <v>1613</v>
      </c>
      <c r="C391" s="9">
        <v>82</v>
      </c>
      <c r="D391" s="149" t="s">
        <v>1611</v>
      </c>
      <c r="E391" s="150">
        <v>45037</v>
      </c>
      <c r="F391" s="9">
        <v>144</v>
      </c>
      <c r="G391" s="9">
        <v>3.3</v>
      </c>
      <c r="H391" s="9">
        <f>IF(MONTH(Call_Table_Data[[#This Row],[Date of Call]])&lt;=6,YEAR(Call_Table_Data[[#This Row],[Date of Call]]),YEAR(Call_Table_Data[[#This Row],[Date of Call]])+1)</f>
        <v>2023</v>
      </c>
      <c r="I391" s="9" t="str">
        <f>TEXT(Call_Table_Data[[#This Row],[Date of Call]],"DDDD")</f>
        <v>Friday</v>
      </c>
      <c r="J391" s="9" t="str" cm="1">
        <f t="array" ref="J391">_xlfn.IFS(Call_Table_Data[[#This Row],[Duration]]&lt;=10,"Under 10 Mins",Call_Table_Data[[#This Row],[Duration]]&lt;=30,"10 to 30 Mins",Call_Table_Data[[#This Row],[Duration]]&lt;=60,"30 to 60 Mins",Call_Table_Data[[#This Row],[Duration]]&lt;=120,"1 to 2 Hours",TRUE,"More Than 2 Hours")</f>
        <v>1 to 2 Hours</v>
      </c>
      <c r="K391" s="9">
        <f>ROUND(Call_Table_Data[[#This Row],[Satisfaction Rating]],0)</f>
        <v>3</v>
      </c>
    </row>
    <row r="392" spans="1:11" x14ac:dyDescent="0.3">
      <c r="A392" s="9" t="s">
        <v>2018</v>
      </c>
      <c r="B392" s="9" t="s">
        <v>1682</v>
      </c>
      <c r="C392" s="9">
        <v>99</v>
      </c>
      <c r="D392" s="149" t="s">
        <v>1616</v>
      </c>
      <c r="E392" s="150">
        <v>45037</v>
      </c>
      <c r="F392" s="9">
        <v>48</v>
      </c>
      <c r="G392" s="9">
        <v>5</v>
      </c>
      <c r="H392" s="9">
        <f>IF(MONTH(Call_Table_Data[[#This Row],[Date of Call]])&lt;=6,YEAR(Call_Table_Data[[#This Row],[Date of Call]]),YEAR(Call_Table_Data[[#This Row],[Date of Call]])+1)</f>
        <v>2023</v>
      </c>
      <c r="I392" s="9" t="str">
        <f>TEXT(Call_Table_Data[[#This Row],[Date of Call]],"DDDD")</f>
        <v>Friday</v>
      </c>
      <c r="J392" s="9" t="str" cm="1">
        <f t="array" ref="J392">_xlfn.IFS(Call_Table_Data[[#This Row],[Duration]]&lt;=10,"Under 10 Mins",Call_Table_Data[[#This Row],[Duration]]&lt;=30,"10 to 30 Mins",Call_Table_Data[[#This Row],[Duration]]&lt;=60,"30 to 60 Mins",Call_Table_Data[[#This Row],[Duration]]&lt;=120,"1 to 2 Hours",TRUE,"More Than 2 Hours")</f>
        <v>1 to 2 Hours</v>
      </c>
      <c r="K392" s="9">
        <f>ROUND(Call_Table_Data[[#This Row],[Satisfaction Rating]],0)</f>
        <v>5</v>
      </c>
    </row>
    <row r="393" spans="1:11" x14ac:dyDescent="0.3">
      <c r="A393" s="9" t="s">
        <v>2019</v>
      </c>
      <c r="B393" s="9" t="s">
        <v>1682</v>
      </c>
      <c r="C393" s="9">
        <v>55</v>
      </c>
      <c r="D393" s="149" t="s">
        <v>1611</v>
      </c>
      <c r="E393" s="150">
        <v>45037</v>
      </c>
      <c r="F393" s="9">
        <v>200</v>
      </c>
      <c r="G393" s="9">
        <v>2.2999999999999998</v>
      </c>
      <c r="H393" s="9">
        <f>IF(MONTH(Call_Table_Data[[#This Row],[Date of Call]])&lt;=6,YEAR(Call_Table_Data[[#This Row],[Date of Call]]),YEAR(Call_Table_Data[[#This Row],[Date of Call]])+1)</f>
        <v>2023</v>
      </c>
      <c r="I393" s="9" t="str">
        <f>TEXT(Call_Table_Data[[#This Row],[Date of Call]],"DDDD")</f>
        <v>Friday</v>
      </c>
      <c r="J393" s="9" t="str" cm="1">
        <f t="array" ref="J393">_xlfn.IFS(Call_Table_Data[[#This Row],[Duration]]&lt;=10,"Under 10 Mins",Call_Table_Data[[#This Row],[Duration]]&lt;=30,"10 to 30 Mins",Call_Table_Data[[#This Row],[Duration]]&lt;=60,"30 to 60 Mins",Call_Table_Data[[#This Row],[Duration]]&lt;=120,"1 to 2 Hours",TRUE,"More Than 2 Hours")</f>
        <v>30 to 60 Mins</v>
      </c>
      <c r="K393" s="9">
        <f>ROUND(Call_Table_Data[[#This Row],[Satisfaction Rating]],0)</f>
        <v>2</v>
      </c>
    </row>
    <row r="394" spans="1:11" x14ac:dyDescent="0.3">
      <c r="A394" s="9" t="s">
        <v>2020</v>
      </c>
      <c r="B394" s="9" t="s">
        <v>1644</v>
      </c>
      <c r="C394" s="9">
        <v>61</v>
      </c>
      <c r="D394" s="149" t="s">
        <v>1630</v>
      </c>
      <c r="E394" s="150">
        <v>45037</v>
      </c>
      <c r="F394" s="9">
        <v>38</v>
      </c>
      <c r="G394" s="9">
        <v>4.8</v>
      </c>
      <c r="H394" s="9">
        <f>IF(MONTH(Call_Table_Data[[#This Row],[Date of Call]])&lt;=6,YEAR(Call_Table_Data[[#This Row],[Date of Call]]),YEAR(Call_Table_Data[[#This Row],[Date of Call]])+1)</f>
        <v>2023</v>
      </c>
      <c r="I394" s="9" t="str">
        <f>TEXT(Call_Table_Data[[#This Row],[Date of Call]],"DDDD")</f>
        <v>Friday</v>
      </c>
      <c r="J394" s="9" t="str" cm="1">
        <f t="array" ref="J394">_xlfn.IFS(Call_Table_Data[[#This Row],[Duration]]&lt;=10,"Under 10 Mins",Call_Table_Data[[#This Row],[Duration]]&lt;=30,"10 to 30 Mins",Call_Table_Data[[#This Row],[Duration]]&lt;=60,"30 to 60 Mins",Call_Table_Data[[#This Row],[Duration]]&lt;=120,"1 to 2 Hours",TRUE,"More Than 2 Hours")</f>
        <v>1 to 2 Hours</v>
      </c>
      <c r="K394" s="9">
        <f>ROUND(Call_Table_Data[[#This Row],[Satisfaction Rating]],0)</f>
        <v>5</v>
      </c>
    </row>
    <row r="395" spans="1:11" x14ac:dyDescent="0.3">
      <c r="A395" s="9" t="s">
        <v>2021</v>
      </c>
      <c r="B395" s="9" t="s">
        <v>1649</v>
      </c>
      <c r="C395" s="9">
        <v>36</v>
      </c>
      <c r="D395" s="149" t="s">
        <v>1626</v>
      </c>
      <c r="E395" s="150">
        <v>45037</v>
      </c>
      <c r="F395" s="9">
        <v>81</v>
      </c>
      <c r="G395" s="9">
        <v>3.7</v>
      </c>
      <c r="H395" s="9">
        <f>IF(MONTH(Call_Table_Data[[#This Row],[Date of Call]])&lt;=6,YEAR(Call_Table_Data[[#This Row],[Date of Call]]),YEAR(Call_Table_Data[[#This Row],[Date of Call]])+1)</f>
        <v>2023</v>
      </c>
      <c r="I395" s="9" t="str">
        <f>TEXT(Call_Table_Data[[#This Row],[Date of Call]],"DDDD")</f>
        <v>Friday</v>
      </c>
      <c r="J395" s="9" t="str" cm="1">
        <f t="array" ref="J395">_xlfn.IFS(Call_Table_Data[[#This Row],[Duration]]&lt;=10,"Under 10 Mins",Call_Table_Data[[#This Row],[Duration]]&lt;=30,"10 to 30 Mins",Call_Table_Data[[#This Row],[Duration]]&lt;=60,"30 to 60 Mins",Call_Table_Data[[#This Row],[Duration]]&lt;=120,"1 to 2 Hours",TRUE,"More Than 2 Hours")</f>
        <v>30 to 60 Mins</v>
      </c>
      <c r="K395" s="9">
        <f>ROUND(Call_Table_Data[[#This Row],[Satisfaction Rating]],0)</f>
        <v>4</v>
      </c>
    </row>
    <row r="396" spans="1:11" x14ac:dyDescent="0.3">
      <c r="A396" s="9" t="s">
        <v>2022</v>
      </c>
      <c r="B396" s="9" t="s">
        <v>1613</v>
      </c>
      <c r="C396" s="9">
        <v>123</v>
      </c>
      <c r="D396" s="149" t="s">
        <v>1621</v>
      </c>
      <c r="E396" s="150">
        <v>45037</v>
      </c>
      <c r="F396" s="9">
        <v>120</v>
      </c>
      <c r="G396" s="9">
        <v>4.2</v>
      </c>
      <c r="H396" s="9">
        <f>IF(MONTH(Call_Table_Data[[#This Row],[Date of Call]])&lt;=6,YEAR(Call_Table_Data[[#This Row],[Date of Call]]),YEAR(Call_Table_Data[[#This Row],[Date of Call]])+1)</f>
        <v>2023</v>
      </c>
      <c r="I396" s="9" t="str">
        <f>TEXT(Call_Table_Data[[#This Row],[Date of Call]],"DDDD")</f>
        <v>Friday</v>
      </c>
      <c r="J396" s="9" t="str" cm="1">
        <f t="array" ref="J396">_xlfn.IFS(Call_Table_Data[[#This Row],[Duration]]&lt;=10,"Under 10 Mins",Call_Table_Data[[#This Row],[Duration]]&lt;=30,"10 to 30 Mins",Call_Table_Data[[#This Row],[Duration]]&lt;=60,"30 to 60 Mins",Call_Table_Data[[#This Row],[Duration]]&lt;=120,"1 to 2 Hours",TRUE,"More Than 2 Hours")</f>
        <v>More Than 2 Hours</v>
      </c>
      <c r="K396" s="9">
        <f>ROUND(Call_Table_Data[[#This Row],[Satisfaction Rating]],0)</f>
        <v>4</v>
      </c>
    </row>
    <row r="397" spans="1:11" x14ac:dyDescent="0.3">
      <c r="A397" s="9" t="s">
        <v>2023</v>
      </c>
      <c r="B397" s="9" t="s">
        <v>1635</v>
      </c>
      <c r="C397" s="9">
        <v>24</v>
      </c>
      <c r="D397" s="149" t="s">
        <v>1630</v>
      </c>
      <c r="E397" s="150">
        <v>45037</v>
      </c>
      <c r="F397" s="9">
        <v>74</v>
      </c>
      <c r="G397" s="9">
        <v>4.8</v>
      </c>
      <c r="H397" s="9">
        <f>IF(MONTH(Call_Table_Data[[#This Row],[Date of Call]])&lt;=6,YEAR(Call_Table_Data[[#This Row],[Date of Call]]),YEAR(Call_Table_Data[[#This Row],[Date of Call]])+1)</f>
        <v>2023</v>
      </c>
      <c r="I397" s="9" t="str">
        <f>TEXT(Call_Table_Data[[#This Row],[Date of Call]],"DDDD")</f>
        <v>Friday</v>
      </c>
      <c r="J397" s="9" t="str" cm="1">
        <f t="array" ref="J397">_xlfn.IFS(Call_Table_Data[[#This Row],[Duration]]&lt;=10,"Under 10 Mins",Call_Table_Data[[#This Row],[Duration]]&lt;=30,"10 to 30 Mins",Call_Table_Data[[#This Row],[Duration]]&lt;=60,"30 to 60 Mins",Call_Table_Data[[#This Row],[Duration]]&lt;=120,"1 to 2 Hours",TRUE,"More Than 2 Hours")</f>
        <v>10 to 30 Mins</v>
      </c>
      <c r="K397" s="9">
        <f>ROUND(Call_Table_Data[[#This Row],[Satisfaction Rating]],0)</f>
        <v>5</v>
      </c>
    </row>
    <row r="398" spans="1:11" x14ac:dyDescent="0.3">
      <c r="A398" s="9" t="s">
        <v>2024</v>
      </c>
      <c r="B398" s="9" t="s">
        <v>1613</v>
      </c>
      <c r="C398" s="9">
        <v>43</v>
      </c>
      <c r="D398" s="149" t="s">
        <v>1621</v>
      </c>
      <c r="E398" s="150">
        <v>45038</v>
      </c>
      <c r="F398" s="9">
        <v>128</v>
      </c>
      <c r="G398" s="9">
        <v>4.7</v>
      </c>
      <c r="H398" s="9">
        <f>IF(MONTH(Call_Table_Data[[#This Row],[Date of Call]])&lt;=6,YEAR(Call_Table_Data[[#This Row],[Date of Call]]),YEAR(Call_Table_Data[[#This Row],[Date of Call]])+1)</f>
        <v>2023</v>
      </c>
      <c r="I398" s="9" t="str">
        <f>TEXT(Call_Table_Data[[#This Row],[Date of Call]],"DDDD")</f>
        <v>Saturday</v>
      </c>
      <c r="J398" s="9" t="str" cm="1">
        <f t="array" ref="J398">_xlfn.IFS(Call_Table_Data[[#This Row],[Duration]]&lt;=10,"Under 10 Mins",Call_Table_Data[[#This Row],[Duration]]&lt;=30,"10 to 30 Mins",Call_Table_Data[[#This Row],[Duration]]&lt;=60,"30 to 60 Mins",Call_Table_Data[[#This Row],[Duration]]&lt;=120,"1 to 2 Hours",TRUE,"More Than 2 Hours")</f>
        <v>30 to 60 Mins</v>
      </c>
      <c r="K398" s="9">
        <f>ROUND(Call_Table_Data[[#This Row],[Satisfaction Rating]],0)</f>
        <v>5</v>
      </c>
    </row>
    <row r="399" spans="1:11" x14ac:dyDescent="0.3">
      <c r="A399" s="9" t="s">
        <v>2025</v>
      </c>
      <c r="B399" s="9" t="s">
        <v>1618</v>
      </c>
      <c r="C399" s="9">
        <v>95</v>
      </c>
      <c r="D399" s="149" t="s">
        <v>1616</v>
      </c>
      <c r="E399" s="150">
        <v>45038</v>
      </c>
      <c r="F399" s="9">
        <v>21</v>
      </c>
      <c r="G399" s="9">
        <v>3.9</v>
      </c>
      <c r="H399" s="9">
        <f>IF(MONTH(Call_Table_Data[[#This Row],[Date of Call]])&lt;=6,YEAR(Call_Table_Data[[#This Row],[Date of Call]]),YEAR(Call_Table_Data[[#This Row],[Date of Call]])+1)</f>
        <v>2023</v>
      </c>
      <c r="I399" s="9" t="str">
        <f>TEXT(Call_Table_Data[[#This Row],[Date of Call]],"DDDD")</f>
        <v>Saturday</v>
      </c>
      <c r="J399" s="9" t="str" cm="1">
        <f t="array" ref="J399">_xlfn.IFS(Call_Table_Data[[#This Row],[Duration]]&lt;=10,"Under 10 Mins",Call_Table_Data[[#This Row],[Duration]]&lt;=30,"10 to 30 Mins",Call_Table_Data[[#This Row],[Duration]]&lt;=60,"30 to 60 Mins",Call_Table_Data[[#This Row],[Duration]]&lt;=120,"1 to 2 Hours",TRUE,"More Than 2 Hours")</f>
        <v>1 to 2 Hours</v>
      </c>
      <c r="K399" s="9">
        <f>ROUND(Call_Table_Data[[#This Row],[Satisfaction Rating]],0)</f>
        <v>4</v>
      </c>
    </row>
    <row r="400" spans="1:11" x14ac:dyDescent="0.3">
      <c r="A400" s="9" t="s">
        <v>2026</v>
      </c>
      <c r="B400" s="9" t="s">
        <v>1682</v>
      </c>
      <c r="C400" s="9">
        <v>53</v>
      </c>
      <c r="D400" s="149" t="s">
        <v>1621</v>
      </c>
      <c r="E400" s="150">
        <v>45038</v>
      </c>
      <c r="F400" s="9">
        <v>110</v>
      </c>
      <c r="G400" s="9">
        <v>4.3</v>
      </c>
      <c r="H400" s="9">
        <f>IF(MONTH(Call_Table_Data[[#This Row],[Date of Call]])&lt;=6,YEAR(Call_Table_Data[[#This Row],[Date of Call]]),YEAR(Call_Table_Data[[#This Row],[Date of Call]])+1)</f>
        <v>2023</v>
      </c>
      <c r="I400" s="9" t="str">
        <f>TEXT(Call_Table_Data[[#This Row],[Date of Call]],"DDDD")</f>
        <v>Saturday</v>
      </c>
      <c r="J400" s="9" t="str" cm="1">
        <f t="array" ref="J400">_xlfn.IFS(Call_Table_Data[[#This Row],[Duration]]&lt;=10,"Under 10 Mins",Call_Table_Data[[#This Row],[Duration]]&lt;=30,"10 to 30 Mins",Call_Table_Data[[#This Row],[Duration]]&lt;=60,"30 to 60 Mins",Call_Table_Data[[#This Row],[Duration]]&lt;=120,"1 to 2 Hours",TRUE,"More Than 2 Hours")</f>
        <v>30 to 60 Mins</v>
      </c>
      <c r="K400" s="9">
        <f>ROUND(Call_Table_Data[[#This Row],[Satisfaction Rating]],0)</f>
        <v>4</v>
      </c>
    </row>
    <row r="401" spans="1:11" x14ac:dyDescent="0.3">
      <c r="A401" s="9" t="s">
        <v>2027</v>
      </c>
      <c r="B401" s="9" t="s">
        <v>1613</v>
      </c>
      <c r="C401" s="9">
        <v>113</v>
      </c>
      <c r="D401" s="149" t="s">
        <v>1621</v>
      </c>
      <c r="E401" s="150">
        <v>45038</v>
      </c>
      <c r="F401" s="9">
        <v>145</v>
      </c>
      <c r="G401" s="9">
        <v>4</v>
      </c>
      <c r="H401" s="9">
        <f>IF(MONTH(Call_Table_Data[[#This Row],[Date of Call]])&lt;=6,YEAR(Call_Table_Data[[#This Row],[Date of Call]]),YEAR(Call_Table_Data[[#This Row],[Date of Call]])+1)</f>
        <v>2023</v>
      </c>
      <c r="I401" s="9" t="str">
        <f>TEXT(Call_Table_Data[[#This Row],[Date of Call]],"DDDD")</f>
        <v>Saturday</v>
      </c>
      <c r="J401" s="9" t="str" cm="1">
        <f t="array" ref="J401">_xlfn.IFS(Call_Table_Data[[#This Row],[Duration]]&lt;=10,"Under 10 Mins",Call_Table_Data[[#This Row],[Duration]]&lt;=30,"10 to 30 Mins",Call_Table_Data[[#This Row],[Duration]]&lt;=60,"30 to 60 Mins",Call_Table_Data[[#This Row],[Duration]]&lt;=120,"1 to 2 Hours",TRUE,"More Than 2 Hours")</f>
        <v>1 to 2 Hours</v>
      </c>
      <c r="K401" s="9">
        <f>ROUND(Call_Table_Data[[#This Row],[Satisfaction Rating]],0)</f>
        <v>4</v>
      </c>
    </row>
    <row r="402" spans="1:11" x14ac:dyDescent="0.3">
      <c r="A402" s="9" t="s">
        <v>2028</v>
      </c>
      <c r="B402" s="9" t="s">
        <v>1682</v>
      </c>
      <c r="C402" s="9">
        <v>89</v>
      </c>
      <c r="D402" s="149" t="s">
        <v>1626</v>
      </c>
      <c r="E402" s="150">
        <v>45038</v>
      </c>
      <c r="F402" s="9">
        <v>129</v>
      </c>
      <c r="G402" s="9">
        <v>4</v>
      </c>
      <c r="H402" s="9">
        <f>IF(MONTH(Call_Table_Data[[#This Row],[Date of Call]])&lt;=6,YEAR(Call_Table_Data[[#This Row],[Date of Call]]),YEAR(Call_Table_Data[[#This Row],[Date of Call]])+1)</f>
        <v>2023</v>
      </c>
      <c r="I402" s="9" t="str">
        <f>TEXT(Call_Table_Data[[#This Row],[Date of Call]],"DDDD")</f>
        <v>Saturday</v>
      </c>
      <c r="J402" s="9" t="str" cm="1">
        <f t="array" ref="J402">_xlfn.IFS(Call_Table_Data[[#This Row],[Duration]]&lt;=10,"Under 10 Mins",Call_Table_Data[[#This Row],[Duration]]&lt;=30,"10 to 30 Mins",Call_Table_Data[[#This Row],[Duration]]&lt;=60,"30 to 60 Mins",Call_Table_Data[[#This Row],[Duration]]&lt;=120,"1 to 2 Hours",TRUE,"More Than 2 Hours")</f>
        <v>1 to 2 Hours</v>
      </c>
      <c r="K402" s="9">
        <f>ROUND(Call_Table_Data[[#This Row],[Satisfaction Rating]],0)</f>
        <v>4</v>
      </c>
    </row>
    <row r="403" spans="1:11" x14ac:dyDescent="0.3">
      <c r="A403" s="9" t="s">
        <v>2029</v>
      </c>
      <c r="B403" s="9" t="s">
        <v>1629</v>
      </c>
      <c r="C403" s="9">
        <v>84</v>
      </c>
      <c r="D403" s="149" t="s">
        <v>1611</v>
      </c>
      <c r="E403" s="150">
        <v>45038</v>
      </c>
      <c r="F403" s="9">
        <v>156</v>
      </c>
      <c r="G403" s="9">
        <v>3.2</v>
      </c>
      <c r="H403" s="9">
        <f>IF(MONTH(Call_Table_Data[[#This Row],[Date of Call]])&lt;=6,YEAR(Call_Table_Data[[#This Row],[Date of Call]]),YEAR(Call_Table_Data[[#This Row],[Date of Call]])+1)</f>
        <v>2023</v>
      </c>
      <c r="I403" s="9" t="str">
        <f>TEXT(Call_Table_Data[[#This Row],[Date of Call]],"DDDD")</f>
        <v>Saturday</v>
      </c>
      <c r="J403" s="9" t="str" cm="1">
        <f t="array" ref="J403">_xlfn.IFS(Call_Table_Data[[#This Row],[Duration]]&lt;=10,"Under 10 Mins",Call_Table_Data[[#This Row],[Duration]]&lt;=30,"10 to 30 Mins",Call_Table_Data[[#This Row],[Duration]]&lt;=60,"30 to 60 Mins",Call_Table_Data[[#This Row],[Duration]]&lt;=120,"1 to 2 Hours",TRUE,"More Than 2 Hours")</f>
        <v>1 to 2 Hours</v>
      </c>
      <c r="K403" s="9">
        <f>ROUND(Call_Table_Data[[#This Row],[Satisfaction Rating]],0)</f>
        <v>3</v>
      </c>
    </row>
    <row r="404" spans="1:11" x14ac:dyDescent="0.3">
      <c r="A404" s="9" t="s">
        <v>2030</v>
      </c>
      <c r="B404" s="9" t="s">
        <v>1635</v>
      </c>
      <c r="C404" s="9">
        <v>130</v>
      </c>
      <c r="D404" s="149" t="s">
        <v>1621</v>
      </c>
      <c r="E404" s="150">
        <v>45039</v>
      </c>
      <c r="F404" s="9">
        <v>120</v>
      </c>
      <c r="G404" s="9">
        <v>3.8</v>
      </c>
      <c r="H404" s="9">
        <f>IF(MONTH(Call_Table_Data[[#This Row],[Date of Call]])&lt;=6,YEAR(Call_Table_Data[[#This Row],[Date of Call]]),YEAR(Call_Table_Data[[#This Row],[Date of Call]])+1)</f>
        <v>2023</v>
      </c>
      <c r="I404" s="9" t="str">
        <f>TEXT(Call_Table_Data[[#This Row],[Date of Call]],"DDDD")</f>
        <v>Sunday</v>
      </c>
      <c r="J404" s="9" t="str" cm="1">
        <f t="array" ref="J404">_xlfn.IFS(Call_Table_Data[[#This Row],[Duration]]&lt;=10,"Under 10 Mins",Call_Table_Data[[#This Row],[Duration]]&lt;=30,"10 to 30 Mins",Call_Table_Data[[#This Row],[Duration]]&lt;=60,"30 to 60 Mins",Call_Table_Data[[#This Row],[Duration]]&lt;=120,"1 to 2 Hours",TRUE,"More Than 2 Hours")</f>
        <v>More Than 2 Hours</v>
      </c>
      <c r="K404" s="9">
        <f>ROUND(Call_Table_Data[[#This Row],[Satisfaction Rating]],0)</f>
        <v>4</v>
      </c>
    </row>
    <row r="405" spans="1:11" x14ac:dyDescent="0.3">
      <c r="A405" s="9" t="s">
        <v>2031</v>
      </c>
      <c r="B405" s="9" t="s">
        <v>1618</v>
      </c>
      <c r="C405" s="9">
        <v>163</v>
      </c>
      <c r="D405" s="149" t="s">
        <v>1626</v>
      </c>
      <c r="E405" s="150">
        <v>45039</v>
      </c>
      <c r="F405" s="9">
        <v>62</v>
      </c>
      <c r="G405" s="9">
        <v>3.4</v>
      </c>
      <c r="H405" s="9">
        <f>IF(MONTH(Call_Table_Data[[#This Row],[Date of Call]])&lt;=6,YEAR(Call_Table_Data[[#This Row],[Date of Call]]),YEAR(Call_Table_Data[[#This Row],[Date of Call]])+1)</f>
        <v>2023</v>
      </c>
      <c r="I405" s="9" t="str">
        <f>TEXT(Call_Table_Data[[#This Row],[Date of Call]],"DDDD")</f>
        <v>Sunday</v>
      </c>
      <c r="J405" s="9" t="str" cm="1">
        <f t="array" ref="J405">_xlfn.IFS(Call_Table_Data[[#This Row],[Duration]]&lt;=10,"Under 10 Mins",Call_Table_Data[[#This Row],[Duration]]&lt;=30,"10 to 30 Mins",Call_Table_Data[[#This Row],[Duration]]&lt;=60,"30 to 60 Mins",Call_Table_Data[[#This Row],[Duration]]&lt;=120,"1 to 2 Hours",TRUE,"More Than 2 Hours")</f>
        <v>More Than 2 Hours</v>
      </c>
      <c r="K405" s="9">
        <f>ROUND(Call_Table_Data[[#This Row],[Satisfaction Rating]],0)</f>
        <v>3</v>
      </c>
    </row>
    <row r="406" spans="1:11" x14ac:dyDescent="0.3">
      <c r="A406" s="9" t="s">
        <v>2032</v>
      </c>
      <c r="B406" s="9" t="s">
        <v>1641</v>
      </c>
      <c r="C406" s="9">
        <v>127</v>
      </c>
      <c r="D406" s="149" t="s">
        <v>1621</v>
      </c>
      <c r="E406" s="150">
        <v>45039</v>
      </c>
      <c r="F406" s="9">
        <v>160</v>
      </c>
      <c r="G406" s="9">
        <v>3.2</v>
      </c>
      <c r="H406" s="9">
        <f>IF(MONTH(Call_Table_Data[[#This Row],[Date of Call]])&lt;=6,YEAR(Call_Table_Data[[#This Row],[Date of Call]]),YEAR(Call_Table_Data[[#This Row],[Date of Call]])+1)</f>
        <v>2023</v>
      </c>
      <c r="I406" s="9" t="str">
        <f>TEXT(Call_Table_Data[[#This Row],[Date of Call]],"DDDD")</f>
        <v>Sunday</v>
      </c>
      <c r="J406" s="9" t="str" cm="1">
        <f t="array" ref="J406">_xlfn.IFS(Call_Table_Data[[#This Row],[Duration]]&lt;=10,"Under 10 Mins",Call_Table_Data[[#This Row],[Duration]]&lt;=30,"10 to 30 Mins",Call_Table_Data[[#This Row],[Duration]]&lt;=60,"30 to 60 Mins",Call_Table_Data[[#This Row],[Duration]]&lt;=120,"1 to 2 Hours",TRUE,"More Than 2 Hours")</f>
        <v>More Than 2 Hours</v>
      </c>
      <c r="K406" s="9">
        <f>ROUND(Call_Table_Data[[#This Row],[Satisfaction Rating]],0)</f>
        <v>3</v>
      </c>
    </row>
    <row r="407" spans="1:11" x14ac:dyDescent="0.3">
      <c r="A407" s="9" t="s">
        <v>2033</v>
      </c>
      <c r="B407" s="9" t="s">
        <v>1613</v>
      </c>
      <c r="C407" s="9">
        <v>50</v>
      </c>
      <c r="D407" s="149" t="s">
        <v>1621</v>
      </c>
      <c r="E407" s="150">
        <v>45039</v>
      </c>
      <c r="F407" s="9">
        <v>56</v>
      </c>
      <c r="G407" s="9">
        <v>4.7</v>
      </c>
      <c r="H407" s="9">
        <f>IF(MONTH(Call_Table_Data[[#This Row],[Date of Call]])&lt;=6,YEAR(Call_Table_Data[[#This Row],[Date of Call]]),YEAR(Call_Table_Data[[#This Row],[Date of Call]])+1)</f>
        <v>2023</v>
      </c>
      <c r="I407" s="9" t="str">
        <f>TEXT(Call_Table_Data[[#This Row],[Date of Call]],"DDDD")</f>
        <v>Sunday</v>
      </c>
      <c r="J407" s="9" t="str" cm="1">
        <f t="array" ref="J407">_xlfn.IFS(Call_Table_Data[[#This Row],[Duration]]&lt;=10,"Under 10 Mins",Call_Table_Data[[#This Row],[Duration]]&lt;=30,"10 to 30 Mins",Call_Table_Data[[#This Row],[Duration]]&lt;=60,"30 to 60 Mins",Call_Table_Data[[#This Row],[Duration]]&lt;=120,"1 to 2 Hours",TRUE,"More Than 2 Hours")</f>
        <v>30 to 60 Mins</v>
      </c>
      <c r="K407" s="9">
        <f>ROUND(Call_Table_Data[[#This Row],[Satisfaction Rating]],0)</f>
        <v>5</v>
      </c>
    </row>
    <row r="408" spans="1:11" x14ac:dyDescent="0.3">
      <c r="A408" s="9" t="s">
        <v>2034</v>
      </c>
      <c r="B408" s="9" t="s">
        <v>1624</v>
      </c>
      <c r="C408" s="9">
        <v>88</v>
      </c>
      <c r="D408" s="149" t="s">
        <v>1630</v>
      </c>
      <c r="E408" s="150">
        <v>45039</v>
      </c>
      <c r="F408" s="9">
        <v>72</v>
      </c>
      <c r="G408" s="9">
        <v>4</v>
      </c>
      <c r="H408" s="9">
        <f>IF(MONTH(Call_Table_Data[[#This Row],[Date of Call]])&lt;=6,YEAR(Call_Table_Data[[#This Row],[Date of Call]]),YEAR(Call_Table_Data[[#This Row],[Date of Call]])+1)</f>
        <v>2023</v>
      </c>
      <c r="I408" s="9" t="str">
        <f>TEXT(Call_Table_Data[[#This Row],[Date of Call]],"DDDD")</f>
        <v>Sunday</v>
      </c>
      <c r="J408" s="9" t="str" cm="1">
        <f t="array" ref="J408">_xlfn.IFS(Call_Table_Data[[#This Row],[Duration]]&lt;=10,"Under 10 Mins",Call_Table_Data[[#This Row],[Duration]]&lt;=30,"10 to 30 Mins",Call_Table_Data[[#This Row],[Duration]]&lt;=60,"30 to 60 Mins",Call_Table_Data[[#This Row],[Duration]]&lt;=120,"1 to 2 Hours",TRUE,"More Than 2 Hours")</f>
        <v>1 to 2 Hours</v>
      </c>
      <c r="K408" s="9">
        <f>ROUND(Call_Table_Data[[#This Row],[Satisfaction Rating]],0)</f>
        <v>4</v>
      </c>
    </row>
    <row r="409" spans="1:11" x14ac:dyDescent="0.3">
      <c r="A409" s="9" t="s">
        <v>2035</v>
      </c>
      <c r="B409" s="9" t="s">
        <v>1613</v>
      </c>
      <c r="C409" s="9">
        <v>139</v>
      </c>
      <c r="D409" s="149" t="s">
        <v>1616</v>
      </c>
      <c r="E409" s="150">
        <v>45040</v>
      </c>
      <c r="F409" s="9">
        <v>81</v>
      </c>
      <c r="G409" s="9">
        <v>4.8</v>
      </c>
      <c r="H409" s="9">
        <f>IF(MONTH(Call_Table_Data[[#This Row],[Date of Call]])&lt;=6,YEAR(Call_Table_Data[[#This Row],[Date of Call]]),YEAR(Call_Table_Data[[#This Row],[Date of Call]])+1)</f>
        <v>2023</v>
      </c>
      <c r="I409" s="9" t="str">
        <f>TEXT(Call_Table_Data[[#This Row],[Date of Call]],"DDDD")</f>
        <v>Monday</v>
      </c>
      <c r="J409" s="9" t="str" cm="1">
        <f t="array" ref="J409">_xlfn.IFS(Call_Table_Data[[#This Row],[Duration]]&lt;=10,"Under 10 Mins",Call_Table_Data[[#This Row],[Duration]]&lt;=30,"10 to 30 Mins",Call_Table_Data[[#This Row],[Duration]]&lt;=60,"30 to 60 Mins",Call_Table_Data[[#This Row],[Duration]]&lt;=120,"1 to 2 Hours",TRUE,"More Than 2 Hours")</f>
        <v>More Than 2 Hours</v>
      </c>
      <c r="K409" s="9">
        <f>ROUND(Call_Table_Data[[#This Row],[Satisfaction Rating]],0)</f>
        <v>5</v>
      </c>
    </row>
    <row r="410" spans="1:11" x14ac:dyDescent="0.3">
      <c r="A410" s="9" t="s">
        <v>2036</v>
      </c>
      <c r="B410" s="9" t="s">
        <v>1618</v>
      </c>
      <c r="C410" s="9">
        <v>111</v>
      </c>
      <c r="D410" s="149" t="s">
        <v>1621</v>
      </c>
      <c r="E410" s="150">
        <v>45040</v>
      </c>
      <c r="F410" s="9">
        <v>144</v>
      </c>
      <c r="G410" s="9">
        <v>3.9</v>
      </c>
      <c r="H410" s="9">
        <f>IF(MONTH(Call_Table_Data[[#This Row],[Date of Call]])&lt;=6,YEAR(Call_Table_Data[[#This Row],[Date of Call]]),YEAR(Call_Table_Data[[#This Row],[Date of Call]])+1)</f>
        <v>2023</v>
      </c>
      <c r="I410" s="9" t="str">
        <f>TEXT(Call_Table_Data[[#This Row],[Date of Call]],"DDDD")</f>
        <v>Monday</v>
      </c>
      <c r="J410" s="9" t="str" cm="1">
        <f t="array" ref="J410">_xlfn.IFS(Call_Table_Data[[#This Row],[Duration]]&lt;=10,"Under 10 Mins",Call_Table_Data[[#This Row],[Duration]]&lt;=30,"10 to 30 Mins",Call_Table_Data[[#This Row],[Duration]]&lt;=60,"30 to 60 Mins",Call_Table_Data[[#This Row],[Duration]]&lt;=120,"1 to 2 Hours",TRUE,"More Than 2 Hours")</f>
        <v>1 to 2 Hours</v>
      </c>
      <c r="K410" s="9">
        <f>ROUND(Call_Table_Data[[#This Row],[Satisfaction Rating]],0)</f>
        <v>4</v>
      </c>
    </row>
    <row r="411" spans="1:11" x14ac:dyDescent="0.3">
      <c r="A411" s="9" t="s">
        <v>2037</v>
      </c>
      <c r="B411" s="9" t="s">
        <v>1615</v>
      </c>
      <c r="C411" s="9">
        <v>115</v>
      </c>
      <c r="D411" s="149" t="s">
        <v>1616</v>
      </c>
      <c r="E411" s="150">
        <v>45040</v>
      </c>
      <c r="F411" s="9">
        <v>111</v>
      </c>
      <c r="G411" s="9">
        <v>4.3</v>
      </c>
      <c r="H411" s="9">
        <f>IF(MONTH(Call_Table_Data[[#This Row],[Date of Call]])&lt;=6,YEAR(Call_Table_Data[[#This Row],[Date of Call]]),YEAR(Call_Table_Data[[#This Row],[Date of Call]])+1)</f>
        <v>2023</v>
      </c>
      <c r="I411" s="9" t="str">
        <f>TEXT(Call_Table_Data[[#This Row],[Date of Call]],"DDDD")</f>
        <v>Monday</v>
      </c>
      <c r="J411" s="9" t="str" cm="1">
        <f t="array" ref="J411">_xlfn.IFS(Call_Table_Data[[#This Row],[Duration]]&lt;=10,"Under 10 Mins",Call_Table_Data[[#This Row],[Duration]]&lt;=30,"10 to 30 Mins",Call_Table_Data[[#This Row],[Duration]]&lt;=60,"30 to 60 Mins",Call_Table_Data[[#This Row],[Duration]]&lt;=120,"1 to 2 Hours",TRUE,"More Than 2 Hours")</f>
        <v>1 to 2 Hours</v>
      </c>
      <c r="K411" s="9">
        <f>ROUND(Call_Table_Data[[#This Row],[Satisfaction Rating]],0)</f>
        <v>4</v>
      </c>
    </row>
    <row r="412" spans="1:11" x14ac:dyDescent="0.3">
      <c r="A412" s="9" t="s">
        <v>2038</v>
      </c>
      <c r="B412" s="9" t="s">
        <v>1682</v>
      </c>
      <c r="C412" s="9">
        <v>26</v>
      </c>
      <c r="D412" s="149" t="s">
        <v>1626</v>
      </c>
      <c r="E412" s="150">
        <v>45040</v>
      </c>
      <c r="F412" s="9">
        <v>43</v>
      </c>
      <c r="G412" s="9">
        <v>4.2</v>
      </c>
      <c r="H412" s="9">
        <f>IF(MONTH(Call_Table_Data[[#This Row],[Date of Call]])&lt;=6,YEAR(Call_Table_Data[[#This Row],[Date of Call]]),YEAR(Call_Table_Data[[#This Row],[Date of Call]])+1)</f>
        <v>2023</v>
      </c>
      <c r="I412" s="9" t="str">
        <f>TEXT(Call_Table_Data[[#This Row],[Date of Call]],"DDDD")</f>
        <v>Monday</v>
      </c>
      <c r="J412" s="9" t="str" cm="1">
        <f t="array" ref="J412">_xlfn.IFS(Call_Table_Data[[#This Row],[Duration]]&lt;=10,"Under 10 Mins",Call_Table_Data[[#This Row],[Duration]]&lt;=30,"10 to 30 Mins",Call_Table_Data[[#This Row],[Duration]]&lt;=60,"30 to 60 Mins",Call_Table_Data[[#This Row],[Duration]]&lt;=120,"1 to 2 Hours",TRUE,"More Than 2 Hours")</f>
        <v>10 to 30 Mins</v>
      </c>
      <c r="K412" s="9">
        <f>ROUND(Call_Table_Data[[#This Row],[Satisfaction Rating]],0)</f>
        <v>4</v>
      </c>
    </row>
    <row r="413" spans="1:11" x14ac:dyDescent="0.3">
      <c r="A413" s="9" t="s">
        <v>2039</v>
      </c>
      <c r="B413" s="9" t="s">
        <v>1629</v>
      </c>
      <c r="C413" s="9">
        <v>131</v>
      </c>
      <c r="D413" s="149" t="s">
        <v>1630</v>
      </c>
      <c r="E413" s="150">
        <v>45040</v>
      </c>
      <c r="F413" s="9">
        <v>41</v>
      </c>
      <c r="G413" s="9">
        <v>4.9000000000000004</v>
      </c>
      <c r="H413" s="9">
        <f>IF(MONTH(Call_Table_Data[[#This Row],[Date of Call]])&lt;=6,YEAR(Call_Table_Data[[#This Row],[Date of Call]]),YEAR(Call_Table_Data[[#This Row],[Date of Call]])+1)</f>
        <v>2023</v>
      </c>
      <c r="I413" s="9" t="str">
        <f>TEXT(Call_Table_Data[[#This Row],[Date of Call]],"DDDD")</f>
        <v>Monday</v>
      </c>
      <c r="J413" s="9" t="str" cm="1">
        <f t="array" ref="J413">_xlfn.IFS(Call_Table_Data[[#This Row],[Duration]]&lt;=10,"Under 10 Mins",Call_Table_Data[[#This Row],[Duration]]&lt;=30,"10 to 30 Mins",Call_Table_Data[[#This Row],[Duration]]&lt;=60,"30 to 60 Mins",Call_Table_Data[[#This Row],[Duration]]&lt;=120,"1 to 2 Hours",TRUE,"More Than 2 Hours")</f>
        <v>More Than 2 Hours</v>
      </c>
      <c r="K413" s="9">
        <f>ROUND(Call_Table_Data[[#This Row],[Satisfaction Rating]],0)</f>
        <v>5</v>
      </c>
    </row>
    <row r="414" spans="1:11" x14ac:dyDescent="0.3">
      <c r="A414" s="9" t="s">
        <v>2040</v>
      </c>
      <c r="B414" s="9" t="s">
        <v>1615</v>
      </c>
      <c r="C414" s="9">
        <v>27</v>
      </c>
      <c r="D414" s="149" t="s">
        <v>1630</v>
      </c>
      <c r="E414" s="150">
        <v>45040</v>
      </c>
      <c r="F414" s="9">
        <v>74</v>
      </c>
      <c r="G414" s="9">
        <v>4</v>
      </c>
      <c r="H414" s="9">
        <f>IF(MONTH(Call_Table_Data[[#This Row],[Date of Call]])&lt;=6,YEAR(Call_Table_Data[[#This Row],[Date of Call]]),YEAR(Call_Table_Data[[#This Row],[Date of Call]])+1)</f>
        <v>2023</v>
      </c>
      <c r="I414" s="9" t="str">
        <f>TEXT(Call_Table_Data[[#This Row],[Date of Call]],"DDDD")</f>
        <v>Monday</v>
      </c>
      <c r="J414" s="9" t="str" cm="1">
        <f t="array" ref="J414">_xlfn.IFS(Call_Table_Data[[#This Row],[Duration]]&lt;=10,"Under 10 Mins",Call_Table_Data[[#This Row],[Duration]]&lt;=30,"10 to 30 Mins",Call_Table_Data[[#This Row],[Duration]]&lt;=60,"30 to 60 Mins",Call_Table_Data[[#This Row],[Duration]]&lt;=120,"1 to 2 Hours",TRUE,"More Than 2 Hours")</f>
        <v>10 to 30 Mins</v>
      </c>
      <c r="K414" s="9">
        <f>ROUND(Call_Table_Data[[#This Row],[Satisfaction Rating]],0)</f>
        <v>4</v>
      </c>
    </row>
    <row r="415" spans="1:11" x14ac:dyDescent="0.3">
      <c r="A415" s="9" t="s">
        <v>2041</v>
      </c>
      <c r="B415" s="9" t="s">
        <v>1652</v>
      </c>
      <c r="C415" s="9">
        <v>75</v>
      </c>
      <c r="D415" s="149" t="s">
        <v>1621</v>
      </c>
      <c r="E415" s="150">
        <v>45040</v>
      </c>
      <c r="F415" s="9">
        <v>43</v>
      </c>
      <c r="G415" s="9">
        <v>4.9000000000000004</v>
      </c>
      <c r="H415" s="9">
        <f>IF(MONTH(Call_Table_Data[[#This Row],[Date of Call]])&lt;=6,YEAR(Call_Table_Data[[#This Row],[Date of Call]]),YEAR(Call_Table_Data[[#This Row],[Date of Call]])+1)</f>
        <v>2023</v>
      </c>
      <c r="I415" s="9" t="str">
        <f>TEXT(Call_Table_Data[[#This Row],[Date of Call]],"DDDD")</f>
        <v>Monday</v>
      </c>
      <c r="J415" s="9" t="str" cm="1">
        <f t="array" ref="J415">_xlfn.IFS(Call_Table_Data[[#This Row],[Duration]]&lt;=10,"Under 10 Mins",Call_Table_Data[[#This Row],[Duration]]&lt;=30,"10 to 30 Mins",Call_Table_Data[[#This Row],[Duration]]&lt;=60,"30 to 60 Mins",Call_Table_Data[[#This Row],[Duration]]&lt;=120,"1 to 2 Hours",TRUE,"More Than 2 Hours")</f>
        <v>1 to 2 Hours</v>
      </c>
      <c r="K415" s="9">
        <f>ROUND(Call_Table_Data[[#This Row],[Satisfaction Rating]],0)</f>
        <v>5</v>
      </c>
    </row>
    <row r="416" spans="1:11" x14ac:dyDescent="0.3">
      <c r="A416" s="9" t="s">
        <v>2042</v>
      </c>
      <c r="B416" s="9" t="s">
        <v>1644</v>
      </c>
      <c r="C416" s="9">
        <v>123</v>
      </c>
      <c r="D416" s="149" t="s">
        <v>1630</v>
      </c>
      <c r="E416" s="150">
        <v>45040</v>
      </c>
      <c r="F416" s="9">
        <v>128</v>
      </c>
      <c r="G416" s="9">
        <v>3.6</v>
      </c>
      <c r="H416" s="9">
        <f>IF(MONTH(Call_Table_Data[[#This Row],[Date of Call]])&lt;=6,YEAR(Call_Table_Data[[#This Row],[Date of Call]]),YEAR(Call_Table_Data[[#This Row],[Date of Call]])+1)</f>
        <v>2023</v>
      </c>
      <c r="I416" s="9" t="str">
        <f>TEXT(Call_Table_Data[[#This Row],[Date of Call]],"DDDD")</f>
        <v>Monday</v>
      </c>
      <c r="J416" s="9" t="str" cm="1">
        <f t="array" ref="J416">_xlfn.IFS(Call_Table_Data[[#This Row],[Duration]]&lt;=10,"Under 10 Mins",Call_Table_Data[[#This Row],[Duration]]&lt;=30,"10 to 30 Mins",Call_Table_Data[[#This Row],[Duration]]&lt;=60,"30 to 60 Mins",Call_Table_Data[[#This Row],[Duration]]&lt;=120,"1 to 2 Hours",TRUE,"More Than 2 Hours")</f>
        <v>More Than 2 Hours</v>
      </c>
      <c r="K416" s="9">
        <f>ROUND(Call_Table_Data[[#This Row],[Satisfaction Rating]],0)</f>
        <v>4</v>
      </c>
    </row>
    <row r="417" spans="1:11" x14ac:dyDescent="0.3">
      <c r="A417" s="9" t="s">
        <v>2043</v>
      </c>
      <c r="B417" s="9" t="s">
        <v>1610</v>
      </c>
      <c r="C417" s="9">
        <v>129</v>
      </c>
      <c r="D417" s="149" t="s">
        <v>1630</v>
      </c>
      <c r="E417" s="150">
        <v>45041</v>
      </c>
      <c r="F417" s="9">
        <v>144</v>
      </c>
      <c r="G417" s="9">
        <v>4.0999999999999996</v>
      </c>
      <c r="H417" s="9">
        <f>IF(MONTH(Call_Table_Data[[#This Row],[Date of Call]])&lt;=6,YEAR(Call_Table_Data[[#This Row],[Date of Call]]),YEAR(Call_Table_Data[[#This Row],[Date of Call]])+1)</f>
        <v>2023</v>
      </c>
      <c r="I417" s="9" t="str">
        <f>TEXT(Call_Table_Data[[#This Row],[Date of Call]],"DDDD")</f>
        <v>Tuesday</v>
      </c>
      <c r="J417" s="9" t="str" cm="1">
        <f t="array" ref="J417">_xlfn.IFS(Call_Table_Data[[#This Row],[Duration]]&lt;=10,"Under 10 Mins",Call_Table_Data[[#This Row],[Duration]]&lt;=30,"10 to 30 Mins",Call_Table_Data[[#This Row],[Duration]]&lt;=60,"30 to 60 Mins",Call_Table_Data[[#This Row],[Duration]]&lt;=120,"1 to 2 Hours",TRUE,"More Than 2 Hours")</f>
        <v>More Than 2 Hours</v>
      </c>
      <c r="K417" s="9">
        <f>ROUND(Call_Table_Data[[#This Row],[Satisfaction Rating]],0)</f>
        <v>4</v>
      </c>
    </row>
    <row r="418" spans="1:11" x14ac:dyDescent="0.3">
      <c r="A418" s="9" t="s">
        <v>2044</v>
      </c>
      <c r="B418" s="9" t="s">
        <v>1652</v>
      </c>
      <c r="C418" s="9">
        <v>124</v>
      </c>
      <c r="D418" s="149" t="s">
        <v>1616</v>
      </c>
      <c r="E418" s="150">
        <v>45041</v>
      </c>
      <c r="F418" s="9">
        <v>132</v>
      </c>
      <c r="G418" s="9">
        <v>4.9000000000000004</v>
      </c>
      <c r="H418" s="9">
        <f>IF(MONTH(Call_Table_Data[[#This Row],[Date of Call]])&lt;=6,YEAR(Call_Table_Data[[#This Row],[Date of Call]]),YEAR(Call_Table_Data[[#This Row],[Date of Call]])+1)</f>
        <v>2023</v>
      </c>
      <c r="I418" s="9" t="str">
        <f>TEXT(Call_Table_Data[[#This Row],[Date of Call]],"DDDD")</f>
        <v>Tuesday</v>
      </c>
      <c r="J418" s="9" t="str" cm="1">
        <f t="array" ref="J418">_xlfn.IFS(Call_Table_Data[[#This Row],[Duration]]&lt;=10,"Under 10 Mins",Call_Table_Data[[#This Row],[Duration]]&lt;=30,"10 to 30 Mins",Call_Table_Data[[#This Row],[Duration]]&lt;=60,"30 to 60 Mins",Call_Table_Data[[#This Row],[Duration]]&lt;=120,"1 to 2 Hours",TRUE,"More Than 2 Hours")</f>
        <v>More Than 2 Hours</v>
      </c>
      <c r="K418" s="9">
        <f>ROUND(Call_Table_Data[[#This Row],[Satisfaction Rating]],0)</f>
        <v>5</v>
      </c>
    </row>
    <row r="419" spans="1:11" x14ac:dyDescent="0.3">
      <c r="A419" s="9" t="s">
        <v>2045</v>
      </c>
      <c r="B419" s="9" t="s">
        <v>1615</v>
      </c>
      <c r="C419" s="9">
        <v>108</v>
      </c>
      <c r="D419" s="149" t="s">
        <v>1616</v>
      </c>
      <c r="E419" s="150">
        <v>45041</v>
      </c>
      <c r="F419" s="9">
        <v>180</v>
      </c>
      <c r="G419" s="9">
        <v>3.9</v>
      </c>
      <c r="H419" s="9">
        <f>IF(MONTH(Call_Table_Data[[#This Row],[Date of Call]])&lt;=6,YEAR(Call_Table_Data[[#This Row],[Date of Call]]),YEAR(Call_Table_Data[[#This Row],[Date of Call]])+1)</f>
        <v>2023</v>
      </c>
      <c r="I419" s="9" t="str">
        <f>TEXT(Call_Table_Data[[#This Row],[Date of Call]],"DDDD")</f>
        <v>Tuesday</v>
      </c>
      <c r="J419" s="9" t="str" cm="1">
        <f t="array" ref="J419">_xlfn.IFS(Call_Table_Data[[#This Row],[Duration]]&lt;=10,"Under 10 Mins",Call_Table_Data[[#This Row],[Duration]]&lt;=30,"10 to 30 Mins",Call_Table_Data[[#This Row],[Duration]]&lt;=60,"30 to 60 Mins",Call_Table_Data[[#This Row],[Duration]]&lt;=120,"1 to 2 Hours",TRUE,"More Than 2 Hours")</f>
        <v>1 to 2 Hours</v>
      </c>
      <c r="K419" s="9">
        <f>ROUND(Call_Table_Data[[#This Row],[Satisfaction Rating]],0)</f>
        <v>4</v>
      </c>
    </row>
    <row r="420" spans="1:11" x14ac:dyDescent="0.3">
      <c r="A420" s="9" t="s">
        <v>2046</v>
      </c>
      <c r="B420" s="9" t="s">
        <v>1620</v>
      </c>
      <c r="C420" s="9">
        <v>15</v>
      </c>
      <c r="D420" s="149" t="s">
        <v>1616</v>
      </c>
      <c r="E420" s="150">
        <v>45041</v>
      </c>
      <c r="F420" s="9">
        <v>31</v>
      </c>
      <c r="G420" s="9">
        <v>4.0999999999999996</v>
      </c>
      <c r="H420" s="9">
        <f>IF(MONTH(Call_Table_Data[[#This Row],[Date of Call]])&lt;=6,YEAR(Call_Table_Data[[#This Row],[Date of Call]]),YEAR(Call_Table_Data[[#This Row],[Date of Call]])+1)</f>
        <v>2023</v>
      </c>
      <c r="I420" s="9" t="str">
        <f>TEXT(Call_Table_Data[[#This Row],[Date of Call]],"DDDD")</f>
        <v>Tuesday</v>
      </c>
      <c r="J420" s="9" t="str" cm="1">
        <f t="array" ref="J420">_xlfn.IFS(Call_Table_Data[[#This Row],[Duration]]&lt;=10,"Under 10 Mins",Call_Table_Data[[#This Row],[Duration]]&lt;=30,"10 to 30 Mins",Call_Table_Data[[#This Row],[Duration]]&lt;=60,"30 to 60 Mins",Call_Table_Data[[#This Row],[Duration]]&lt;=120,"1 to 2 Hours",TRUE,"More Than 2 Hours")</f>
        <v>10 to 30 Mins</v>
      </c>
      <c r="K420" s="9">
        <f>ROUND(Call_Table_Data[[#This Row],[Satisfaction Rating]],0)</f>
        <v>4</v>
      </c>
    </row>
    <row r="421" spans="1:11" x14ac:dyDescent="0.3">
      <c r="A421" s="9" t="s">
        <v>2047</v>
      </c>
      <c r="B421" s="9" t="s">
        <v>1615</v>
      </c>
      <c r="C421" s="9">
        <v>66</v>
      </c>
      <c r="D421" s="149" t="s">
        <v>1616</v>
      </c>
      <c r="E421" s="150">
        <v>45041</v>
      </c>
      <c r="F421" s="9">
        <v>102</v>
      </c>
      <c r="G421" s="9">
        <v>3.8</v>
      </c>
      <c r="H421" s="9">
        <f>IF(MONTH(Call_Table_Data[[#This Row],[Date of Call]])&lt;=6,YEAR(Call_Table_Data[[#This Row],[Date of Call]]),YEAR(Call_Table_Data[[#This Row],[Date of Call]])+1)</f>
        <v>2023</v>
      </c>
      <c r="I421" s="9" t="str">
        <f>TEXT(Call_Table_Data[[#This Row],[Date of Call]],"DDDD")</f>
        <v>Tuesday</v>
      </c>
      <c r="J421" s="9" t="str" cm="1">
        <f t="array" ref="J421">_xlfn.IFS(Call_Table_Data[[#This Row],[Duration]]&lt;=10,"Under 10 Mins",Call_Table_Data[[#This Row],[Duration]]&lt;=30,"10 to 30 Mins",Call_Table_Data[[#This Row],[Duration]]&lt;=60,"30 to 60 Mins",Call_Table_Data[[#This Row],[Duration]]&lt;=120,"1 to 2 Hours",TRUE,"More Than 2 Hours")</f>
        <v>1 to 2 Hours</v>
      </c>
      <c r="K421" s="9">
        <f>ROUND(Call_Table_Data[[#This Row],[Satisfaction Rating]],0)</f>
        <v>4</v>
      </c>
    </row>
    <row r="422" spans="1:11" x14ac:dyDescent="0.3">
      <c r="A422" s="9" t="s">
        <v>2048</v>
      </c>
      <c r="B422" s="9" t="s">
        <v>1624</v>
      </c>
      <c r="C422" s="9">
        <v>126</v>
      </c>
      <c r="D422" s="149" t="s">
        <v>1621</v>
      </c>
      <c r="E422" s="150">
        <v>45042</v>
      </c>
      <c r="F422" s="9">
        <v>175</v>
      </c>
      <c r="G422" s="9">
        <v>4.8</v>
      </c>
      <c r="H422" s="9">
        <f>IF(MONTH(Call_Table_Data[[#This Row],[Date of Call]])&lt;=6,YEAR(Call_Table_Data[[#This Row],[Date of Call]]),YEAR(Call_Table_Data[[#This Row],[Date of Call]])+1)</f>
        <v>2023</v>
      </c>
      <c r="I422" s="9" t="str">
        <f>TEXT(Call_Table_Data[[#This Row],[Date of Call]],"DDDD")</f>
        <v>Wednesday</v>
      </c>
      <c r="J422" s="9" t="str" cm="1">
        <f t="array" ref="J422">_xlfn.IFS(Call_Table_Data[[#This Row],[Duration]]&lt;=10,"Under 10 Mins",Call_Table_Data[[#This Row],[Duration]]&lt;=30,"10 to 30 Mins",Call_Table_Data[[#This Row],[Duration]]&lt;=60,"30 to 60 Mins",Call_Table_Data[[#This Row],[Duration]]&lt;=120,"1 to 2 Hours",TRUE,"More Than 2 Hours")</f>
        <v>More Than 2 Hours</v>
      </c>
      <c r="K422" s="9">
        <f>ROUND(Call_Table_Data[[#This Row],[Satisfaction Rating]],0)</f>
        <v>5</v>
      </c>
    </row>
    <row r="423" spans="1:11" x14ac:dyDescent="0.3">
      <c r="A423" s="9" t="s">
        <v>2049</v>
      </c>
      <c r="B423" s="9" t="s">
        <v>1652</v>
      </c>
      <c r="C423" s="9">
        <v>26</v>
      </c>
      <c r="D423" s="149" t="s">
        <v>1611</v>
      </c>
      <c r="E423" s="150">
        <v>45042</v>
      </c>
      <c r="F423" s="9">
        <v>87</v>
      </c>
      <c r="G423" s="9">
        <v>4.7</v>
      </c>
      <c r="H423" s="9">
        <f>IF(MONTH(Call_Table_Data[[#This Row],[Date of Call]])&lt;=6,YEAR(Call_Table_Data[[#This Row],[Date of Call]]),YEAR(Call_Table_Data[[#This Row],[Date of Call]])+1)</f>
        <v>2023</v>
      </c>
      <c r="I423" s="9" t="str">
        <f>TEXT(Call_Table_Data[[#This Row],[Date of Call]],"DDDD")</f>
        <v>Wednesday</v>
      </c>
      <c r="J423" s="9" t="str" cm="1">
        <f t="array" ref="J423">_xlfn.IFS(Call_Table_Data[[#This Row],[Duration]]&lt;=10,"Under 10 Mins",Call_Table_Data[[#This Row],[Duration]]&lt;=30,"10 to 30 Mins",Call_Table_Data[[#This Row],[Duration]]&lt;=60,"30 to 60 Mins",Call_Table_Data[[#This Row],[Duration]]&lt;=120,"1 to 2 Hours",TRUE,"More Than 2 Hours")</f>
        <v>10 to 30 Mins</v>
      </c>
      <c r="K423" s="9">
        <f>ROUND(Call_Table_Data[[#This Row],[Satisfaction Rating]],0)</f>
        <v>5</v>
      </c>
    </row>
    <row r="424" spans="1:11" x14ac:dyDescent="0.3">
      <c r="A424" s="9" t="s">
        <v>2050</v>
      </c>
      <c r="B424" s="9" t="s">
        <v>1635</v>
      </c>
      <c r="C424" s="9">
        <v>105</v>
      </c>
      <c r="D424" s="149" t="s">
        <v>1621</v>
      </c>
      <c r="E424" s="150">
        <v>45042</v>
      </c>
      <c r="F424" s="9">
        <v>66</v>
      </c>
      <c r="G424" s="9">
        <v>4.2</v>
      </c>
      <c r="H424" s="9">
        <f>IF(MONTH(Call_Table_Data[[#This Row],[Date of Call]])&lt;=6,YEAR(Call_Table_Data[[#This Row],[Date of Call]]),YEAR(Call_Table_Data[[#This Row],[Date of Call]])+1)</f>
        <v>2023</v>
      </c>
      <c r="I424" s="9" t="str">
        <f>TEXT(Call_Table_Data[[#This Row],[Date of Call]],"DDDD")</f>
        <v>Wednesday</v>
      </c>
      <c r="J424" s="9" t="str" cm="1">
        <f t="array" ref="J424">_xlfn.IFS(Call_Table_Data[[#This Row],[Duration]]&lt;=10,"Under 10 Mins",Call_Table_Data[[#This Row],[Duration]]&lt;=30,"10 to 30 Mins",Call_Table_Data[[#This Row],[Duration]]&lt;=60,"30 to 60 Mins",Call_Table_Data[[#This Row],[Duration]]&lt;=120,"1 to 2 Hours",TRUE,"More Than 2 Hours")</f>
        <v>1 to 2 Hours</v>
      </c>
      <c r="K424" s="9">
        <f>ROUND(Call_Table_Data[[#This Row],[Satisfaction Rating]],0)</f>
        <v>4</v>
      </c>
    </row>
    <row r="425" spans="1:11" x14ac:dyDescent="0.3">
      <c r="A425" s="9" t="s">
        <v>2051</v>
      </c>
      <c r="B425" s="9" t="s">
        <v>1635</v>
      </c>
      <c r="C425" s="9">
        <v>31</v>
      </c>
      <c r="D425" s="149" t="s">
        <v>1621</v>
      </c>
      <c r="E425" s="150">
        <v>45042</v>
      </c>
      <c r="F425" s="9">
        <v>25</v>
      </c>
      <c r="G425" s="9">
        <v>3.2</v>
      </c>
      <c r="H425" s="9">
        <f>IF(MONTH(Call_Table_Data[[#This Row],[Date of Call]])&lt;=6,YEAR(Call_Table_Data[[#This Row],[Date of Call]]),YEAR(Call_Table_Data[[#This Row],[Date of Call]])+1)</f>
        <v>2023</v>
      </c>
      <c r="I425" s="9" t="str">
        <f>TEXT(Call_Table_Data[[#This Row],[Date of Call]],"DDDD")</f>
        <v>Wednesday</v>
      </c>
      <c r="J425" s="9" t="str" cm="1">
        <f t="array" ref="J425">_xlfn.IFS(Call_Table_Data[[#This Row],[Duration]]&lt;=10,"Under 10 Mins",Call_Table_Data[[#This Row],[Duration]]&lt;=30,"10 to 30 Mins",Call_Table_Data[[#This Row],[Duration]]&lt;=60,"30 to 60 Mins",Call_Table_Data[[#This Row],[Duration]]&lt;=120,"1 to 2 Hours",TRUE,"More Than 2 Hours")</f>
        <v>30 to 60 Mins</v>
      </c>
      <c r="K425" s="9">
        <f>ROUND(Call_Table_Data[[#This Row],[Satisfaction Rating]],0)</f>
        <v>3</v>
      </c>
    </row>
    <row r="426" spans="1:11" x14ac:dyDescent="0.3">
      <c r="A426" s="9" t="s">
        <v>2052</v>
      </c>
      <c r="B426" s="9" t="s">
        <v>1615</v>
      </c>
      <c r="C426" s="9">
        <v>109</v>
      </c>
      <c r="D426" s="149" t="s">
        <v>1616</v>
      </c>
      <c r="E426" s="150">
        <v>45042</v>
      </c>
      <c r="F426" s="9">
        <v>126</v>
      </c>
      <c r="G426" s="9">
        <v>3.4</v>
      </c>
      <c r="H426" s="9">
        <f>IF(MONTH(Call_Table_Data[[#This Row],[Date of Call]])&lt;=6,YEAR(Call_Table_Data[[#This Row],[Date of Call]]),YEAR(Call_Table_Data[[#This Row],[Date of Call]])+1)</f>
        <v>2023</v>
      </c>
      <c r="I426" s="9" t="str">
        <f>TEXT(Call_Table_Data[[#This Row],[Date of Call]],"DDDD")</f>
        <v>Wednesday</v>
      </c>
      <c r="J426" s="9" t="str" cm="1">
        <f t="array" ref="J426">_xlfn.IFS(Call_Table_Data[[#This Row],[Duration]]&lt;=10,"Under 10 Mins",Call_Table_Data[[#This Row],[Duration]]&lt;=30,"10 to 30 Mins",Call_Table_Data[[#This Row],[Duration]]&lt;=60,"30 to 60 Mins",Call_Table_Data[[#This Row],[Duration]]&lt;=120,"1 to 2 Hours",TRUE,"More Than 2 Hours")</f>
        <v>1 to 2 Hours</v>
      </c>
      <c r="K426" s="9">
        <f>ROUND(Call_Table_Data[[#This Row],[Satisfaction Rating]],0)</f>
        <v>3</v>
      </c>
    </row>
    <row r="427" spans="1:11" x14ac:dyDescent="0.3">
      <c r="A427" s="9" t="s">
        <v>2053</v>
      </c>
      <c r="B427" s="9" t="s">
        <v>1610</v>
      </c>
      <c r="C427" s="9">
        <v>113</v>
      </c>
      <c r="D427" s="149" t="s">
        <v>1626</v>
      </c>
      <c r="E427" s="150">
        <v>45043</v>
      </c>
      <c r="F427" s="9">
        <v>42</v>
      </c>
      <c r="G427" s="9">
        <v>4.5999999999999996</v>
      </c>
      <c r="H427" s="9">
        <f>IF(MONTH(Call_Table_Data[[#This Row],[Date of Call]])&lt;=6,YEAR(Call_Table_Data[[#This Row],[Date of Call]]),YEAR(Call_Table_Data[[#This Row],[Date of Call]])+1)</f>
        <v>2023</v>
      </c>
      <c r="I427" s="9" t="str">
        <f>TEXT(Call_Table_Data[[#This Row],[Date of Call]],"DDDD")</f>
        <v>Thursday</v>
      </c>
      <c r="J427" s="9" t="str" cm="1">
        <f t="array" ref="J427">_xlfn.IFS(Call_Table_Data[[#This Row],[Duration]]&lt;=10,"Under 10 Mins",Call_Table_Data[[#This Row],[Duration]]&lt;=30,"10 to 30 Mins",Call_Table_Data[[#This Row],[Duration]]&lt;=60,"30 to 60 Mins",Call_Table_Data[[#This Row],[Duration]]&lt;=120,"1 to 2 Hours",TRUE,"More Than 2 Hours")</f>
        <v>1 to 2 Hours</v>
      </c>
      <c r="K427" s="9">
        <f>ROUND(Call_Table_Data[[#This Row],[Satisfaction Rating]],0)</f>
        <v>5</v>
      </c>
    </row>
    <row r="428" spans="1:11" x14ac:dyDescent="0.3">
      <c r="A428" s="9" t="s">
        <v>2054</v>
      </c>
      <c r="B428" s="9" t="s">
        <v>1624</v>
      </c>
      <c r="C428" s="9">
        <v>101</v>
      </c>
      <c r="D428" s="149" t="s">
        <v>1611</v>
      </c>
      <c r="E428" s="150">
        <v>45043</v>
      </c>
      <c r="F428" s="9">
        <v>225</v>
      </c>
      <c r="G428" s="9">
        <v>1.9</v>
      </c>
      <c r="H428" s="9">
        <f>IF(MONTH(Call_Table_Data[[#This Row],[Date of Call]])&lt;=6,YEAR(Call_Table_Data[[#This Row],[Date of Call]]),YEAR(Call_Table_Data[[#This Row],[Date of Call]])+1)</f>
        <v>2023</v>
      </c>
      <c r="I428" s="9" t="str">
        <f>TEXT(Call_Table_Data[[#This Row],[Date of Call]],"DDDD")</f>
        <v>Thursday</v>
      </c>
      <c r="J428" s="9" t="str" cm="1">
        <f t="array" ref="J428">_xlfn.IFS(Call_Table_Data[[#This Row],[Duration]]&lt;=10,"Under 10 Mins",Call_Table_Data[[#This Row],[Duration]]&lt;=30,"10 to 30 Mins",Call_Table_Data[[#This Row],[Duration]]&lt;=60,"30 to 60 Mins",Call_Table_Data[[#This Row],[Duration]]&lt;=120,"1 to 2 Hours",TRUE,"More Than 2 Hours")</f>
        <v>1 to 2 Hours</v>
      </c>
      <c r="K428" s="9">
        <f>ROUND(Call_Table_Data[[#This Row],[Satisfaction Rating]],0)</f>
        <v>2</v>
      </c>
    </row>
    <row r="429" spans="1:11" x14ac:dyDescent="0.3">
      <c r="A429" s="9" t="s">
        <v>2055</v>
      </c>
      <c r="B429" s="9" t="s">
        <v>1618</v>
      </c>
      <c r="C429" s="9">
        <v>156</v>
      </c>
      <c r="D429" s="149" t="s">
        <v>1611</v>
      </c>
      <c r="E429" s="150">
        <v>45043</v>
      </c>
      <c r="F429" s="9">
        <v>42</v>
      </c>
      <c r="G429" s="9">
        <v>3.3</v>
      </c>
      <c r="H429" s="9">
        <f>IF(MONTH(Call_Table_Data[[#This Row],[Date of Call]])&lt;=6,YEAR(Call_Table_Data[[#This Row],[Date of Call]]),YEAR(Call_Table_Data[[#This Row],[Date of Call]])+1)</f>
        <v>2023</v>
      </c>
      <c r="I429" s="9" t="str">
        <f>TEXT(Call_Table_Data[[#This Row],[Date of Call]],"DDDD")</f>
        <v>Thursday</v>
      </c>
      <c r="J429" s="9" t="str" cm="1">
        <f t="array" ref="J429">_xlfn.IFS(Call_Table_Data[[#This Row],[Duration]]&lt;=10,"Under 10 Mins",Call_Table_Data[[#This Row],[Duration]]&lt;=30,"10 to 30 Mins",Call_Table_Data[[#This Row],[Duration]]&lt;=60,"30 to 60 Mins",Call_Table_Data[[#This Row],[Duration]]&lt;=120,"1 to 2 Hours",TRUE,"More Than 2 Hours")</f>
        <v>More Than 2 Hours</v>
      </c>
      <c r="K429" s="9">
        <f>ROUND(Call_Table_Data[[#This Row],[Satisfaction Rating]],0)</f>
        <v>3</v>
      </c>
    </row>
    <row r="430" spans="1:11" x14ac:dyDescent="0.3">
      <c r="A430" s="9" t="s">
        <v>2056</v>
      </c>
      <c r="B430" s="9" t="s">
        <v>1615</v>
      </c>
      <c r="C430" s="9">
        <v>145</v>
      </c>
      <c r="D430" s="149" t="s">
        <v>1626</v>
      </c>
      <c r="E430" s="150">
        <v>45044</v>
      </c>
      <c r="F430" s="9">
        <v>110</v>
      </c>
      <c r="G430" s="9">
        <v>3.1</v>
      </c>
      <c r="H430" s="9">
        <f>IF(MONTH(Call_Table_Data[[#This Row],[Date of Call]])&lt;=6,YEAR(Call_Table_Data[[#This Row],[Date of Call]]),YEAR(Call_Table_Data[[#This Row],[Date of Call]])+1)</f>
        <v>2023</v>
      </c>
      <c r="I430" s="9" t="str">
        <f>TEXT(Call_Table_Data[[#This Row],[Date of Call]],"DDDD")</f>
        <v>Friday</v>
      </c>
      <c r="J430" s="9" t="str" cm="1">
        <f t="array" ref="J430">_xlfn.IFS(Call_Table_Data[[#This Row],[Duration]]&lt;=10,"Under 10 Mins",Call_Table_Data[[#This Row],[Duration]]&lt;=30,"10 to 30 Mins",Call_Table_Data[[#This Row],[Duration]]&lt;=60,"30 to 60 Mins",Call_Table_Data[[#This Row],[Duration]]&lt;=120,"1 to 2 Hours",TRUE,"More Than 2 Hours")</f>
        <v>More Than 2 Hours</v>
      </c>
      <c r="K430" s="9">
        <f>ROUND(Call_Table_Data[[#This Row],[Satisfaction Rating]],0)</f>
        <v>3</v>
      </c>
    </row>
    <row r="431" spans="1:11" x14ac:dyDescent="0.3">
      <c r="A431" s="9" t="s">
        <v>2057</v>
      </c>
      <c r="B431" s="9" t="s">
        <v>1644</v>
      </c>
      <c r="C431" s="9">
        <v>36</v>
      </c>
      <c r="D431" s="149" t="s">
        <v>1616</v>
      </c>
      <c r="E431" s="150">
        <v>45044</v>
      </c>
      <c r="F431" s="9">
        <v>225</v>
      </c>
      <c r="G431" s="9">
        <v>4.8</v>
      </c>
      <c r="H431" s="9">
        <f>IF(MONTH(Call_Table_Data[[#This Row],[Date of Call]])&lt;=6,YEAR(Call_Table_Data[[#This Row],[Date of Call]]),YEAR(Call_Table_Data[[#This Row],[Date of Call]])+1)</f>
        <v>2023</v>
      </c>
      <c r="I431" s="9" t="str">
        <f>TEXT(Call_Table_Data[[#This Row],[Date of Call]],"DDDD")</f>
        <v>Friday</v>
      </c>
      <c r="J431" s="9" t="str" cm="1">
        <f t="array" ref="J431">_xlfn.IFS(Call_Table_Data[[#This Row],[Duration]]&lt;=10,"Under 10 Mins",Call_Table_Data[[#This Row],[Duration]]&lt;=30,"10 to 30 Mins",Call_Table_Data[[#This Row],[Duration]]&lt;=60,"30 to 60 Mins",Call_Table_Data[[#This Row],[Duration]]&lt;=120,"1 to 2 Hours",TRUE,"More Than 2 Hours")</f>
        <v>30 to 60 Mins</v>
      </c>
      <c r="K431" s="9">
        <f>ROUND(Call_Table_Data[[#This Row],[Satisfaction Rating]],0)</f>
        <v>5</v>
      </c>
    </row>
    <row r="432" spans="1:11" x14ac:dyDescent="0.3">
      <c r="A432" s="9" t="s">
        <v>2058</v>
      </c>
      <c r="B432" s="9" t="s">
        <v>1635</v>
      </c>
      <c r="C432" s="9">
        <v>135</v>
      </c>
      <c r="D432" s="149" t="s">
        <v>1630</v>
      </c>
      <c r="E432" s="150">
        <v>45045</v>
      </c>
      <c r="F432" s="9">
        <v>125</v>
      </c>
      <c r="G432" s="9">
        <v>3.3</v>
      </c>
      <c r="H432" s="9">
        <f>IF(MONTH(Call_Table_Data[[#This Row],[Date of Call]])&lt;=6,YEAR(Call_Table_Data[[#This Row],[Date of Call]]),YEAR(Call_Table_Data[[#This Row],[Date of Call]])+1)</f>
        <v>2023</v>
      </c>
      <c r="I432" s="9" t="str">
        <f>TEXT(Call_Table_Data[[#This Row],[Date of Call]],"DDDD")</f>
        <v>Saturday</v>
      </c>
      <c r="J432" s="9" t="str" cm="1">
        <f t="array" ref="J432">_xlfn.IFS(Call_Table_Data[[#This Row],[Duration]]&lt;=10,"Under 10 Mins",Call_Table_Data[[#This Row],[Duration]]&lt;=30,"10 to 30 Mins",Call_Table_Data[[#This Row],[Duration]]&lt;=60,"30 to 60 Mins",Call_Table_Data[[#This Row],[Duration]]&lt;=120,"1 to 2 Hours",TRUE,"More Than 2 Hours")</f>
        <v>More Than 2 Hours</v>
      </c>
      <c r="K432" s="9">
        <f>ROUND(Call_Table_Data[[#This Row],[Satisfaction Rating]],0)</f>
        <v>3</v>
      </c>
    </row>
    <row r="433" spans="1:11" x14ac:dyDescent="0.3">
      <c r="A433" s="9" t="s">
        <v>2059</v>
      </c>
      <c r="B433" s="9" t="s">
        <v>1624</v>
      </c>
      <c r="C433" s="9">
        <v>81</v>
      </c>
      <c r="D433" s="149" t="s">
        <v>1616</v>
      </c>
      <c r="E433" s="150">
        <v>45045</v>
      </c>
      <c r="F433" s="9">
        <v>78</v>
      </c>
      <c r="G433" s="9">
        <v>2.9</v>
      </c>
      <c r="H433" s="9">
        <f>IF(MONTH(Call_Table_Data[[#This Row],[Date of Call]])&lt;=6,YEAR(Call_Table_Data[[#This Row],[Date of Call]]),YEAR(Call_Table_Data[[#This Row],[Date of Call]])+1)</f>
        <v>2023</v>
      </c>
      <c r="I433" s="9" t="str">
        <f>TEXT(Call_Table_Data[[#This Row],[Date of Call]],"DDDD")</f>
        <v>Saturday</v>
      </c>
      <c r="J433" s="9" t="str" cm="1">
        <f t="array" ref="J433">_xlfn.IFS(Call_Table_Data[[#This Row],[Duration]]&lt;=10,"Under 10 Mins",Call_Table_Data[[#This Row],[Duration]]&lt;=30,"10 to 30 Mins",Call_Table_Data[[#This Row],[Duration]]&lt;=60,"30 to 60 Mins",Call_Table_Data[[#This Row],[Duration]]&lt;=120,"1 to 2 Hours",TRUE,"More Than 2 Hours")</f>
        <v>1 to 2 Hours</v>
      </c>
      <c r="K433" s="9">
        <f>ROUND(Call_Table_Data[[#This Row],[Satisfaction Rating]],0)</f>
        <v>3</v>
      </c>
    </row>
    <row r="434" spans="1:11" x14ac:dyDescent="0.3">
      <c r="A434" s="9" t="s">
        <v>2060</v>
      </c>
      <c r="B434" s="9" t="s">
        <v>1624</v>
      </c>
      <c r="C434" s="9">
        <v>81</v>
      </c>
      <c r="D434" s="149" t="s">
        <v>1626</v>
      </c>
      <c r="E434" s="150">
        <v>45045</v>
      </c>
      <c r="F434" s="9">
        <v>40</v>
      </c>
      <c r="G434" s="9">
        <v>2.4</v>
      </c>
      <c r="H434" s="9">
        <f>IF(MONTH(Call_Table_Data[[#This Row],[Date of Call]])&lt;=6,YEAR(Call_Table_Data[[#This Row],[Date of Call]]),YEAR(Call_Table_Data[[#This Row],[Date of Call]])+1)</f>
        <v>2023</v>
      </c>
      <c r="I434" s="9" t="str">
        <f>TEXT(Call_Table_Data[[#This Row],[Date of Call]],"DDDD")</f>
        <v>Saturday</v>
      </c>
      <c r="J434" s="9" t="str" cm="1">
        <f t="array" ref="J434">_xlfn.IFS(Call_Table_Data[[#This Row],[Duration]]&lt;=10,"Under 10 Mins",Call_Table_Data[[#This Row],[Duration]]&lt;=30,"10 to 30 Mins",Call_Table_Data[[#This Row],[Duration]]&lt;=60,"30 to 60 Mins",Call_Table_Data[[#This Row],[Duration]]&lt;=120,"1 to 2 Hours",TRUE,"More Than 2 Hours")</f>
        <v>1 to 2 Hours</v>
      </c>
      <c r="K434" s="9">
        <f>ROUND(Call_Table_Data[[#This Row],[Satisfaction Rating]],0)</f>
        <v>2</v>
      </c>
    </row>
    <row r="435" spans="1:11" x14ac:dyDescent="0.3">
      <c r="A435" s="9" t="s">
        <v>2061</v>
      </c>
      <c r="B435" s="9" t="s">
        <v>1641</v>
      </c>
      <c r="C435" s="9">
        <v>93</v>
      </c>
      <c r="D435" s="149" t="s">
        <v>1621</v>
      </c>
      <c r="E435" s="150">
        <v>45045</v>
      </c>
      <c r="F435" s="9">
        <v>150</v>
      </c>
      <c r="G435" s="9">
        <v>4.5999999999999996</v>
      </c>
      <c r="H435" s="9">
        <f>IF(MONTH(Call_Table_Data[[#This Row],[Date of Call]])&lt;=6,YEAR(Call_Table_Data[[#This Row],[Date of Call]]),YEAR(Call_Table_Data[[#This Row],[Date of Call]])+1)</f>
        <v>2023</v>
      </c>
      <c r="I435" s="9" t="str">
        <f>TEXT(Call_Table_Data[[#This Row],[Date of Call]],"DDDD")</f>
        <v>Saturday</v>
      </c>
      <c r="J435" s="9" t="str" cm="1">
        <f t="array" ref="J435">_xlfn.IFS(Call_Table_Data[[#This Row],[Duration]]&lt;=10,"Under 10 Mins",Call_Table_Data[[#This Row],[Duration]]&lt;=30,"10 to 30 Mins",Call_Table_Data[[#This Row],[Duration]]&lt;=60,"30 to 60 Mins",Call_Table_Data[[#This Row],[Duration]]&lt;=120,"1 to 2 Hours",TRUE,"More Than 2 Hours")</f>
        <v>1 to 2 Hours</v>
      </c>
      <c r="K435" s="9">
        <f>ROUND(Call_Table_Data[[#This Row],[Satisfaction Rating]],0)</f>
        <v>5</v>
      </c>
    </row>
    <row r="436" spans="1:11" x14ac:dyDescent="0.3">
      <c r="A436" s="9" t="s">
        <v>2062</v>
      </c>
      <c r="B436" s="9" t="s">
        <v>1615</v>
      </c>
      <c r="C436" s="9">
        <v>14</v>
      </c>
      <c r="D436" s="149" t="s">
        <v>1616</v>
      </c>
      <c r="E436" s="150">
        <v>45045</v>
      </c>
      <c r="F436" s="9">
        <v>96</v>
      </c>
      <c r="G436" s="9">
        <v>4.8</v>
      </c>
      <c r="H436" s="9">
        <f>IF(MONTH(Call_Table_Data[[#This Row],[Date of Call]])&lt;=6,YEAR(Call_Table_Data[[#This Row],[Date of Call]]),YEAR(Call_Table_Data[[#This Row],[Date of Call]])+1)</f>
        <v>2023</v>
      </c>
      <c r="I436" s="9" t="str">
        <f>TEXT(Call_Table_Data[[#This Row],[Date of Call]],"DDDD")</f>
        <v>Saturday</v>
      </c>
      <c r="J436" s="9" t="str" cm="1">
        <f t="array" ref="J436">_xlfn.IFS(Call_Table_Data[[#This Row],[Duration]]&lt;=10,"Under 10 Mins",Call_Table_Data[[#This Row],[Duration]]&lt;=30,"10 to 30 Mins",Call_Table_Data[[#This Row],[Duration]]&lt;=60,"30 to 60 Mins",Call_Table_Data[[#This Row],[Duration]]&lt;=120,"1 to 2 Hours",TRUE,"More Than 2 Hours")</f>
        <v>10 to 30 Mins</v>
      </c>
      <c r="K436" s="9">
        <f>ROUND(Call_Table_Data[[#This Row],[Satisfaction Rating]],0)</f>
        <v>5</v>
      </c>
    </row>
    <row r="437" spans="1:11" x14ac:dyDescent="0.3">
      <c r="A437" s="9" t="s">
        <v>2063</v>
      </c>
      <c r="B437" s="9" t="s">
        <v>1635</v>
      </c>
      <c r="C437" s="9">
        <v>95</v>
      </c>
      <c r="D437" s="149" t="s">
        <v>1626</v>
      </c>
      <c r="E437" s="150">
        <v>45046</v>
      </c>
      <c r="F437" s="9">
        <v>75</v>
      </c>
      <c r="G437" s="9">
        <v>4.8</v>
      </c>
      <c r="H437" s="9">
        <f>IF(MONTH(Call_Table_Data[[#This Row],[Date of Call]])&lt;=6,YEAR(Call_Table_Data[[#This Row],[Date of Call]]),YEAR(Call_Table_Data[[#This Row],[Date of Call]])+1)</f>
        <v>2023</v>
      </c>
      <c r="I437" s="9" t="str">
        <f>TEXT(Call_Table_Data[[#This Row],[Date of Call]],"DDDD")</f>
        <v>Sunday</v>
      </c>
      <c r="J437" s="9" t="str" cm="1">
        <f t="array" ref="J437">_xlfn.IFS(Call_Table_Data[[#This Row],[Duration]]&lt;=10,"Under 10 Mins",Call_Table_Data[[#This Row],[Duration]]&lt;=30,"10 to 30 Mins",Call_Table_Data[[#This Row],[Duration]]&lt;=60,"30 to 60 Mins",Call_Table_Data[[#This Row],[Duration]]&lt;=120,"1 to 2 Hours",TRUE,"More Than 2 Hours")</f>
        <v>1 to 2 Hours</v>
      </c>
      <c r="K437" s="9">
        <f>ROUND(Call_Table_Data[[#This Row],[Satisfaction Rating]],0)</f>
        <v>5</v>
      </c>
    </row>
    <row r="438" spans="1:11" x14ac:dyDescent="0.3">
      <c r="A438" s="9" t="s">
        <v>2064</v>
      </c>
      <c r="B438" s="9" t="s">
        <v>1641</v>
      </c>
      <c r="C438" s="9">
        <v>81</v>
      </c>
      <c r="D438" s="149" t="s">
        <v>1626</v>
      </c>
      <c r="E438" s="150">
        <v>45046</v>
      </c>
      <c r="F438" s="9">
        <v>60</v>
      </c>
      <c r="G438" s="9">
        <v>3.6</v>
      </c>
      <c r="H438" s="9">
        <f>IF(MONTH(Call_Table_Data[[#This Row],[Date of Call]])&lt;=6,YEAR(Call_Table_Data[[#This Row],[Date of Call]]),YEAR(Call_Table_Data[[#This Row],[Date of Call]])+1)</f>
        <v>2023</v>
      </c>
      <c r="I438" s="9" t="str">
        <f>TEXT(Call_Table_Data[[#This Row],[Date of Call]],"DDDD")</f>
        <v>Sunday</v>
      </c>
      <c r="J438" s="9" t="str" cm="1">
        <f t="array" ref="J438">_xlfn.IFS(Call_Table_Data[[#This Row],[Duration]]&lt;=10,"Under 10 Mins",Call_Table_Data[[#This Row],[Duration]]&lt;=30,"10 to 30 Mins",Call_Table_Data[[#This Row],[Duration]]&lt;=60,"30 to 60 Mins",Call_Table_Data[[#This Row],[Duration]]&lt;=120,"1 to 2 Hours",TRUE,"More Than 2 Hours")</f>
        <v>1 to 2 Hours</v>
      </c>
      <c r="K438" s="9">
        <f>ROUND(Call_Table_Data[[#This Row],[Satisfaction Rating]],0)</f>
        <v>4</v>
      </c>
    </row>
    <row r="439" spans="1:11" x14ac:dyDescent="0.3">
      <c r="A439" s="9" t="s">
        <v>2065</v>
      </c>
      <c r="B439" s="9" t="s">
        <v>1682</v>
      </c>
      <c r="C439" s="9">
        <v>60</v>
      </c>
      <c r="D439" s="149" t="s">
        <v>1616</v>
      </c>
      <c r="E439" s="150">
        <v>45047</v>
      </c>
      <c r="F439" s="9">
        <v>41</v>
      </c>
      <c r="G439" s="9">
        <v>4.8</v>
      </c>
      <c r="H439" s="9">
        <f>IF(MONTH(Call_Table_Data[[#This Row],[Date of Call]])&lt;=6,YEAR(Call_Table_Data[[#This Row],[Date of Call]]),YEAR(Call_Table_Data[[#This Row],[Date of Call]])+1)</f>
        <v>2023</v>
      </c>
      <c r="I439" s="9" t="str">
        <f>TEXT(Call_Table_Data[[#This Row],[Date of Call]],"DDDD")</f>
        <v>Monday</v>
      </c>
      <c r="J439" s="9" t="str" cm="1">
        <f t="array" ref="J439">_xlfn.IFS(Call_Table_Data[[#This Row],[Duration]]&lt;=10,"Under 10 Mins",Call_Table_Data[[#This Row],[Duration]]&lt;=30,"10 to 30 Mins",Call_Table_Data[[#This Row],[Duration]]&lt;=60,"30 to 60 Mins",Call_Table_Data[[#This Row],[Duration]]&lt;=120,"1 to 2 Hours",TRUE,"More Than 2 Hours")</f>
        <v>30 to 60 Mins</v>
      </c>
      <c r="K439" s="9">
        <f>ROUND(Call_Table_Data[[#This Row],[Satisfaction Rating]],0)</f>
        <v>5</v>
      </c>
    </row>
    <row r="440" spans="1:11" x14ac:dyDescent="0.3">
      <c r="A440" s="9" t="s">
        <v>2066</v>
      </c>
      <c r="B440" s="9" t="s">
        <v>1633</v>
      </c>
      <c r="C440" s="9">
        <v>137</v>
      </c>
      <c r="D440" s="149" t="s">
        <v>1621</v>
      </c>
      <c r="E440" s="150">
        <v>45047</v>
      </c>
      <c r="F440" s="9">
        <v>20</v>
      </c>
      <c r="G440" s="9">
        <v>4.2</v>
      </c>
      <c r="H440" s="9">
        <f>IF(MONTH(Call_Table_Data[[#This Row],[Date of Call]])&lt;=6,YEAR(Call_Table_Data[[#This Row],[Date of Call]]),YEAR(Call_Table_Data[[#This Row],[Date of Call]])+1)</f>
        <v>2023</v>
      </c>
      <c r="I440" s="9" t="str">
        <f>TEXT(Call_Table_Data[[#This Row],[Date of Call]],"DDDD")</f>
        <v>Monday</v>
      </c>
      <c r="J440" s="9" t="str" cm="1">
        <f t="array" ref="J440">_xlfn.IFS(Call_Table_Data[[#This Row],[Duration]]&lt;=10,"Under 10 Mins",Call_Table_Data[[#This Row],[Duration]]&lt;=30,"10 to 30 Mins",Call_Table_Data[[#This Row],[Duration]]&lt;=60,"30 to 60 Mins",Call_Table_Data[[#This Row],[Duration]]&lt;=120,"1 to 2 Hours",TRUE,"More Than 2 Hours")</f>
        <v>More Than 2 Hours</v>
      </c>
      <c r="K440" s="9">
        <f>ROUND(Call_Table_Data[[#This Row],[Satisfaction Rating]],0)</f>
        <v>4</v>
      </c>
    </row>
    <row r="441" spans="1:11" x14ac:dyDescent="0.3">
      <c r="A441" s="9" t="s">
        <v>2067</v>
      </c>
      <c r="B441" s="9" t="s">
        <v>1613</v>
      </c>
      <c r="C441" s="9">
        <v>112</v>
      </c>
      <c r="D441" s="149" t="s">
        <v>1630</v>
      </c>
      <c r="E441" s="150">
        <v>45047</v>
      </c>
      <c r="F441" s="9">
        <v>84</v>
      </c>
      <c r="G441" s="9">
        <v>2.6</v>
      </c>
      <c r="H441" s="9">
        <f>IF(MONTH(Call_Table_Data[[#This Row],[Date of Call]])&lt;=6,YEAR(Call_Table_Data[[#This Row],[Date of Call]]),YEAR(Call_Table_Data[[#This Row],[Date of Call]])+1)</f>
        <v>2023</v>
      </c>
      <c r="I441" s="9" t="str">
        <f>TEXT(Call_Table_Data[[#This Row],[Date of Call]],"DDDD")</f>
        <v>Monday</v>
      </c>
      <c r="J441" s="9" t="str" cm="1">
        <f t="array" ref="J441">_xlfn.IFS(Call_Table_Data[[#This Row],[Duration]]&lt;=10,"Under 10 Mins",Call_Table_Data[[#This Row],[Duration]]&lt;=30,"10 to 30 Mins",Call_Table_Data[[#This Row],[Duration]]&lt;=60,"30 to 60 Mins",Call_Table_Data[[#This Row],[Duration]]&lt;=120,"1 to 2 Hours",TRUE,"More Than 2 Hours")</f>
        <v>1 to 2 Hours</v>
      </c>
      <c r="K441" s="9">
        <f>ROUND(Call_Table_Data[[#This Row],[Satisfaction Rating]],0)</f>
        <v>3</v>
      </c>
    </row>
    <row r="442" spans="1:11" x14ac:dyDescent="0.3">
      <c r="A442" s="9" t="s">
        <v>2068</v>
      </c>
      <c r="B442" s="9" t="s">
        <v>1635</v>
      </c>
      <c r="C442" s="9">
        <v>76</v>
      </c>
      <c r="D442" s="149" t="s">
        <v>1611</v>
      </c>
      <c r="E442" s="150">
        <v>45047</v>
      </c>
      <c r="F442" s="9">
        <v>140</v>
      </c>
      <c r="G442" s="9">
        <v>3.7</v>
      </c>
      <c r="H442" s="9">
        <f>IF(MONTH(Call_Table_Data[[#This Row],[Date of Call]])&lt;=6,YEAR(Call_Table_Data[[#This Row],[Date of Call]]),YEAR(Call_Table_Data[[#This Row],[Date of Call]])+1)</f>
        <v>2023</v>
      </c>
      <c r="I442" s="9" t="str">
        <f>TEXT(Call_Table_Data[[#This Row],[Date of Call]],"DDDD")</f>
        <v>Monday</v>
      </c>
      <c r="J442" s="9" t="str" cm="1">
        <f t="array" ref="J442">_xlfn.IFS(Call_Table_Data[[#This Row],[Duration]]&lt;=10,"Under 10 Mins",Call_Table_Data[[#This Row],[Duration]]&lt;=30,"10 to 30 Mins",Call_Table_Data[[#This Row],[Duration]]&lt;=60,"30 to 60 Mins",Call_Table_Data[[#This Row],[Duration]]&lt;=120,"1 to 2 Hours",TRUE,"More Than 2 Hours")</f>
        <v>1 to 2 Hours</v>
      </c>
      <c r="K442" s="9">
        <f>ROUND(Call_Table_Data[[#This Row],[Satisfaction Rating]],0)</f>
        <v>4</v>
      </c>
    </row>
    <row r="443" spans="1:11" x14ac:dyDescent="0.3">
      <c r="A443" s="9" t="s">
        <v>2069</v>
      </c>
      <c r="B443" s="9" t="s">
        <v>1649</v>
      </c>
      <c r="C443" s="9">
        <v>73</v>
      </c>
      <c r="D443" s="149" t="s">
        <v>1616</v>
      </c>
      <c r="E443" s="150">
        <v>45047</v>
      </c>
      <c r="F443" s="9">
        <v>66</v>
      </c>
      <c r="G443" s="9">
        <v>4.8</v>
      </c>
      <c r="H443" s="9">
        <f>IF(MONTH(Call_Table_Data[[#This Row],[Date of Call]])&lt;=6,YEAR(Call_Table_Data[[#This Row],[Date of Call]]),YEAR(Call_Table_Data[[#This Row],[Date of Call]])+1)</f>
        <v>2023</v>
      </c>
      <c r="I443" s="9" t="str">
        <f>TEXT(Call_Table_Data[[#This Row],[Date of Call]],"DDDD")</f>
        <v>Monday</v>
      </c>
      <c r="J443" s="9" t="str" cm="1">
        <f t="array" ref="J443">_xlfn.IFS(Call_Table_Data[[#This Row],[Duration]]&lt;=10,"Under 10 Mins",Call_Table_Data[[#This Row],[Duration]]&lt;=30,"10 to 30 Mins",Call_Table_Data[[#This Row],[Duration]]&lt;=60,"30 to 60 Mins",Call_Table_Data[[#This Row],[Duration]]&lt;=120,"1 to 2 Hours",TRUE,"More Than 2 Hours")</f>
        <v>1 to 2 Hours</v>
      </c>
      <c r="K443" s="9">
        <f>ROUND(Call_Table_Data[[#This Row],[Satisfaction Rating]],0)</f>
        <v>5</v>
      </c>
    </row>
    <row r="444" spans="1:11" x14ac:dyDescent="0.3">
      <c r="A444" s="9" t="s">
        <v>2070</v>
      </c>
      <c r="B444" s="9" t="s">
        <v>1629</v>
      </c>
      <c r="C444" s="9">
        <v>119</v>
      </c>
      <c r="D444" s="149" t="s">
        <v>1621</v>
      </c>
      <c r="E444" s="150">
        <v>45047</v>
      </c>
      <c r="F444" s="9">
        <v>105</v>
      </c>
      <c r="G444" s="9">
        <v>4.7</v>
      </c>
      <c r="H444" s="9">
        <f>IF(MONTH(Call_Table_Data[[#This Row],[Date of Call]])&lt;=6,YEAR(Call_Table_Data[[#This Row],[Date of Call]]),YEAR(Call_Table_Data[[#This Row],[Date of Call]])+1)</f>
        <v>2023</v>
      </c>
      <c r="I444" s="9" t="str">
        <f>TEXT(Call_Table_Data[[#This Row],[Date of Call]],"DDDD")</f>
        <v>Monday</v>
      </c>
      <c r="J444" s="9" t="str" cm="1">
        <f t="array" ref="J444">_xlfn.IFS(Call_Table_Data[[#This Row],[Duration]]&lt;=10,"Under 10 Mins",Call_Table_Data[[#This Row],[Duration]]&lt;=30,"10 to 30 Mins",Call_Table_Data[[#This Row],[Duration]]&lt;=60,"30 to 60 Mins",Call_Table_Data[[#This Row],[Duration]]&lt;=120,"1 to 2 Hours",TRUE,"More Than 2 Hours")</f>
        <v>1 to 2 Hours</v>
      </c>
      <c r="K444" s="9">
        <f>ROUND(Call_Table_Data[[#This Row],[Satisfaction Rating]],0)</f>
        <v>5</v>
      </c>
    </row>
    <row r="445" spans="1:11" x14ac:dyDescent="0.3">
      <c r="A445" s="9" t="s">
        <v>2071</v>
      </c>
      <c r="B445" s="9" t="s">
        <v>1610</v>
      </c>
      <c r="C445" s="9">
        <v>135</v>
      </c>
      <c r="D445" s="149" t="s">
        <v>1626</v>
      </c>
      <c r="E445" s="150">
        <v>45048</v>
      </c>
      <c r="F445" s="9">
        <v>104</v>
      </c>
      <c r="G445" s="9">
        <v>4.0999999999999996</v>
      </c>
      <c r="H445" s="9">
        <f>IF(MONTH(Call_Table_Data[[#This Row],[Date of Call]])&lt;=6,YEAR(Call_Table_Data[[#This Row],[Date of Call]]),YEAR(Call_Table_Data[[#This Row],[Date of Call]])+1)</f>
        <v>2023</v>
      </c>
      <c r="I445" s="9" t="str">
        <f>TEXT(Call_Table_Data[[#This Row],[Date of Call]],"DDDD")</f>
        <v>Tuesday</v>
      </c>
      <c r="J445" s="9" t="str" cm="1">
        <f t="array" ref="J445">_xlfn.IFS(Call_Table_Data[[#This Row],[Duration]]&lt;=10,"Under 10 Mins",Call_Table_Data[[#This Row],[Duration]]&lt;=30,"10 to 30 Mins",Call_Table_Data[[#This Row],[Duration]]&lt;=60,"30 to 60 Mins",Call_Table_Data[[#This Row],[Duration]]&lt;=120,"1 to 2 Hours",TRUE,"More Than 2 Hours")</f>
        <v>More Than 2 Hours</v>
      </c>
      <c r="K445" s="9">
        <f>ROUND(Call_Table_Data[[#This Row],[Satisfaction Rating]],0)</f>
        <v>4</v>
      </c>
    </row>
    <row r="446" spans="1:11" x14ac:dyDescent="0.3">
      <c r="A446" s="9" t="s">
        <v>2072</v>
      </c>
      <c r="B446" s="9" t="s">
        <v>1633</v>
      </c>
      <c r="C446" s="9">
        <v>41</v>
      </c>
      <c r="D446" s="149" t="s">
        <v>1630</v>
      </c>
      <c r="E446" s="150">
        <v>45048</v>
      </c>
      <c r="F446" s="9">
        <v>123</v>
      </c>
      <c r="G446" s="9">
        <v>3.2</v>
      </c>
      <c r="H446" s="9">
        <f>IF(MONTH(Call_Table_Data[[#This Row],[Date of Call]])&lt;=6,YEAR(Call_Table_Data[[#This Row],[Date of Call]]),YEAR(Call_Table_Data[[#This Row],[Date of Call]])+1)</f>
        <v>2023</v>
      </c>
      <c r="I446" s="9" t="str">
        <f>TEXT(Call_Table_Data[[#This Row],[Date of Call]],"DDDD")</f>
        <v>Tuesday</v>
      </c>
      <c r="J446" s="9" t="str" cm="1">
        <f t="array" ref="J446">_xlfn.IFS(Call_Table_Data[[#This Row],[Duration]]&lt;=10,"Under 10 Mins",Call_Table_Data[[#This Row],[Duration]]&lt;=30,"10 to 30 Mins",Call_Table_Data[[#This Row],[Duration]]&lt;=60,"30 to 60 Mins",Call_Table_Data[[#This Row],[Duration]]&lt;=120,"1 to 2 Hours",TRUE,"More Than 2 Hours")</f>
        <v>30 to 60 Mins</v>
      </c>
      <c r="K446" s="9">
        <f>ROUND(Call_Table_Data[[#This Row],[Satisfaction Rating]],0)</f>
        <v>3</v>
      </c>
    </row>
    <row r="447" spans="1:11" x14ac:dyDescent="0.3">
      <c r="A447" s="9" t="s">
        <v>2073</v>
      </c>
      <c r="B447" s="9" t="s">
        <v>1615</v>
      </c>
      <c r="C447" s="9">
        <v>35</v>
      </c>
      <c r="D447" s="149" t="s">
        <v>1626</v>
      </c>
      <c r="E447" s="150">
        <v>45049</v>
      </c>
      <c r="F447" s="9">
        <v>215</v>
      </c>
      <c r="G447" s="9">
        <v>4.3</v>
      </c>
      <c r="H447" s="9">
        <f>IF(MONTH(Call_Table_Data[[#This Row],[Date of Call]])&lt;=6,YEAR(Call_Table_Data[[#This Row],[Date of Call]]),YEAR(Call_Table_Data[[#This Row],[Date of Call]])+1)</f>
        <v>2023</v>
      </c>
      <c r="I447" s="9" t="str">
        <f>TEXT(Call_Table_Data[[#This Row],[Date of Call]],"DDDD")</f>
        <v>Wednesday</v>
      </c>
      <c r="J447" s="9" t="str" cm="1">
        <f t="array" ref="J447">_xlfn.IFS(Call_Table_Data[[#This Row],[Duration]]&lt;=10,"Under 10 Mins",Call_Table_Data[[#This Row],[Duration]]&lt;=30,"10 to 30 Mins",Call_Table_Data[[#This Row],[Duration]]&lt;=60,"30 to 60 Mins",Call_Table_Data[[#This Row],[Duration]]&lt;=120,"1 to 2 Hours",TRUE,"More Than 2 Hours")</f>
        <v>30 to 60 Mins</v>
      </c>
      <c r="K447" s="9">
        <f>ROUND(Call_Table_Data[[#This Row],[Satisfaction Rating]],0)</f>
        <v>4</v>
      </c>
    </row>
    <row r="448" spans="1:11" x14ac:dyDescent="0.3">
      <c r="A448" s="9" t="s">
        <v>2074</v>
      </c>
      <c r="B448" s="9" t="s">
        <v>1610</v>
      </c>
      <c r="C448" s="9">
        <v>96</v>
      </c>
      <c r="D448" s="149" t="s">
        <v>1616</v>
      </c>
      <c r="E448" s="150">
        <v>45049</v>
      </c>
      <c r="F448" s="9">
        <v>46</v>
      </c>
      <c r="G448" s="9">
        <v>0.7</v>
      </c>
      <c r="H448" s="9">
        <f>IF(MONTH(Call_Table_Data[[#This Row],[Date of Call]])&lt;=6,YEAR(Call_Table_Data[[#This Row],[Date of Call]]),YEAR(Call_Table_Data[[#This Row],[Date of Call]])+1)</f>
        <v>2023</v>
      </c>
      <c r="I448" s="9" t="str">
        <f>TEXT(Call_Table_Data[[#This Row],[Date of Call]],"DDDD")</f>
        <v>Wednesday</v>
      </c>
      <c r="J448" s="9" t="str" cm="1">
        <f t="array" ref="J448">_xlfn.IFS(Call_Table_Data[[#This Row],[Duration]]&lt;=10,"Under 10 Mins",Call_Table_Data[[#This Row],[Duration]]&lt;=30,"10 to 30 Mins",Call_Table_Data[[#This Row],[Duration]]&lt;=60,"30 to 60 Mins",Call_Table_Data[[#This Row],[Duration]]&lt;=120,"1 to 2 Hours",TRUE,"More Than 2 Hours")</f>
        <v>1 to 2 Hours</v>
      </c>
      <c r="K448" s="9">
        <f>ROUND(Call_Table_Data[[#This Row],[Satisfaction Rating]],0)</f>
        <v>1</v>
      </c>
    </row>
    <row r="449" spans="1:11" x14ac:dyDescent="0.3">
      <c r="A449" s="9" t="s">
        <v>2075</v>
      </c>
      <c r="B449" s="9" t="s">
        <v>1641</v>
      </c>
      <c r="C449" s="9">
        <v>61</v>
      </c>
      <c r="D449" s="149" t="s">
        <v>1630</v>
      </c>
      <c r="E449" s="150">
        <v>45049</v>
      </c>
      <c r="F449" s="9">
        <v>115</v>
      </c>
      <c r="G449" s="9">
        <v>3.7</v>
      </c>
      <c r="H449" s="9">
        <f>IF(MONTH(Call_Table_Data[[#This Row],[Date of Call]])&lt;=6,YEAR(Call_Table_Data[[#This Row],[Date of Call]]),YEAR(Call_Table_Data[[#This Row],[Date of Call]])+1)</f>
        <v>2023</v>
      </c>
      <c r="I449" s="9" t="str">
        <f>TEXT(Call_Table_Data[[#This Row],[Date of Call]],"DDDD")</f>
        <v>Wednesday</v>
      </c>
      <c r="J449" s="9" t="str" cm="1">
        <f t="array" ref="J449">_xlfn.IFS(Call_Table_Data[[#This Row],[Duration]]&lt;=10,"Under 10 Mins",Call_Table_Data[[#This Row],[Duration]]&lt;=30,"10 to 30 Mins",Call_Table_Data[[#This Row],[Duration]]&lt;=60,"30 to 60 Mins",Call_Table_Data[[#This Row],[Duration]]&lt;=120,"1 to 2 Hours",TRUE,"More Than 2 Hours")</f>
        <v>1 to 2 Hours</v>
      </c>
      <c r="K449" s="9">
        <f>ROUND(Call_Table_Data[[#This Row],[Satisfaction Rating]],0)</f>
        <v>4</v>
      </c>
    </row>
    <row r="450" spans="1:11" x14ac:dyDescent="0.3">
      <c r="A450" s="9" t="s">
        <v>2076</v>
      </c>
      <c r="B450" s="9" t="s">
        <v>1610</v>
      </c>
      <c r="C450" s="9">
        <v>91</v>
      </c>
      <c r="D450" s="149" t="s">
        <v>1630</v>
      </c>
      <c r="E450" s="150">
        <v>45049</v>
      </c>
      <c r="F450" s="9">
        <v>124</v>
      </c>
      <c r="G450" s="9">
        <v>3.9</v>
      </c>
      <c r="H450" s="9">
        <f>IF(MONTH(Call_Table_Data[[#This Row],[Date of Call]])&lt;=6,YEAR(Call_Table_Data[[#This Row],[Date of Call]]),YEAR(Call_Table_Data[[#This Row],[Date of Call]])+1)</f>
        <v>2023</v>
      </c>
      <c r="I450" s="9" t="str">
        <f>TEXT(Call_Table_Data[[#This Row],[Date of Call]],"DDDD")</f>
        <v>Wednesday</v>
      </c>
      <c r="J450" s="9" t="str" cm="1">
        <f t="array" ref="J450">_xlfn.IFS(Call_Table_Data[[#This Row],[Duration]]&lt;=10,"Under 10 Mins",Call_Table_Data[[#This Row],[Duration]]&lt;=30,"10 to 30 Mins",Call_Table_Data[[#This Row],[Duration]]&lt;=60,"30 to 60 Mins",Call_Table_Data[[#This Row],[Duration]]&lt;=120,"1 to 2 Hours",TRUE,"More Than 2 Hours")</f>
        <v>1 to 2 Hours</v>
      </c>
      <c r="K450" s="9">
        <f>ROUND(Call_Table_Data[[#This Row],[Satisfaction Rating]],0)</f>
        <v>4</v>
      </c>
    </row>
    <row r="451" spans="1:11" x14ac:dyDescent="0.3">
      <c r="A451" s="9" t="s">
        <v>2077</v>
      </c>
      <c r="B451" s="9" t="s">
        <v>1662</v>
      </c>
      <c r="C451" s="9">
        <v>30</v>
      </c>
      <c r="D451" s="149" t="s">
        <v>1630</v>
      </c>
      <c r="E451" s="150">
        <v>45050</v>
      </c>
      <c r="F451" s="9">
        <v>205</v>
      </c>
      <c r="G451" s="9">
        <v>4.5</v>
      </c>
      <c r="H451" s="9">
        <f>IF(MONTH(Call_Table_Data[[#This Row],[Date of Call]])&lt;=6,YEAR(Call_Table_Data[[#This Row],[Date of Call]]),YEAR(Call_Table_Data[[#This Row],[Date of Call]])+1)</f>
        <v>2023</v>
      </c>
      <c r="I451" s="9" t="str">
        <f>TEXT(Call_Table_Data[[#This Row],[Date of Call]],"DDDD")</f>
        <v>Thursday</v>
      </c>
      <c r="J451" s="9" t="str" cm="1">
        <f t="array" ref="J451">_xlfn.IFS(Call_Table_Data[[#This Row],[Duration]]&lt;=10,"Under 10 Mins",Call_Table_Data[[#This Row],[Duration]]&lt;=30,"10 to 30 Mins",Call_Table_Data[[#This Row],[Duration]]&lt;=60,"30 to 60 Mins",Call_Table_Data[[#This Row],[Duration]]&lt;=120,"1 to 2 Hours",TRUE,"More Than 2 Hours")</f>
        <v>10 to 30 Mins</v>
      </c>
      <c r="K451" s="9">
        <f>ROUND(Call_Table_Data[[#This Row],[Satisfaction Rating]],0)</f>
        <v>5</v>
      </c>
    </row>
    <row r="452" spans="1:11" x14ac:dyDescent="0.3">
      <c r="A452" s="9" t="s">
        <v>2078</v>
      </c>
      <c r="B452" s="9" t="s">
        <v>1682</v>
      </c>
      <c r="C452" s="9">
        <v>111</v>
      </c>
      <c r="D452" s="149" t="s">
        <v>1621</v>
      </c>
      <c r="E452" s="150">
        <v>45050</v>
      </c>
      <c r="F452" s="9">
        <v>90</v>
      </c>
      <c r="G452" s="9">
        <v>2.8</v>
      </c>
      <c r="H452" s="9">
        <f>IF(MONTH(Call_Table_Data[[#This Row],[Date of Call]])&lt;=6,YEAR(Call_Table_Data[[#This Row],[Date of Call]]),YEAR(Call_Table_Data[[#This Row],[Date of Call]])+1)</f>
        <v>2023</v>
      </c>
      <c r="I452" s="9" t="str">
        <f>TEXT(Call_Table_Data[[#This Row],[Date of Call]],"DDDD")</f>
        <v>Thursday</v>
      </c>
      <c r="J452" s="9" t="str" cm="1">
        <f t="array" ref="J452">_xlfn.IFS(Call_Table_Data[[#This Row],[Duration]]&lt;=10,"Under 10 Mins",Call_Table_Data[[#This Row],[Duration]]&lt;=30,"10 to 30 Mins",Call_Table_Data[[#This Row],[Duration]]&lt;=60,"30 to 60 Mins",Call_Table_Data[[#This Row],[Duration]]&lt;=120,"1 to 2 Hours",TRUE,"More Than 2 Hours")</f>
        <v>1 to 2 Hours</v>
      </c>
      <c r="K452" s="9">
        <f>ROUND(Call_Table_Data[[#This Row],[Satisfaction Rating]],0)</f>
        <v>3</v>
      </c>
    </row>
    <row r="453" spans="1:11" x14ac:dyDescent="0.3">
      <c r="A453" s="9" t="s">
        <v>2079</v>
      </c>
      <c r="B453" s="9" t="s">
        <v>1641</v>
      </c>
      <c r="C453" s="9">
        <v>81</v>
      </c>
      <c r="D453" s="149" t="s">
        <v>1616</v>
      </c>
      <c r="E453" s="150">
        <v>45050</v>
      </c>
      <c r="F453" s="9">
        <v>92</v>
      </c>
      <c r="G453" s="9">
        <v>4.9000000000000004</v>
      </c>
      <c r="H453" s="9">
        <f>IF(MONTH(Call_Table_Data[[#This Row],[Date of Call]])&lt;=6,YEAR(Call_Table_Data[[#This Row],[Date of Call]]),YEAR(Call_Table_Data[[#This Row],[Date of Call]])+1)</f>
        <v>2023</v>
      </c>
      <c r="I453" s="9" t="str">
        <f>TEXT(Call_Table_Data[[#This Row],[Date of Call]],"DDDD")</f>
        <v>Thursday</v>
      </c>
      <c r="J453" s="9" t="str" cm="1">
        <f t="array" ref="J453">_xlfn.IFS(Call_Table_Data[[#This Row],[Duration]]&lt;=10,"Under 10 Mins",Call_Table_Data[[#This Row],[Duration]]&lt;=30,"10 to 30 Mins",Call_Table_Data[[#This Row],[Duration]]&lt;=60,"30 to 60 Mins",Call_Table_Data[[#This Row],[Duration]]&lt;=120,"1 to 2 Hours",TRUE,"More Than 2 Hours")</f>
        <v>1 to 2 Hours</v>
      </c>
      <c r="K453" s="9">
        <f>ROUND(Call_Table_Data[[#This Row],[Satisfaction Rating]],0)</f>
        <v>5</v>
      </c>
    </row>
    <row r="454" spans="1:11" x14ac:dyDescent="0.3">
      <c r="A454" s="9" t="s">
        <v>2080</v>
      </c>
      <c r="B454" s="9" t="s">
        <v>1635</v>
      </c>
      <c r="C454" s="9">
        <v>40</v>
      </c>
      <c r="D454" s="149" t="s">
        <v>1626</v>
      </c>
      <c r="E454" s="150">
        <v>45052</v>
      </c>
      <c r="F454" s="9">
        <v>108</v>
      </c>
      <c r="G454" s="9">
        <v>4.2</v>
      </c>
      <c r="H454" s="9">
        <f>IF(MONTH(Call_Table_Data[[#This Row],[Date of Call]])&lt;=6,YEAR(Call_Table_Data[[#This Row],[Date of Call]]),YEAR(Call_Table_Data[[#This Row],[Date of Call]])+1)</f>
        <v>2023</v>
      </c>
      <c r="I454" s="9" t="str">
        <f>TEXT(Call_Table_Data[[#This Row],[Date of Call]],"DDDD")</f>
        <v>Saturday</v>
      </c>
      <c r="J454" s="9" t="str" cm="1">
        <f t="array" ref="J454">_xlfn.IFS(Call_Table_Data[[#This Row],[Duration]]&lt;=10,"Under 10 Mins",Call_Table_Data[[#This Row],[Duration]]&lt;=30,"10 to 30 Mins",Call_Table_Data[[#This Row],[Duration]]&lt;=60,"30 to 60 Mins",Call_Table_Data[[#This Row],[Duration]]&lt;=120,"1 to 2 Hours",TRUE,"More Than 2 Hours")</f>
        <v>30 to 60 Mins</v>
      </c>
      <c r="K454" s="9">
        <f>ROUND(Call_Table_Data[[#This Row],[Satisfaction Rating]],0)</f>
        <v>4</v>
      </c>
    </row>
    <row r="455" spans="1:11" x14ac:dyDescent="0.3">
      <c r="A455" s="9" t="s">
        <v>2081</v>
      </c>
      <c r="B455" s="9" t="s">
        <v>1682</v>
      </c>
      <c r="C455" s="9">
        <v>143</v>
      </c>
      <c r="D455" s="149" t="s">
        <v>1626</v>
      </c>
      <c r="E455" s="150">
        <v>45052</v>
      </c>
      <c r="F455" s="9">
        <v>54</v>
      </c>
      <c r="G455" s="9">
        <v>4.4000000000000004</v>
      </c>
      <c r="H455" s="9">
        <f>IF(MONTH(Call_Table_Data[[#This Row],[Date of Call]])&lt;=6,YEAR(Call_Table_Data[[#This Row],[Date of Call]]),YEAR(Call_Table_Data[[#This Row],[Date of Call]])+1)</f>
        <v>2023</v>
      </c>
      <c r="I455" s="9" t="str">
        <f>TEXT(Call_Table_Data[[#This Row],[Date of Call]],"DDDD")</f>
        <v>Saturday</v>
      </c>
      <c r="J455" s="9" t="str" cm="1">
        <f t="array" ref="J455">_xlfn.IFS(Call_Table_Data[[#This Row],[Duration]]&lt;=10,"Under 10 Mins",Call_Table_Data[[#This Row],[Duration]]&lt;=30,"10 to 30 Mins",Call_Table_Data[[#This Row],[Duration]]&lt;=60,"30 to 60 Mins",Call_Table_Data[[#This Row],[Duration]]&lt;=120,"1 to 2 Hours",TRUE,"More Than 2 Hours")</f>
        <v>More Than 2 Hours</v>
      </c>
      <c r="K455" s="9">
        <f>ROUND(Call_Table_Data[[#This Row],[Satisfaction Rating]],0)</f>
        <v>4</v>
      </c>
    </row>
    <row r="456" spans="1:11" x14ac:dyDescent="0.3">
      <c r="A456" s="9" t="s">
        <v>2082</v>
      </c>
      <c r="B456" s="9" t="s">
        <v>1635</v>
      </c>
      <c r="C456" s="9">
        <v>70</v>
      </c>
      <c r="D456" s="149" t="s">
        <v>1626</v>
      </c>
      <c r="E456" s="150">
        <v>45053</v>
      </c>
      <c r="F456" s="9">
        <v>44</v>
      </c>
      <c r="G456" s="9">
        <v>3.5</v>
      </c>
      <c r="H456" s="9">
        <f>IF(MONTH(Call_Table_Data[[#This Row],[Date of Call]])&lt;=6,YEAR(Call_Table_Data[[#This Row],[Date of Call]]),YEAR(Call_Table_Data[[#This Row],[Date of Call]])+1)</f>
        <v>2023</v>
      </c>
      <c r="I456" s="9" t="str">
        <f>TEXT(Call_Table_Data[[#This Row],[Date of Call]],"DDDD")</f>
        <v>Sunday</v>
      </c>
      <c r="J456" s="9" t="str" cm="1">
        <f t="array" ref="J456">_xlfn.IFS(Call_Table_Data[[#This Row],[Duration]]&lt;=10,"Under 10 Mins",Call_Table_Data[[#This Row],[Duration]]&lt;=30,"10 to 30 Mins",Call_Table_Data[[#This Row],[Duration]]&lt;=60,"30 to 60 Mins",Call_Table_Data[[#This Row],[Duration]]&lt;=120,"1 to 2 Hours",TRUE,"More Than 2 Hours")</f>
        <v>1 to 2 Hours</v>
      </c>
      <c r="K456" s="9">
        <f>ROUND(Call_Table_Data[[#This Row],[Satisfaction Rating]],0)</f>
        <v>4</v>
      </c>
    </row>
    <row r="457" spans="1:11" x14ac:dyDescent="0.3">
      <c r="A457" s="9" t="s">
        <v>2083</v>
      </c>
      <c r="B457" s="9" t="s">
        <v>1649</v>
      </c>
      <c r="C457" s="9">
        <v>137</v>
      </c>
      <c r="D457" s="149" t="s">
        <v>1626</v>
      </c>
      <c r="E457" s="150">
        <v>45053</v>
      </c>
      <c r="F457" s="9">
        <v>44</v>
      </c>
      <c r="G457" s="9">
        <v>4.7</v>
      </c>
      <c r="H457" s="9">
        <f>IF(MONTH(Call_Table_Data[[#This Row],[Date of Call]])&lt;=6,YEAR(Call_Table_Data[[#This Row],[Date of Call]]),YEAR(Call_Table_Data[[#This Row],[Date of Call]])+1)</f>
        <v>2023</v>
      </c>
      <c r="I457" s="9" t="str">
        <f>TEXT(Call_Table_Data[[#This Row],[Date of Call]],"DDDD")</f>
        <v>Sunday</v>
      </c>
      <c r="J457" s="9" t="str" cm="1">
        <f t="array" ref="J457">_xlfn.IFS(Call_Table_Data[[#This Row],[Duration]]&lt;=10,"Under 10 Mins",Call_Table_Data[[#This Row],[Duration]]&lt;=30,"10 to 30 Mins",Call_Table_Data[[#This Row],[Duration]]&lt;=60,"30 to 60 Mins",Call_Table_Data[[#This Row],[Duration]]&lt;=120,"1 to 2 Hours",TRUE,"More Than 2 Hours")</f>
        <v>More Than 2 Hours</v>
      </c>
      <c r="K457" s="9">
        <f>ROUND(Call_Table_Data[[#This Row],[Satisfaction Rating]],0)</f>
        <v>5</v>
      </c>
    </row>
    <row r="458" spans="1:11" x14ac:dyDescent="0.3">
      <c r="A458" s="9" t="s">
        <v>2084</v>
      </c>
      <c r="B458" s="9" t="s">
        <v>1610</v>
      </c>
      <c r="C458" s="9">
        <v>52</v>
      </c>
      <c r="D458" s="149" t="s">
        <v>1616</v>
      </c>
      <c r="E458" s="150">
        <v>45054</v>
      </c>
      <c r="F458" s="9">
        <v>37</v>
      </c>
      <c r="G458" s="9">
        <v>4.9000000000000004</v>
      </c>
      <c r="H458" s="9">
        <f>IF(MONTH(Call_Table_Data[[#This Row],[Date of Call]])&lt;=6,YEAR(Call_Table_Data[[#This Row],[Date of Call]]),YEAR(Call_Table_Data[[#This Row],[Date of Call]])+1)</f>
        <v>2023</v>
      </c>
      <c r="I458" s="9" t="str">
        <f>TEXT(Call_Table_Data[[#This Row],[Date of Call]],"DDDD")</f>
        <v>Monday</v>
      </c>
      <c r="J458" s="9" t="str" cm="1">
        <f t="array" ref="J458">_xlfn.IFS(Call_Table_Data[[#This Row],[Duration]]&lt;=10,"Under 10 Mins",Call_Table_Data[[#This Row],[Duration]]&lt;=30,"10 to 30 Mins",Call_Table_Data[[#This Row],[Duration]]&lt;=60,"30 to 60 Mins",Call_Table_Data[[#This Row],[Duration]]&lt;=120,"1 to 2 Hours",TRUE,"More Than 2 Hours")</f>
        <v>30 to 60 Mins</v>
      </c>
      <c r="K458" s="9">
        <f>ROUND(Call_Table_Data[[#This Row],[Satisfaction Rating]],0)</f>
        <v>5</v>
      </c>
    </row>
    <row r="459" spans="1:11" x14ac:dyDescent="0.3">
      <c r="A459" s="9" t="s">
        <v>2085</v>
      </c>
      <c r="B459" s="9" t="s">
        <v>1613</v>
      </c>
      <c r="C459" s="9">
        <v>31</v>
      </c>
      <c r="D459" s="149" t="s">
        <v>1621</v>
      </c>
      <c r="E459" s="150">
        <v>45054</v>
      </c>
      <c r="F459" s="9">
        <v>180</v>
      </c>
      <c r="G459" s="9">
        <v>4.5</v>
      </c>
      <c r="H459" s="9">
        <f>IF(MONTH(Call_Table_Data[[#This Row],[Date of Call]])&lt;=6,YEAR(Call_Table_Data[[#This Row],[Date of Call]]),YEAR(Call_Table_Data[[#This Row],[Date of Call]])+1)</f>
        <v>2023</v>
      </c>
      <c r="I459" s="9" t="str">
        <f>TEXT(Call_Table_Data[[#This Row],[Date of Call]],"DDDD")</f>
        <v>Monday</v>
      </c>
      <c r="J459" s="9" t="str" cm="1">
        <f t="array" ref="J459">_xlfn.IFS(Call_Table_Data[[#This Row],[Duration]]&lt;=10,"Under 10 Mins",Call_Table_Data[[#This Row],[Duration]]&lt;=30,"10 to 30 Mins",Call_Table_Data[[#This Row],[Duration]]&lt;=60,"30 to 60 Mins",Call_Table_Data[[#This Row],[Duration]]&lt;=120,"1 to 2 Hours",TRUE,"More Than 2 Hours")</f>
        <v>30 to 60 Mins</v>
      </c>
      <c r="K459" s="9">
        <f>ROUND(Call_Table_Data[[#This Row],[Satisfaction Rating]],0)</f>
        <v>5</v>
      </c>
    </row>
    <row r="460" spans="1:11" x14ac:dyDescent="0.3">
      <c r="A460" s="9" t="s">
        <v>2086</v>
      </c>
      <c r="B460" s="9" t="s">
        <v>1610</v>
      </c>
      <c r="C460" s="9">
        <v>114</v>
      </c>
      <c r="D460" s="149" t="s">
        <v>1630</v>
      </c>
      <c r="E460" s="150">
        <v>45054</v>
      </c>
      <c r="F460" s="9">
        <v>105</v>
      </c>
      <c r="G460" s="9">
        <v>4.9000000000000004</v>
      </c>
      <c r="H460" s="9">
        <f>IF(MONTH(Call_Table_Data[[#This Row],[Date of Call]])&lt;=6,YEAR(Call_Table_Data[[#This Row],[Date of Call]]),YEAR(Call_Table_Data[[#This Row],[Date of Call]])+1)</f>
        <v>2023</v>
      </c>
      <c r="I460" s="9" t="str">
        <f>TEXT(Call_Table_Data[[#This Row],[Date of Call]],"DDDD")</f>
        <v>Monday</v>
      </c>
      <c r="J460" s="9" t="str" cm="1">
        <f t="array" ref="J460">_xlfn.IFS(Call_Table_Data[[#This Row],[Duration]]&lt;=10,"Under 10 Mins",Call_Table_Data[[#This Row],[Duration]]&lt;=30,"10 to 30 Mins",Call_Table_Data[[#This Row],[Duration]]&lt;=60,"30 to 60 Mins",Call_Table_Data[[#This Row],[Duration]]&lt;=120,"1 to 2 Hours",TRUE,"More Than 2 Hours")</f>
        <v>1 to 2 Hours</v>
      </c>
      <c r="K460" s="9">
        <f>ROUND(Call_Table_Data[[#This Row],[Satisfaction Rating]],0)</f>
        <v>5</v>
      </c>
    </row>
    <row r="461" spans="1:11" x14ac:dyDescent="0.3">
      <c r="A461" s="9" t="s">
        <v>2087</v>
      </c>
      <c r="B461" s="9" t="s">
        <v>1649</v>
      </c>
      <c r="C461" s="9">
        <v>73</v>
      </c>
      <c r="D461" s="149" t="s">
        <v>1611</v>
      </c>
      <c r="E461" s="150">
        <v>45054</v>
      </c>
      <c r="F461" s="9">
        <v>87</v>
      </c>
      <c r="G461" s="9">
        <v>3.6</v>
      </c>
      <c r="H461" s="9">
        <f>IF(MONTH(Call_Table_Data[[#This Row],[Date of Call]])&lt;=6,YEAR(Call_Table_Data[[#This Row],[Date of Call]]),YEAR(Call_Table_Data[[#This Row],[Date of Call]])+1)</f>
        <v>2023</v>
      </c>
      <c r="I461" s="9" t="str">
        <f>TEXT(Call_Table_Data[[#This Row],[Date of Call]],"DDDD")</f>
        <v>Monday</v>
      </c>
      <c r="J461" s="9" t="str" cm="1">
        <f t="array" ref="J461">_xlfn.IFS(Call_Table_Data[[#This Row],[Duration]]&lt;=10,"Under 10 Mins",Call_Table_Data[[#This Row],[Duration]]&lt;=30,"10 to 30 Mins",Call_Table_Data[[#This Row],[Duration]]&lt;=60,"30 to 60 Mins",Call_Table_Data[[#This Row],[Duration]]&lt;=120,"1 to 2 Hours",TRUE,"More Than 2 Hours")</f>
        <v>1 to 2 Hours</v>
      </c>
      <c r="K461" s="9">
        <f>ROUND(Call_Table_Data[[#This Row],[Satisfaction Rating]],0)</f>
        <v>4</v>
      </c>
    </row>
    <row r="462" spans="1:11" x14ac:dyDescent="0.3">
      <c r="A462" s="9" t="s">
        <v>2088</v>
      </c>
      <c r="B462" s="9" t="s">
        <v>1641</v>
      </c>
      <c r="C462" s="9">
        <v>25</v>
      </c>
      <c r="D462" s="149" t="s">
        <v>1621</v>
      </c>
      <c r="E462" s="150">
        <v>45054</v>
      </c>
      <c r="F462" s="9">
        <v>52</v>
      </c>
      <c r="G462" s="9">
        <v>3.8</v>
      </c>
      <c r="H462" s="9">
        <f>IF(MONTH(Call_Table_Data[[#This Row],[Date of Call]])&lt;=6,YEAR(Call_Table_Data[[#This Row],[Date of Call]]),YEAR(Call_Table_Data[[#This Row],[Date of Call]])+1)</f>
        <v>2023</v>
      </c>
      <c r="I462" s="9" t="str">
        <f>TEXT(Call_Table_Data[[#This Row],[Date of Call]],"DDDD")</f>
        <v>Monday</v>
      </c>
      <c r="J462" s="9" t="str" cm="1">
        <f t="array" ref="J462">_xlfn.IFS(Call_Table_Data[[#This Row],[Duration]]&lt;=10,"Under 10 Mins",Call_Table_Data[[#This Row],[Duration]]&lt;=30,"10 to 30 Mins",Call_Table_Data[[#This Row],[Duration]]&lt;=60,"30 to 60 Mins",Call_Table_Data[[#This Row],[Duration]]&lt;=120,"1 to 2 Hours",TRUE,"More Than 2 Hours")</f>
        <v>10 to 30 Mins</v>
      </c>
      <c r="K462" s="9">
        <f>ROUND(Call_Table_Data[[#This Row],[Satisfaction Rating]],0)</f>
        <v>4</v>
      </c>
    </row>
    <row r="463" spans="1:11" x14ac:dyDescent="0.3">
      <c r="A463" s="9" t="s">
        <v>2089</v>
      </c>
      <c r="B463" s="9" t="s">
        <v>1620</v>
      </c>
      <c r="C463" s="9">
        <v>44</v>
      </c>
      <c r="D463" s="149" t="s">
        <v>1630</v>
      </c>
      <c r="E463" s="150">
        <v>45054</v>
      </c>
      <c r="F463" s="9">
        <v>63</v>
      </c>
      <c r="G463" s="9">
        <v>3.5</v>
      </c>
      <c r="H463" s="9">
        <f>IF(MONTH(Call_Table_Data[[#This Row],[Date of Call]])&lt;=6,YEAR(Call_Table_Data[[#This Row],[Date of Call]]),YEAR(Call_Table_Data[[#This Row],[Date of Call]])+1)</f>
        <v>2023</v>
      </c>
      <c r="I463" s="9" t="str">
        <f>TEXT(Call_Table_Data[[#This Row],[Date of Call]],"DDDD")</f>
        <v>Monday</v>
      </c>
      <c r="J463" s="9" t="str" cm="1">
        <f t="array" ref="J463">_xlfn.IFS(Call_Table_Data[[#This Row],[Duration]]&lt;=10,"Under 10 Mins",Call_Table_Data[[#This Row],[Duration]]&lt;=30,"10 to 30 Mins",Call_Table_Data[[#This Row],[Duration]]&lt;=60,"30 to 60 Mins",Call_Table_Data[[#This Row],[Duration]]&lt;=120,"1 to 2 Hours",TRUE,"More Than 2 Hours")</f>
        <v>30 to 60 Mins</v>
      </c>
      <c r="K463" s="9">
        <f>ROUND(Call_Table_Data[[#This Row],[Satisfaction Rating]],0)</f>
        <v>4</v>
      </c>
    </row>
    <row r="464" spans="1:11" x14ac:dyDescent="0.3">
      <c r="A464" s="9" t="s">
        <v>2090</v>
      </c>
      <c r="B464" s="9" t="s">
        <v>1644</v>
      </c>
      <c r="C464" s="9">
        <v>34</v>
      </c>
      <c r="D464" s="149" t="s">
        <v>1616</v>
      </c>
      <c r="E464" s="150">
        <v>45055</v>
      </c>
      <c r="F464" s="9">
        <v>195</v>
      </c>
      <c r="G464" s="9">
        <v>4.8</v>
      </c>
      <c r="H464" s="9">
        <f>IF(MONTH(Call_Table_Data[[#This Row],[Date of Call]])&lt;=6,YEAR(Call_Table_Data[[#This Row],[Date of Call]]),YEAR(Call_Table_Data[[#This Row],[Date of Call]])+1)</f>
        <v>2023</v>
      </c>
      <c r="I464" s="9" t="str">
        <f>TEXT(Call_Table_Data[[#This Row],[Date of Call]],"DDDD")</f>
        <v>Tuesday</v>
      </c>
      <c r="J464" s="9" t="str" cm="1">
        <f t="array" ref="J464">_xlfn.IFS(Call_Table_Data[[#This Row],[Duration]]&lt;=10,"Under 10 Mins",Call_Table_Data[[#This Row],[Duration]]&lt;=30,"10 to 30 Mins",Call_Table_Data[[#This Row],[Duration]]&lt;=60,"30 to 60 Mins",Call_Table_Data[[#This Row],[Duration]]&lt;=120,"1 to 2 Hours",TRUE,"More Than 2 Hours")</f>
        <v>30 to 60 Mins</v>
      </c>
      <c r="K464" s="9">
        <f>ROUND(Call_Table_Data[[#This Row],[Satisfaction Rating]],0)</f>
        <v>5</v>
      </c>
    </row>
    <row r="465" spans="1:11" x14ac:dyDescent="0.3">
      <c r="A465" s="9" t="s">
        <v>2091</v>
      </c>
      <c r="B465" s="9" t="s">
        <v>1682</v>
      </c>
      <c r="C465" s="9">
        <v>89</v>
      </c>
      <c r="D465" s="149" t="s">
        <v>1626</v>
      </c>
      <c r="E465" s="150">
        <v>45056</v>
      </c>
      <c r="F465" s="9">
        <v>176</v>
      </c>
      <c r="G465" s="9">
        <v>4.5</v>
      </c>
      <c r="H465" s="9">
        <f>IF(MONTH(Call_Table_Data[[#This Row],[Date of Call]])&lt;=6,YEAR(Call_Table_Data[[#This Row],[Date of Call]]),YEAR(Call_Table_Data[[#This Row],[Date of Call]])+1)</f>
        <v>2023</v>
      </c>
      <c r="I465" s="9" t="str">
        <f>TEXT(Call_Table_Data[[#This Row],[Date of Call]],"DDDD")</f>
        <v>Wednesday</v>
      </c>
      <c r="J465" s="9" t="str" cm="1">
        <f t="array" ref="J465">_xlfn.IFS(Call_Table_Data[[#This Row],[Duration]]&lt;=10,"Under 10 Mins",Call_Table_Data[[#This Row],[Duration]]&lt;=30,"10 to 30 Mins",Call_Table_Data[[#This Row],[Duration]]&lt;=60,"30 to 60 Mins",Call_Table_Data[[#This Row],[Duration]]&lt;=120,"1 to 2 Hours",TRUE,"More Than 2 Hours")</f>
        <v>1 to 2 Hours</v>
      </c>
      <c r="K465" s="9">
        <f>ROUND(Call_Table_Data[[#This Row],[Satisfaction Rating]],0)</f>
        <v>5</v>
      </c>
    </row>
    <row r="466" spans="1:11" x14ac:dyDescent="0.3">
      <c r="A466" s="9" t="s">
        <v>2092</v>
      </c>
      <c r="B466" s="9" t="s">
        <v>1629</v>
      </c>
      <c r="C466" s="9">
        <v>54</v>
      </c>
      <c r="D466" s="149" t="s">
        <v>1621</v>
      </c>
      <c r="E466" s="150">
        <v>45057</v>
      </c>
      <c r="F466" s="9">
        <v>31</v>
      </c>
      <c r="G466" s="9">
        <v>3.3</v>
      </c>
      <c r="H466" s="9">
        <f>IF(MONTH(Call_Table_Data[[#This Row],[Date of Call]])&lt;=6,YEAR(Call_Table_Data[[#This Row],[Date of Call]]),YEAR(Call_Table_Data[[#This Row],[Date of Call]])+1)</f>
        <v>2023</v>
      </c>
      <c r="I466" s="9" t="str">
        <f>TEXT(Call_Table_Data[[#This Row],[Date of Call]],"DDDD")</f>
        <v>Thursday</v>
      </c>
      <c r="J466" s="9" t="str" cm="1">
        <f t="array" ref="J466">_xlfn.IFS(Call_Table_Data[[#This Row],[Duration]]&lt;=10,"Under 10 Mins",Call_Table_Data[[#This Row],[Duration]]&lt;=30,"10 to 30 Mins",Call_Table_Data[[#This Row],[Duration]]&lt;=60,"30 to 60 Mins",Call_Table_Data[[#This Row],[Duration]]&lt;=120,"1 to 2 Hours",TRUE,"More Than 2 Hours")</f>
        <v>30 to 60 Mins</v>
      </c>
      <c r="K466" s="9">
        <f>ROUND(Call_Table_Data[[#This Row],[Satisfaction Rating]],0)</f>
        <v>3</v>
      </c>
    </row>
    <row r="467" spans="1:11" x14ac:dyDescent="0.3">
      <c r="A467" s="9" t="s">
        <v>2093</v>
      </c>
      <c r="B467" s="9" t="s">
        <v>1615</v>
      </c>
      <c r="C467" s="9">
        <v>25</v>
      </c>
      <c r="D467" s="149" t="s">
        <v>1621</v>
      </c>
      <c r="E467" s="150">
        <v>45058</v>
      </c>
      <c r="F467" s="9">
        <v>27</v>
      </c>
      <c r="G467" s="9">
        <v>3.2</v>
      </c>
      <c r="H467" s="9">
        <f>IF(MONTH(Call_Table_Data[[#This Row],[Date of Call]])&lt;=6,YEAR(Call_Table_Data[[#This Row],[Date of Call]]),YEAR(Call_Table_Data[[#This Row],[Date of Call]])+1)</f>
        <v>2023</v>
      </c>
      <c r="I467" s="9" t="str">
        <f>TEXT(Call_Table_Data[[#This Row],[Date of Call]],"DDDD")</f>
        <v>Friday</v>
      </c>
      <c r="J467" s="9" t="str" cm="1">
        <f t="array" ref="J467">_xlfn.IFS(Call_Table_Data[[#This Row],[Duration]]&lt;=10,"Under 10 Mins",Call_Table_Data[[#This Row],[Duration]]&lt;=30,"10 to 30 Mins",Call_Table_Data[[#This Row],[Duration]]&lt;=60,"30 to 60 Mins",Call_Table_Data[[#This Row],[Duration]]&lt;=120,"1 to 2 Hours",TRUE,"More Than 2 Hours")</f>
        <v>10 to 30 Mins</v>
      </c>
      <c r="K467" s="9">
        <f>ROUND(Call_Table_Data[[#This Row],[Satisfaction Rating]],0)</f>
        <v>3</v>
      </c>
    </row>
    <row r="468" spans="1:11" x14ac:dyDescent="0.3">
      <c r="A468" s="9" t="s">
        <v>2094</v>
      </c>
      <c r="B468" s="9" t="s">
        <v>1633</v>
      </c>
      <c r="C468" s="9">
        <v>91</v>
      </c>
      <c r="D468" s="149" t="s">
        <v>1626</v>
      </c>
      <c r="E468" s="150">
        <v>45058</v>
      </c>
      <c r="F468" s="9">
        <v>76</v>
      </c>
      <c r="G468" s="9">
        <v>4.9000000000000004</v>
      </c>
      <c r="H468" s="9">
        <f>IF(MONTH(Call_Table_Data[[#This Row],[Date of Call]])&lt;=6,YEAR(Call_Table_Data[[#This Row],[Date of Call]]),YEAR(Call_Table_Data[[#This Row],[Date of Call]])+1)</f>
        <v>2023</v>
      </c>
      <c r="I468" s="9" t="str">
        <f>TEXT(Call_Table_Data[[#This Row],[Date of Call]],"DDDD")</f>
        <v>Friday</v>
      </c>
      <c r="J468" s="9" t="str" cm="1">
        <f t="array" ref="J468">_xlfn.IFS(Call_Table_Data[[#This Row],[Duration]]&lt;=10,"Under 10 Mins",Call_Table_Data[[#This Row],[Duration]]&lt;=30,"10 to 30 Mins",Call_Table_Data[[#This Row],[Duration]]&lt;=60,"30 to 60 Mins",Call_Table_Data[[#This Row],[Duration]]&lt;=120,"1 to 2 Hours",TRUE,"More Than 2 Hours")</f>
        <v>1 to 2 Hours</v>
      </c>
      <c r="K468" s="9">
        <f>ROUND(Call_Table_Data[[#This Row],[Satisfaction Rating]],0)</f>
        <v>5</v>
      </c>
    </row>
    <row r="469" spans="1:11" x14ac:dyDescent="0.3">
      <c r="A469" s="9" t="s">
        <v>2095</v>
      </c>
      <c r="B469" s="9" t="s">
        <v>1620</v>
      </c>
      <c r="C469" s="9">
        <v>144</v>
      </c>
      <c r="D469" s="149" t="s">
        <v>1630</v>
      </c>
      <c r="E469" s="150">
        <v>45058</v>
      </c>
      <c r="F469" s="9">
        <v>62</v>
      </c>
      <c r="G469" s="9">
        <v>4.8</v>
      </c>
      <c r="H469" s="9">
        <f>IF(MONTH(Call_Table_Data[[#This Row],[Date of Call]])&lt;=6,YEAR(Call_Table_Data[[#This Row],[Date of Call]]),YEAR(Call_Table_Data[[#This Row],[Date of Call]])+1)</f>
        <v>2023</v>
      </c>
      <c r="I469" s="9" t="str">
        <f>TEXT(Call_Table_Data[[#This Row],[Date of Call]],"DDDD")</f>
        <v>Friday</v>
      </c>
      <c r="J469" s="9" t="str" cm="1">
        <f t="array" ref="J469">_xlfn.IFS(Call_Table_Data[[#This Row],[Duration]]&lt;=10,"Under 10 Mins",Call_Table_Data[[#This Row],[Duration]]&lt;=30,"10 to 30 Mins",Call_Table_Data[[#This Row],[Duration]]&lt;=60,"30 to 60 Mins",Call_Table_Data[[#This Row],[Duration]]&lt;=120,"1 to 2 Hours",TRUE,"More Than 2 Hours")</f>
        <v>More Than 2 Hours</v>
      </c>
      <c r="K469" s="9">
        <f>ROUND(Call_Table_Data[[#This Row],[Satisfaction Rating]],0)</f>
        <v>5</v>
      </c>
    </row>
    <row r="470" spans="1:11" x14ac:dyDescent="0.3">
      <c r="A470" s="9" t="s">
        <v>2096</v>
      </c>
      <c r="B470" s="9" t="s">
        <v>1633</v>
      </c>
      <c r="C470" s="9">
        <v>81</v>
      </c>
      <c r="D470" s="149" t="s">
        <v>1616</v>
      </c>
      <c r="E470" s="150">
        <v>45060</v>
      </c>
      <c r="F470" s="9">
        <v>100</v>
      </c>
      <c r="G470" s="9">
        <v>1.3</v>
      </c>
      <c r="H470" s="9">
        <f>IF(MONTH(Call_Table_Data[[#This Row],[Date of Call]])&lt;=6,YEAR(Call_Table_Data[[#This Row],[Date of Call]]),YEAR(Call_Table_Data[[#This Row],[Date of Call]])+1)</f>
        <v>2023</v>
      </c>
      <c r="I470" s="9" t="str">
        <f>TEXT(Call_Table_Data[[#This Row],[Date of Call]],"DDDD")</f>
        <v>Sunday</v>
      </c>
      <c r="J470" s="9" t="str" cm="1">
        <f t="array" ref="J470">_xlfn.IFS(Call_Table_Data[[#This Row],[Duration]]&lt;=10,"Under 10 Mins",Call_Table_Data[[#This Row],[Duration]]&lt;=30,"10 to 30 Mins",Call_Table_Data[[#This Row],[Duration]]&lt;=60,"30 to 60 Mins",Call_Table_Data[[#This Row],[Duration]]&lt;=120,"1 to 2 Hours",TRUE,"More Than 2 Hours")</f>
        <v>1 to 2 Hours</v>
      </c>
      <c r="K470" s="9">
        <f>ROUND(Call_Table_Data[[#This Row],[Satisfaction Rating]],0)</f>
        <v>1</v>
      </c>
    </row>
    <row r="471" spans="1:11" x14ac:dyDescent="0.3">
      <c r="A471" s="9" t="s">
        <v>2097</v>
      </c>
      <c r="B471" s="9" t="s">
        <v>1662</v>
      </c>
      <c r="C471" s="9">
        <v>92</v>
      </c>
      <c r="D471" s="149" t="s">
        <v>1621</v>
      </c>
      <c r="E471" s="150">
        <v>45060</v>
      </c>
      <c r="F471" s="9">
        <v>44</v>
      </c>
      <c r="G471" s="9">
        <v>3.1</v>
      </c>
      <c r="H471" s="9">
        <f>IF(MONTH(Call_Table_Data[[#This Row],[Date of Call]])&lt;=6,YEAR(Call_Table_Data[[#This Row],[Date of Call]]),YEAR(Call_Table_Data[[#This Row],[Date of Call]])+1)</f>
        <v>2023</v>
      </c>
      <c r="I471" s="9" t="str">
        <f>TEXT(Call_Table_Data[[#This Row],[Date of Call]],"DDDD")</f>
        <v>Sunday</v>
      </c>
      <c r="J471" s="9" t="str" cm="1">
        <f t="array" ref="J471">_xlfn.IFS(Call_Table_Data[[#This Row],[Duration]]&lt;=10,"Under 10 Mins",Call_Table_Data[[#This Row],[Duration]]&lt;=30,"10 to 30 Mins",Call_Table_Data[[#This Row],[Duration]]&lt;=60,"30 to 60 Mins",Call_Table_Data[[#This Row],[Duration]]&lt;=120,"1 to 2 Hours",TRUE,"More Than 2 Hours")</f>
        <v>1 to 2 Hours</v>
      </c>
      <c r="K471" s="9">
        <f>ROUND(Call_Table_Data[[#This Row],[Satisfaction Rating]],0)</f>
        <v>3</v>
      </c>
    </row>
    <row r="472" spans="1:11" x14ac:dyDescent="0.3">
      <c r="A472" s="9" t="s">
        <v>2098</v>
      </c>
      <c r="B472" s="9" t="s">
        <v>1615</v>
      </c>
      <c r="C472" s="9">
        <v>115</v>
      </c>
      <c r="D472" s="149" t="s">
        <v>1626</v>
      </c>
      <c r="E472" s="150">
        <v>45060</v>
      </c>
      <c r="F472" s="9">
        <v>168</v>
      </c>
      <c r="G472" s="9">
        <v>3.4</v>
      </c>
      <c r="H472" s="9">
        <f>IF(MONTH(Call_Table_Data[[#This Row],[Date of Call]])&lt;=6,YEAR(Call_Table_Data[[#This Row],[Date of Call]]),YEAR(Call_Table_Data[[#This Row],[Date of Call]])+1)</f>
        <v>2023</v>
      </c>
      <c r="I472" s="9" t="str">
        <f>TEXT(Call_Table_Data[[#This Row],[Date of Call]],"DDDD")</f>
        <v>Sunday</v>
      </c>
      <c r="J472" s="9" t="str" cm="1">
        <f t="array" ref="J472">_xlfn.IFS(Call_Table_Data[[#This Row],[Duration]]&lt;=10,"Under 10 Mins",Call_Table_Data[[#This Row],[Duration]]&lt;=30,"10 to 30 Mins",Call_Table_Data[[#This Row],[Duration]]&lt;=60,"30 to 60 Mins",Call_Table_Data[[#This Row],[Duration]]&lt;=120,"1 to 2 Hours",TRUE,"More Than 2 Hours")</f>
        <v>1 to 2 Hours</v>
      </c>
      <c r="K472" s="9">
        <f>ROUND(Call_Table_Data[[#This Row],[Satisfaction Rating]],0)</f>
        <v>3</v>
      </c>
    </row>
    <row r="473" spans="1:11" x14ac:dyDescent="0.3">
      <c r="A473" s="9" t="s">
        <v>2099</v>
      </c>
      <c r="B473" s="9" t="s">
        <v>1624</v>
      </c>
      <c r="C473" s="9">
        <v>56</v>
      </c>
      <c r="D473" s="149" t="s">
        <v>1626</v>
      </c>
      <c r="E473" s="150">
        <v>45061</v>
      </c>
      <c r="F473" s="9">
        <v>200</v>
      </c>
      <c r="G473" s="9">
        <v>4.5999999999999996</v>
      </c>
      <c r="H473" s="9">
        <f>IF(MONTH(Call_Table_Data[[#This Row],[Date of Call]])&lt;=6,YEAR(Call_Table_Data[[#This Row],[Date of Call]]),YEAR(Call_Table_Data[[#This Row],[Date of Call]])+1)</f>
        <v>2023</v>
      </c>
      <c r="I473" s="9" t="str">
        <f>TEXT(Call_Table_Data[[#This Row],[Date of Call]],"DDDD")</f>
        <v>Monday</v>
      </c>
      <c r="J473" s="9" t="str" cm="1">
        <f t="array" ref="J473">_xlfn.IFS(Call_Table_Data[[#This Row],[Duration]]&lt;=10,"Under 10 Mins",Call_Table_Data[[#This Row],[Duration]]&lt;=30,"10 to 30 Mins",Call_Table_Data[[#This Row],[Duration]]&lt;=60,"30 to 60 Mins",Call_Table_Data[[#This Row],[Duration]]&lt;=120,"1 to 2 Hours",TRUE,"More Than 2 Hours")</f>
        <v>30 to 60 Mins</v>
      </c>
      <c r="K473" s="9">
        <f>ROUND(Call_Table_Data[[#This Row],[Satisfaction Rating]],0)</f>
        <v>5</v>
      </c>
    </row>
    <row r="474" spans="1:11" x14ac:dyDescent="0.3">
      <c r="A474" s="9" t="s">
        <v>2100</v>
      </c>
      <c r="B474" s="9" t="s">
        <v>1613</v>
      </c>
      <c r="C474" s="9">
        <v>154</v>
      </c>
      <c r="D474" s="149" t="s">
        <v>1621</v>
      </c>
      <c r="E474" s="150">
        <v>45061</v>
      </c>
      <c r="F474" s="9">
        <v>84</v>
      </c>
      <c r="G474" s="9">
        <v>4.3</v>
      </c>
      <c r="H474" s="9">
        <f>IF(MONTH(Call_Table_Data[[#This Row],[Date of Call]])&lt;=6,YEAR(Call_Table_Data[[#This Row],[Date of Call]]),YEAR(Call_Table_Data[[#This Row],[Date of Call]])+1)</f>
        <v>2023</v>
      </c>
      <c r="I474" s="9" t="str">
        <f>TEXT(Call_Table_Data[[#This Row],[Date of Call]],"DDDD")</f>
        <v>Monday</v>
      </c>
      <c r="J474" s="9" t="str" cm="1">
        <f t="array" ref="J474">_xlfn.IFS(Call_Table_Data[[#This Row],[Duration]]&lt;=10,"Under 10 Mins",Call_Table_Data[[#This Row],[Duration]]&lt;=30,"10 to 30 Mins",Call_Table_Data[[#This Row],[Duration]]&lt;=60,"30 to 60 Mins",Call_Table_Data[[#This Row],[Duration]]&lt;=120,"1 to 2 Hours",TRUE,"More Than 2 Hours")</f>
        <v>More Than 2 Hours</v>
      </c>
      <c r="K474" s="9">
        <f>ROUND(Call_Table_Data[[#This Row],[Satisfaction Rating]],0)</f>
        <v>4</v>
      </c>
    </row>
    <row r="475" spans="1:11" x14ac:dyDescent="0.3">
      <c r="A475" s="9" t="s">
        <v>2101</v>
      </c>
      <c r="B475" s="9" t="s">
        <v>1682</v>
      </c>
      <c r="C475" s="9">
        <v>51</v>
      </c>
      <c r="D475" s="149" t="s">
        <v>1626</v>
      </c>
      <c r="E475" s="150">
        <v>45062</v>
      </c>
      <c r="F475" s="9">
        <v>117</v>
      </c>
      <c r="G475" s="9">
        <v>2.7</v>
      </c>
      <c r="H475" s="9">
        <f>IF(MONTH(Call_Table_Data[[#This Row],[Date of Call]])&lt;=6,YEAR(Call_Table_Data[[#This Row],[Date of Call]]),YEAR(Call_Table_Data[[#This Row],[Date of Call]])+1)</f>
        <v>2023</v>
      </c>
      <c r="I475" s="9" t="str">
        <f>TEXT(Call_Table_Data[[#This Row],[Date of Call]],"DDDD")</f>
        <v>Tuesday</v>
      </c>
      <c r="J475" s="9" t="str" cm="1">
        <f t="array" ref="J475">_xlfn.IFS(Call_Table_Data[[#This Row],[Duration]]&lt;=10,"Under 10 Mins",Call_Table_Data[[#This Row],[Duration]]&lt;=30,"10 to 30 Mins",Call_Table_Data[[#This Row],[Duration]]&lt;=60,"30 to 60 Mins",Call_Table_Data[[#This Row],[Duration]]&lt;=120,"1 to 2 Hours",TRUE,"More Than 2 Hours")</f>
        <v>30 to 60 Mins</v>
      </c>
      <c r="K475" s="9">
        <f>ROUND(Call_Table_Data[[#This Row],[Satisfaction Rating]],0)</f>
        <v>3</v>
      </c>
    </row>
    <row r="476" spans="1:11" x14ac:dyDescent="0.3">
      <c r="A476" s="9" t="s">
        <v>2102</v>
      </c>
      <c r="B476" s="9" t="s">
        <v>1644</v>
      </c>
      <c r="C476" s="9">
        <v>21</v>
      </c>
      <c r="D476" s="149" t="s">
        <v>1616</v>
      </c>
      <c r="E476" s="150">
        <v>45062</v>
      </c>
      <c r="F476" s="9">
        <v>63</v>
      </c>
      <c r="G476" s="9">
        <v>4.2</v>
      </c>
      <c r="H476" s="9">
        <f>IF(MONTH(Call_Table_Data[[#This Row],[Date of Call]])&lt;=6,YEAR(Call_Table_Data[[#This Row],[Date of Call]]),YEAR(Call_Table_Data[[#This Row],[Date of Call]])+1)</f>
        <v>2023</v>
      </c>
      <c r="I476" s="9" t="str">
        <f>TEXT(Call_Table_Data[[#This Row],[Date of Call]],"DDDD")</f>
        <v>Tuesday</v>
      </c>
      <c r="J476" s="9" t="str" cm="1">
        <f t="array" ref="J476">_xlfn.IFS(Call_Table_Data[[#This Row],[Duration]]&lt;=10,"Under 10 Mins",Call_Table_Data[[#This Row],[Duration]]&lt;=30,"10 to 30 Mins",Call_Table_Data[[#This Row],[Duration]]&lt;=60,"30 to 60 Mins",Call_Table_Data[[#This Row],[Duration]]&lt;=120,"1 to 2 Hours",TRUE,"More Than 2 Hours")</f>
        <v>10 to 30 Mins</v>
      </c>
      <c r="K476" s="9">
        <f>ROUND(Call_Table_Data[[#This Row],[Satisfaction Rating]],0)</f>
        <v>4</v>
      </c>
    </row>
    <row r="477" spans="1:11" x14ac:dyDescent="0.3">
      <c r="A477" s="9" t="s">
        <v>2103</v>
      </c>
      <c r="B477" s="9" t="s">
        <v>1615</v>
      </c>
      <c r="C477" s="9">
        <v>80</v>
      </c>
      <c r="D477" s="149" t="s">
        <v>1626</v>
      </c>
      <c r="E477" s="150">
        <v>45063</v>
      </c>
      <c r="F477" s="9">
        <v>145</v>
      </c>
      <c r="G477" s="9">
        <v>4.9000000000000004</v>
      </c>
      <c r="H477" s="9">
        <f>IF(MONTH(Call_Table_Data[[#This Row],[Date of Call]])&lt;=6,YEAR(Call_Table_Data[[#This Row],[Date of Call]]),YEAR(Call_Table_Data[[#This Row],[Date of Call]])+1)</f>
        <v>2023</v>
      </c>
      <c r="I477" s="9" t="str">
        <f>TEXT(Call_Table_Data[[#This Row],[Date of Call]],"DDDD")</f>
        <v>Wednesday</v>
      </c>
      <c r="J477" s="9" t="str" cm="1">
        <f t="array" ref="J477">_xlfn.IFS(Call_Table_Data[[#This Row],[Duration]]&lt;=10,"Under 10 Mins",Call_Table_Data[[#This Row],[Duration]]&lt;=30,"10 to 30 Mins",Call_Table_Data[[#This Row],[Duration]]&lt;=60,"30 to 60 Mins",Call_Table_Data[[#This Row],[Duration]]&lt;=120,"1 to 2 Hours",TRUE,"More Than 2 Hours")</f>
        <v>1 to 2 Hours</v>
      </c>
      <c r="K477" s="9">
        <f>ROUND(Call_Table_Data[[#This Row],[Satisfaction Rating]],0)</f>
        <v>5</v>
      </c>
    </row>
    <row r="478" spans="1:11" x14ac:dyDescent="0.3">
      <c r="A478" s="9" t="s">
        <v>2104</v>
      </c>
      <c r="B478" s="9" t="s">
        <v>1682</v>
      </c>
      <c r="C478" s="9">
        <v>139</v>
      </c>
      <c r="D478" s="149" t="s">
        <v>1621</v>
      </c>
      <c r="E478" s="150">
        <v>45063</v>
      </c>
      <c r="F478" s="9">
        <v>220</v>
      </c>
      <c r="G478" s="9">
        <v>3.2</v>
      </c>
      <c r="H478" s="9">
        <f>IF(MONTH(Call_Table_Data[[#This Row],[Date of Call]])&lt;=6,YEAR(Call_Table_Data[[#This Row],[Date of Call]]),YEAR(Call_Table_Data[[#This Row],[Date of Call]])+1)</f>
        <v>2023</v>
      </c>
      <c r="I478" s="9" t="str">
        <f>TEXT(Call_Table_Data[[#This Row],[Date of Call]],"DDDD")</f>
        <v>Wednesday</v>
      </c>
      <c r="J478" s="9" t="str" cm="1">
        <f t="array" ref="J478">_xlfn.IFS(Call_Table_Data[[#This Row],[Duration]]&lt;=10,"Under 10 Mins",Call_Table_Data[[#This Row],[Duration]]&lt;=30,"10 to 30 Mins",Call_Table_Data[[#This Row],[Duration]]&lt;=60,"30 to 60 Mins",Call_Table_Data[[#This Row],[Duration]]&lt;=120,"1 to 2 Hours",TRUE,"More Than 2 Hours")</f>
        <v>More Than 2 Hours</v>
      </c>
      <c r="K478" s="9">
        <f>ROUND(Call_Table_Data[[#This Row],[Satisfaction Rating]],0)</f>
        <v>3</v>
      </c>
    </row>
    <row r="479" spans="1:11" x14ac:dyDescent="0.3">
      <c r="A479" s="9" t="s">
        <v>2105</v>
      </c>
      <c r="B479" s="9" t="s">
        <v>1635</v>
      </c>
      <c r="C479" s="9">
        <v>50</v>
      </c>
      <c r="D479" s="149" t="s">
        <v>1616</v>
      </c>
      <c r="E479" s="150">
        <v>45063</v>
      </c>
      <c r="F479" s="9">
        <v>26</v>
      </c>
      <c r="G479" s="9">
        <v>4.7</v>
      </c>
      <c r="H479" s="9">
        <f>IF(MONTH(Call_Table_Data[[#This Row],[Date of Call]])&lt;=6,YEAR(Call_Table_Data[[#This Row],[Date of Call]]),YEAR(Call_Table_Data[[#This Row],[Date of Call]])+1)</f>
        <v>2023</v>
      </c>
      <c r="I479" s="9" t="str">
        <f>TEXT(Call_Table_Data[[#This Row],[Date of Call]],"DDDD")</f>
        <v>Wednesday</v>
      </c>
      <c r="J479" s="9" t="str" cm="1">
        <f t="array" ref="J479">_xlfn.IFS(Call_Table_Data[[#This Row],[Duration]]&lt;=10,"Under 10 Mins",Call_Table_Data[[#This Row],[Duration]]&lt;=30,"10 to 30 Mins",Call_Table_Data[[#This Row],[Duration]]&lt;=60,"30 to 60 Mins",Call_Table_Data[[#This Row],[Duration]]&lt;=120,"1 to 2 Hours",TRUE,"More Than 2 Hours")</f>
        <v>30 to 60 Mins</v>
      </c>
      <c r="K479" s="9">
        <f>ROUND(Call_Table_Data[[#This Row],[Satisfaction Rating]],0)</f>
        <v>5</v>
      </c>
    </row>
    <row r="480" spans="1:11" x14ac:dyDescent="0.3">
      <c r="A480" s="9" t="s">
        <v>2106</v>
      </c>
      <c r="B480" s="9" t="s">
        <v>1615</v>
      </c>
      <c r="C480" s="9">
        <v>88</v>
      </c>
      <c r="D480" s="149" t="s">
        <v>1626</v>
      </c>
      <c r="E480" s="150">
        <v>45063</v>
      </c>
      <c r="F480" s="9">
        <v>78</v>
      </c>
      <c r="G480" s="9">
        <v>4.3</v>
      </c>
      <c r="H480" s="9">
        <f>IF(MONTH(Call_Table_Data[[#This Row],[Date of Call]])&lt;=6,YEAR(Call_Table_Data[[#This Row],[Date of Call]]),YEAR(Call_Table_Data[[#This Row],[Date of Call]])+1)</f>
        <v>2023</v>
      </c>
      <c r="I480" s="9" t="str">
        <f>TEXT(Call_Table_Data[[#This Row],[Date of Call]],"DDDD")</f>
        <v>Wednesday</v>
      </c>
      <c r="J480" s="9" t="str" cm="1">
        <f t="array" ref="J480">_xlfn.IFS(Call_Table_Data[[#This Row],[Duration]]&lt;=10,"Under 10 Mins",Call_Table_Data[[#This Row],[Duration]]&lt;=30,"10 to 30 Mins",Call_Table_Data[[#This Row],[Duration]]&lt;=60,"30 to 60 Mins",Call_Table_Data[[#This Row],[Duration]]&lt;=120,"1 to 2 Hours",TRUE,"More Than 2 Hours")</f>
        <v>1 to 2 Hours</v>
      </c>
      <c r="K480" s="9">
        <f>ROUND(Call_Table_Data[[#This Row],[Satisfaction Rating]],0)</f>
        <v>4</v>
      </c>
    </row>
    <row r="481" spans="1:11" x14ac:dyDescent="0.3">
      <c r="A481" s="9" t="s">
        <v>2107</v>
      </c>
      <c r="B481" s="9" t="s">
        <v>1629</v>
      </c>
      <c r="C481" s="9">
        <v>19</v>
      </c>
      <c r="D481" s="149" t="s">
        <v>1630</v>
      </c>
      <c r="E481" s="150">
        <v>45064</v>
      </c>
      <c r="F481" s="9">
        <v>132</v>
      </c>
      <c r="G481" s="9">
        <v>4.3</v>
      </c>
      <c r="H481" s="9">
        <f>IF(MONTH(Call_Table_Data[[#This Row],[Date of Call]])&lt;=6,YEAR(Call_Table_Data[[#This Row],[Date of Call]]),YEAR(Call_Table_Data[[#This Row],[Date of Call]])+1)</f>
        <v>2023</v>
      </c>
      <c r="I481" s="9" t="str">
        <f>TEXT(Call_Table_Data[[#This Row],[Date of Call]],"DDDD")</f>
        <v>Thursday</v>
      </c>
      <c r="J481" s="9" t="str" cm="1">
        <f t="array" ref="J481">_xlfn.IFS(Call_Table_Data[[#This Row],[Duration]]&lt;=10,"Under 10 Mins",Call_Table_Data[[#This Row],[Duration]]&lt;=30,"10 to 30 Mins",Call_Table_Data[[#This Row],[Duration]]&lt;=60,"30 to 60 Mins",Call_Table_Data[[#This Row],[Duration]]&lt;=120,"1 to 2 Hours",TRUE,"More Than 2 Hours")</f>
        <v>10 to 30 Mins</v>
      </c>
      <c r="K481" s="9">
        <f>ROUND(Call_Table_Data[[#This Row],[Satisfaction Rating]],0)</f>
        <v>4</v>
      </c>
    </row>
    <row r="482" spans="1:11" x14ac:dyDescent="0.3">
      <c r="A482" s="9" t="s">
        <v>2108</v>
      </c>
      <c r="B482" s="9" t="s">
        <v>1641</v>
      </c>
      <c r="C482" s="9">
        <v>104</v>
      </c>
      <c r="D482" s="149" t="s">
        <v>1630</v>
      </c>
      <c r="E482" s="150">
        <v>45065</v>
      </c>
      <c r="F482" s="9">
        <v>68</v>
      </c>
      <c r="G482" s="9">
        <v>3.7</v>
      </c>
      <c r="H482" s="9">
        <f>IF(MONTH(Call_Table_Data[[#This Row],[Date of Call]])&lt;=6,YEAR(Call_Table_Data[[#This Row],[Date of Call]]),YEAR(Call_Table_Data[[#This Row],[Date of Call]])+1)</f>
        <v>2023</v>
      </c>
      <c r="I482" s="9" t="str">
        <f>TEXT(Call_Table_Data[[#This Row],[Date of Call]],"DDDD")</f>
        <v>Friday</v>
      </c>
      <c r="J482" s="9" t="str" cm="1">
        <f t="array" ref="J482">_xlfn.IFS(Call_Table_Data[[#This Row],[Duration]]&lt;=10,"Under 10 Mins",Call_Table_Data[[#This Row],[Duration]]&lt;=30,"10 to 30 Mins",Call_Table_Data[[#This Row],[Duration]]&lt;=60,"30 to 60 Mins",Call_Table_Data[[#This Row],[Duration]]&lt;=120,"1 to 2 Hours",TRUE,"More Than 2 Hours")</f>
        <v>1 to 2 Hours</v>
      </c>
      <c r="K482" s="9">
        <f>ROUND(Call_Table_Data[[#This Row],[Satisfaction Rating]],0)</f>
        <v>4</v>
      </c>
    </row>
    <row r="483" spans="1:11" x14ac:dyDescent="0.3">
      <c r="A483" s="9" t="s">
        <v>2109</v>
      </c>
      <c r="B483" s="9" t="s">
        <v>1613</v>
      </c>
      <c r="C483" s="9">
        <v>67</v>
      </c>
      <c r="D483" s="149" t="s">
        <v>1621</v>
      </c>
      <c r="E483" s="150">
        <v>45067</v>
      </c>
      <c r="F483" s="9">
        <v>129</v>
      </c>
      <c r="G483" s="9">
        <v>4.7</v>
      </c>
      <c r="H483" s="9">
        <f>IF(MONTH(Call_Table_Data[[#This Row],[Date of Call]])&lt;=6,YEAR(Call_Table_Data[[#This Row],[Date of Call]]),YEAR(Call_Table_Data[[#This Row],[Date of Call]])+1)</f>
        <v>2023</v>
      </c>
      <c r="I483" s="9" t="str">
        <f>TEXT(Call_Table_Data[[#This Row],[Date of Call]],"DDDD")</f>
        <v>Sunday</v>
      </c>
      <c r="J483" s="9" t="str" cm="1">
        <f t="array" ref="J483">_xlfn.IFS(Call_Table_Data[[#This Row],[Duration]]&lt;=10,"Under 10 Mins",Call_Table_Data[[#This Row],[Duration]]&lt;=30,"10 to 30 Mins",Call_Table_Data[[#This Row],[Duration]]&lt;=60,"30 to 60 Mins",Call_Table_Data[[#This Row],[Duration]]&lt;=120,"1 to 2 Hours",TRUE,"More Than 2 Hours")</f>
        <v>1 to 2 Hours</v>
      </c>
      <c r="K483" s="9">
        <f>ROUND(Call_Table_Data[[#This Row],[Satisfaction Rating]],0)</f>
        <v>5</v>
      </c>
    </row>
    <row r="484" spans="1:11" x14ac:dyDescent="0.3">
      <c r="A484" s="9" t="s">
        <v>2110</v>
      </c>
      <c r="B484" s="9" t="s">
        <v>1652</v>
      </c>
      <c r="C484" s="9">
        <v>107</v>
      </c>
      <c r="D484" s="149" t="s">
        <v>1630</v>
      </c>
      <c r="E484" s="150">
        <v>45067</v>
      </c>
      <c r="F484" s="9">
        <v>115</v>
      </c>
      <c r="G484" s="9">
        <v>4.9000000000000004</v>
      </c>
      <c r="H484" s="9">
        <f>IF(MONTH(Call_Table_Data[[#This Row],[Date of Call]])&lt;=6,YEAR(Call_Table_Data[[#This Row],[Date of Call]]),YEAR(Call_Table_Data[[#This Row],[Date of Call]])+1)</f>
        <v>2023</v>
      </c>
      <c r="I484" s="9" t="str">
        <f>TEXT(Call_Table_Data[[#This Row],[Date of Call]],"DDDD")</f>
        <v>Sunday</v>
      </c>
      <c r="J484" s="9" t="str" cm="1">
        <f t="array" ref="J484">_xlfn.IFS(Call_Table_Data[[#This Row],[Duration]]&lt;=10,"Under 10 Mins",Call_Table_Data[[#This Row],[Duration]]&lt;=30,"10 to 30 Mins",Call_Table_Data[[#This Row],[Duration]]&lt;=60,"30 to 60 Mins",Call_Table_Data[[#This Row],[Duration]]&lt;=120,"1 to 2 Hours",TRUE,"More Than 2 Hours")</f>
        <v>1 to 2 Hours</v>
      </c>
      <c r="K484" s="9">
        <f>ROUND(Call_Table_Data[[#This Row],[Satisfaction Rating]],0)</f>
        <v>5</v>
      </c>
    </row>
    <row r="485" spans="1:11" x14ac:dyDescent="0.3">
      <c r="A485" s="9" t="s">
        <v>2111</v>
      </c>
      <c r="B485" s="9" t="s">
        <v>1652</v>
      </c>
      <c r="C485" s="9">
        <v>93</v>
      </c>
      <c r="D485" s="149" t="s">
        <v>1630</v>
      </c>
      <c r="E485" s="150">
        <v>45067</v>
      </c>
      <c r="F485" s="9">
        <v>128</v>
      </c>
      <c r="G485" s="9">
        <v>3.9</v>
      </c>
      <c r="H485" s="9">
        <f>IF(MONTH(Call_Table_Data[[#This Row],[Date of Call]])&lt;=6,YEAR(Call_Table_Data[[#This Row],[Date of Call]]),YEAR(Call_Table_Data[[#This Row],[Date of Call]])+1)</f>
        <v>2023</v>
      </c>
      <c r="I485" s="9" t="str">
        <f>TEXT(Call_Table_Data[[#This Row],[Date of Call]],"DDDD")</f>
        <v>Sunday</v>
      </c>
      <c r="J485" s="9" t="str" cm="1">
        <f t="array" ref="J485">_xlfn.IFS(Call_Table_Data[[#This Row],[Duration]]&lt;=10,"Under 10 Mins",Call_Table_Data[[#This Row],[Duration]]&lt;=30,"10 to 30 Mins",Call_Table_Data[[#This Row],[Duration]]&lt;=60,"30 to 60 Mins",Call_Table_Data[[#This Row],[Duration]]&lt;=120,"1 to 2 Hours",TRUE,"More Than 2 Hours")</f>
        <v>1 to 2 Hours</v>
      </c>
      <c r="K485" s="9">
        <f>ROUND(Call_Table_Data[[#This Row],[Satisfaction Rating]],0)</f>
        <v>4</v>
      </c>
    </row>
    <row r="486" spans="1:11" x14ac:dyDescent="0.3">
      <c r="A486" s="9" t="s">
        <v>2112</v>
      </c>
      <c r="B486" s="9" t="s">
        <v>1652</v>
      </c>
      <c r="C486" s="9">
        <v>117</v>
      </c>
      <c r="D486" s="149" t="s">
        <v>1621</v>
      </c>
      <c r="E486" s="150">
        <v>45067</v>
      </c>
      <c r="F486" s="9">
        <v>90</v>
      </c>
      <c r="G486" s="9">
        <v>4.5</v>
      </c>
      <c r="H486" s="9">
        <f>IF(MONTH(Call_Table_Data[[#This Row],[Date of Call]])&lt;=6,YEAR(Call_Table_Data[[#This Row],[Date of Call]]),YEAR(Call_Table_Data[[#This Row],[Date of Call]])+1)</f>
        <v>2023</v>
      </c>
      <c r="I486" s="9" t="str">
        <f>TEXT(Call_Table_Data[[#This Row],[Date of Call]],"DDDD")</f>
        <v>Sunday</v>
      </c>
      <c r="J486" s="9" t="str" cm="1">
        <f t="array" ref="J486">_xlfn.IFS(Call_Table_Data[[#This Row],[Duration]]&lt;=10,"Under 10 Mins",Call_Table_Data[[#This Row],[Duration]]&lt;=30,"10 to 30 Mins",Call_Table_Data[[#This Row],[Duration]]&lt;=60,"30 to 60 Mins",Call_Table_Data[[#This Row],[Duration]]&lt;=120,"1 to 2 Hours",TRUE,"More Than 2 Hours")</f>
        <v>1 to 2 Hours</v>
      </c>
      <c r="K486" s="9">
        <f>ROUND(Call_Table_Data[[#This Row],[Satisfaction Rating]],0)</f>
        <v>5</v>
      </c>
    </row>
    <row r="487" spans="1:11" x14ac:dyDescent="0.3">
      <c r="A487" s="9" t="s">
        <v>2113</v>
      </c>
      <c r="B487" s="9" t="s">
        <v>1635</v>
      </c>
      <c r="C487" s="9">
        <v>76</v>
      </c>
      <c r="D487" s="149" t="s">
        <v>1626</v>
      </c>
      <c r="E487" s="150">
        <v>45068</v>
      </c>
      <c r="F487" s="9">
        <v>39</v>
      </c>
      <c r="G487" s="9">
        <v>4.5999999999999996</v>
      </c>
      <c r="H487" s="9">
        <f>IF(MONTH(Call_Table_Data[[#This Row],[Date of Call]])&lt;=6,YEAR(Call_Table_Data[[#This Row],[Date of Call]]),YEAR(Call_Table_Data[[#This Row],[Date of Call]])+1)</f>
        <v>2023</v>
      </c>
      <c r="I487" s="9" t="str">
        <f>TEXT(Call_Table_Data[[#This Row],[Date of Call]],"DDDD")</f>
        <v>Monday</v>
      </c>
      <c r="J487" s="9" t="str" cm="1">
        <f t="array" ref="J487">_xlfn.IFS(Call_Table_Data[[#This Row],[Duration]]&lt;=10,"Under 10 Mins",Call_Table_Data[[#This Row],[Duration]]&lt;=30,"10 to 30 Mins",Call_Table_Data[[#This Row],[Duration]]&lt;=60,"30 to 60 Mins",Call_Table_Data[[#This Row],[Duration]]&lt;=120,"1 to 2 Hours",TRUE,"More Than 2 Hours")</f>
        <v>1 to 2 Hours</v>
      </c>
      <c r="K487" s="9">
        <f>ROUND(Call_Table_Data[[#This Row],[Satisfaction Rating]],0)</f>
        <v>5</v>
      </c>
    </row>
    <row r="488" spans="1:11" x14ac:dyDescent="0.3">
      <c r="A488" s="9" t="s">
        <v>2114</v>
      </c>
      <c r="B488" s="9" t="s">
        <v>1629</v>
      </c>
      <c r="C488" s="9">
        <v>64</v>
      </c>
      <c r="D488" s="149" t="s">
        <v>1630</v>
      </c>
      <c r="E488" s="150">
        <v>45068</v>
      </c>
      <c r="F488" s="9">
        <v>132</v>
      </c>
      <c r="G488" s="9">
        <v>3.3</v>
      </c>
      <c r="H488" s="9">
        <f>IF(MONTH(Call_Table_Data[[#This Row],[Date of Call]])&lt;=6,YEAR(Call_Table_Data[[#This Row],[Date of Call]]),YEAR(Call_Table_Data[[#This Row],[Date of Call]])+1)</f>
        <v>2023</v>
      </c>
      <c r="I488" s="9" t="str">
        <f>TEXT(Call_Table_Data[[#This Row],[Date of Call]],"DDDD")</f>
        <v>Monday</v>
      </c>
      <c r="J488" s="9" t="str" cm="1">
        <f t="array" ref="J488">_xlfn.IFS(Call_Table_Data[[#This Row],[Duration]]&lt;=10,"Under 10 Mins",Call_Table_Data[[#This Row],[Duration]]&lt;=30,"10 to 30 Mins",Call_Table_Data[[#This Row],[Duration]]&lt;=60,"30 to 60 Mins",Call_Table_Data[[#This Row],[Duration]]&lt;=120,"1 to 2 Hours",TRUE,"More Than 2 Hours")</f>
        <v>1 to 2 Hours</v>
      </c>
      <c r="K488" s="9">
        <f>ROUND(Call_Table_Data[[#This Row],[Satisfaction Rating]],0)</f>
        <v>3</v>
      </c>
    </row>
    <row r="489" spans="1:11" x14ac:dyDescent="0.3">
      <c r="A489" s="9" t="s">
        <v>2115</v>
      </c>
      <c r="B489" s="9" t="s">
        <v>1620</v>
      </c>
      <c r="C489" s="9">
        <v>33</v>
      </c>
      <c r="D489" s="149" t="s">
        <v>1630</v>
      </c>
      <c r="E489" s="150">
        <v>45068</v>
      </c>
      <c r="F489" s="9">
        <v>170</v>
      </c>
      <c r="G489" s="9">
        <v>3.8</v>
      </c>
      <c r="H489" s="9">
        <f>IF(MONTH(Call_Table_Data[[#This Row],[Date of Call]])&lt;=6,YEAR(Call_Table_Data[[#This Row],[Date of Call]]),YEAR(Call_Table_Data[[#This Row],[Date of Call]])+1)</f>
        <v>2023</v>
      </c>
      <c r="I489" s="9" t="str">
        <f>TEXT(Call_Table_Data[[#This Row],[Date of Call]],"DDDD")</f>
        <v>Monday</v>
      </c>
      <c r="J489" s="9" t="str" cm="1">
        <f t="array" ref="J489">_xlfn.IFS(Call_Table_Data[[#This Row],[Duration]]&lt;=10,"Under 10 Mins",Call_Table_Data[[#This Row],[Duration]]&lt;=30,"10 to 30 Mins",Call_Table_Data[[#This Row],[Duration]]&lt;=60,"30 to 60 Mins",Call_Table_Data[[#This Row],[Duration]]&lt;=120,"1 to 2 Hours",TRUE,"More Than 2 Hours")</f>
        <v>30 to 60 Mins</v>
      </c>
      <c r="K489" s="9">
        <f>ROUND(Call_Table_Data[[#This Row],[Satisfaction Rating]],0)</f>
        <v>4</v>
      </c>
    </row>
    <row r="490" spans="1:11" x14ac:dyDescent="0.3">
      <c r="A490" s="9" t="s">
        <v>2116</v>
      </c>
      <c r="B490" s="9" t="s">
        <v>1652</v>
      </c>
      <c r="C490" s="9">
        <v>115</v>
      </c>
      <c r="D490" s="149" t="s">
        <v>1621</v>
      </c>
      <c r="E490" s="150">
        <v>45068</v>
      </c>
      <c r="F490" s="9">
        <v>42</v>
      </c>
      <c r="G490" s="9">
        <v>4.7</v>
      </c>
      <c r="H490" s="9">
        <f>IF(MONTH(Call_Table_Data[[#This Row],[Date of Call]])&lt;=6,YEAR(Call_Table_Data[[#This Row],[Date of Call]]),YEAR(Call_Table_Data[[#This Row],[Date of Call]])+1)</f>
        <v>2023</v>
      </c>
      <c r="I490" s="9" t="str">
        <f>TEXT(Call_Table_Data[[#This Row],[Date of Call]],"DDDD")</f>
        <v>Monday</v>
      </c>
      <c r="J490" s="9" t="str" cm="1">
        <f t="array" ref="J490">_xlfn.IFS(Call_Table_Data[[#This Row],[Duration]]&lt;=10,"Under 10 Mins",Call_Table_Data[[#This Row],[Duration]]&lt;=30,"10 to 30 Mins",Call_Table_Data[[#This Row],[Duration]]&lt;=60,"30 to 60 Mins",Call_Table_Data[[#This Row],[Duration]]&lt;=120,"1 to 2 Hours",TRUE,"More Than 2 Hours")</f>
        <v>1 to 2 Hours</v>
      </c>
      <c r="K490" s="9">
        <f>ROUND(Call_Table_Data[[#This Row],[Satisfaction Rating]],0)</f>
        <v>5</v>
      </c>
    </row>
    <row r="491" spans="1:11" x14ac:dyDescent="0.3">
      <c r="A491" s="9" t="s">
        <v>2117</v>
      </c>
      <c r="B491" s="9" t="s">
        <v>1618</v>
      </c>
      <c r="C491" s="9">
        <v>155</v>
      </c>
      <c r="D491" s="149" t="s">
        <v>1626</v>
      </c>
      <c r="E491" s="150">
        <v>45069</v>
      </c>
      <c r="F491" s="9">
        <v>37</v>
      </c>
      <c r="G491" s="9">
        <v>4</v>
      </c>
      <c r="H491" s="9">
        <f>IF(MONTH(Call_Table_Data[[#This Row],[Date of Call]])&lt;=6,YEAR(Call_Table_Data[[#This Row],[Date of Call]]),YEAR(Call_Table_Data[[#This Row],[Date of Call]])+1)</f>
        <v>2023</v>
      </c>
      <c r="I491" s="9" t="str">
        <f>TEXT(Call_Table_Data[[#This Row],[Date of Call]],"DDDD")</f>
        <v>Tuesday</v>
      </c>
      <c r="J491" s="9" t="str" cm="1">
        <f t="array" ref="J491">_xlfn.IFS(Call_Table_Data[[#This Row],[Duration]]&lt;=10,"Under 10 Mins",Call_Table_Data[[#This Row],[Duration]]&lt;=30,"10 to 30 Mins",Call_Table_Data[[#This Row],[Duration]]&lt;=60,"30 to 60 Mins",Call_Table_Data[[#This Row],[Duration]]&lt;=120,"1 to 2 Hours",TRUE,"More Than 2 Hours")</f>
        <v>More Than 2 Hours</v>
      </c>
      <c r="K491" s="9">
        <f>ROUND(Call_Table_Data[[#This Row],[Satisfaction Rating]],0)</f>
        <v>4</v>
      </c>
    </row>
    <row r="492" spans="1:11" x14ac:dyDescent="0.3">
      <c r="A492" s="9" t="s">
        <v>2118</v>
      </c>
      <c r="B492" s="9" t="s">
        <v>1613</v>
      </c>
      <c r="C492" s="9">
        <v>117</v>
      </c>
      <c r="D492" s="149" t="s">
        <v>1626</v>
      </c>
      <c r="E492" s="150">
        <v>45069</v>
      </c>
      <c r="F492" s="9">
        <v>88</v>
      </c>
      <c r="G492" s="9">
        <v>4.7</v>
      </c>
      <c r="H492" s="9">
        <f>IF(MONTH(Call_Table_Data[[#This Row],[Date of Call]])&lt;=6,YEAR(Call_Table_Data[[#This Row],[Date of Call]]),YEAR(Call_Table_Data[[#This Row],[Date of Call]])+1)</f>
        <v>2023</v>
      </c>
      <c r="I492" s="9" t="str">
        <f>TEXT(Call_Table_Data[[#This Row],[Date of Call]],"DDDD")</f>
        <v>Tuesday</v>
      </c>
      <c r="J492" s="9" t="str" cm="1">
        <f t="array" ref="J492">_xlfn.IFS(Call_Table_Data[[#This Row],[Duration]]&lt;=10,"Under 10 Mins",Call_Table_Data[[#This Row],[Duration]]&lt;=30,"10 to 30 Mins",Call_Table_Data[[#This Row],[Duration]]&lt;=60,"30 to 60 Mins",Call_Table_Data[[#This Row],[Duration]]&lt;=120,"1 to 2 Hours",TRUE,"More Than 2 Hours")</f>
        <v>1 to 2 Hours</v>
      </c>
      <c r="K492" s="9">
        <f>ROUND(Call_Table_Data[[#This Row],[Satisfaction Rating]],0)</f>
        <v>5</v>
      </c>
    </row>
    <row r="493" spans="1:11" x14ac:dyDescent="0.3">
      <c r="A493" s="9" t="s">
        <v>2119</v>
      </c>
      <c r="B493" s="9" t="s">
        <v>1682</v>
      </c>
      <c r="C493" s="9">
        <v>63</v>
      </c>
      <c r="D493" s="149" t="s">
        <v>1626</v>
      </c>
      <c r="E493" s="150">
        <v>45069</v>
      </c>
      <c r="F493" s="9">
        <v>80</v>
      </c>
      <c r="G493" s="9">
        <v>2.5</v>
      </c>
      <c r="H493" s="9">
        <f>IF(MONTH(Call_Table_Data[[#This Row],[Date of Call]])&lt;=6,YEAR(Call_Table_Data[[#This Row],[Date of Call]]),YEAR(Call_Table_Data[[#This Row],[Date of Call]])+1)</f>
        <v>2023</v>
      </c>
      <c r="I493" s="9" t="str">
        <f>TEXT(Call_Table_Data[[#This Row],[Date of Call]],"DDDD")</f>
        <v>Tuesday</v>
      </c>
      <c r="J493" s="9" t="str" cm="1">
        <f t="array" ref="J493">_xlfn.IFS(Call_Table_Data[[#This Row],[Duration]]&lt;=10,"Under 10 Mins",Call_Table_Data[[#This Row],[Duration]]&lt;=30,"10 to 30 Mins",Call_Table_Data[[#This Row],[Duration]]&lt;=60,"30 to 60 Mins",Call_Table_Data[[#This Row],[Duration]]&lt;=120,"1 to 2 Hours",TRUE,"More Than 2 Hours")</f>
        <v>1 to 2 Hours</v>
      </c>
      <c r="K493" s="9">
        <f>ROUND(Call_Table_Data[[#This Row],[Satisfaction Rating]],0)</f>
        <v>3</v>
      </c>
    </row>
    <row r="494" spans="1:11" x14ac:dyDescent="0.3">
      <c r="A494" s="9" t="s">
        <v>2120</v>
      </c>
      <c r="B494" s="9" t="s">
        <v>1629</v>
      </c>
      <c r="C494" s="9">
        <v>59</v>
      </c>
      <c r="D494" s="149" t="s">
        <v>1611</v>
      </c>
      <c r="E494" s="150">
        <v>45070</v>
      </c>
      <c r="F494" s="9">
        <v>123</v>
      </c>
      <c r="G494" s="9">
        <v>3.6</v>
      </c>
      <c r="H494" s="9">
        <f>IF(MONTH(Call_Table_Data[[#This Row],[Date of Call]])&lt;=6,YEAR(Call_Table_Data[[#This Row],[Date of Call]]),YEAR(Call_Table_Data[[#This Row],[Date of Call]])+1)</f>
        <v>2023</v>
      </c>
      <c r="I494" s="9" t="str">
        <f>TEXT(Call_Table_Data[[#This Row],[Date of Call]],"DDDD")</f>
        <v>Wednesday</v>
      </c>
      <c r="J494" s="9" t="str" cm="1">
        <f t="array" ref="J494">_xlfn.IFS(Call_Table_Data[[#This Row],[Duration]]&lt;=10,"Under 10 Mins",Call_Table_Data[[#This Row],[Duration]]&lt;=30,"10 to 30 Mins",Call_Table_Data[[#This Row],[Duration]]&lt;=60,"30 to 60 Mins",Call_Table_Data[[#This Row],[Duration]]&lt;=120,"1 to 2 Hours",TRUE,"More Than 2 Hours")</f>
        <v>30 to 60 Mins</v>
      </c>
      <c r="K494" s="9">
        <f>ROUND(Call_Table_Data[[#This Row],[Satisfaction Rating]],0)</f>
        <v>4</v>
      </c>
    </row>
    <row r="495" spans="1:11" x14ac:dyDescent="0.3">
      <c r="A495" s="9" t="s">
        <v>2121</v>
      </c>
      <c r="B495" s="9" t="s">
        <v>1644</v>
      </c>
      <c r="C495" s="9">
        <v>133</v>
      </c>
      <c r="D495" s="149" t="s">
        <v>1630</v>
      </c>
      <c r="E495" s="150">
        <v>45070</v>
      </c>
      <c r="F495" s="9">
        <v>31</v>
      </c>
      <c r="G495" s="9">
        <v>3.7</v>
      </c>
      <c r="H495" s="9">
        <f>IF(MONTH(Call_Table_Data[[#This Row],[Date of Call]])&lt;=6,YEAR(Call_Table_Data[[#This Row],[Date of Call]]),YEAR(Call_Table_Data[[#This Row],[Date of Call]])+1)</f>
        <v>2023</v>
      </c>
      <c r="I495" s="9" t="str">
        <f>TEXT(Call_Table_Data[[#This Row],[Date of Call]],"DDDD")</f>
        <v>Wednesday</v>
      </c>
      <c r="J495" s="9" t="str" cm="1">
        <f t="array" ref="J495">_xlfn.IFS(Call_Table_Data[[#This Row],[Duration]]&lt;=10,"Under 10 Mins",Call_Table_Data[[#This Row],[Duration]]&lt;=30,"10 to 30 Mins",Call_Table_Data[[#This Row],[Duration]]&lt;=60,"30 to 60 Mins",Call_Table_Data[[#This Row],[Duration]]&lt;=120,"1 to 2 Hours",TRUE,"More Than 2 Hours")</f>
        <v>More Than 2 Hours</v>
      </c>
      <c r="K495" s="9">
        <f>ROUND(Call_Table_Data[[#This Row],[Satisfaction Rating]],0)</f>
        <v>4</v>
      </c>
    </row>
    <row r="496" spans="1:11" x14ac:dyDescent="0.3">
      <c r="A496" s="9" t="s">
        <v>2122</v>
      </c>
      <c r="B496" s="9" t="s">
        <v>1662</v>
      </c>
      <c r="C496" s="9">
        <v>101</v>
      </c>
      <c r="D496" s="149" t="s">
        <v>1616</v>
      </c>
      <c r="E496" s="150">
        <v>45070</v>
      </c>
      <c r="F496" s="9">
        <v>205</v>
      </c>
      <c r="G496" s="9">
        <v>3.9</v>
      </c>
      <c r="H496" s="9">
        <f>IF(MONTH(Call_Table_Data[[#This Row],[Date of Call]])&lt;=6,YEAR(Call_Table_Data[[#This Row],[Date of Call]]),YEAR(Call_Table_Data[[#This Row],[Date of Call]])+1)</f>
        <v>2023</v>
      </c>
      <c r="I496" s="9" t="str">
        <f>TEXT(Call_Table_Data[[#This Row],[Date of Call]],"DDDD")</f>
        <v>Wednesday</v>
      </c>
      <c r="J496" s="9" t="str" cm="1">
        <f t="array" ref="J496">_xlfn.IFS(Call_Table_Data[[#This Row],[Duration]]&lt;=10,"Under 10 Mins",Call_Table_Data[[#This Row],[Duration]]&lt;=30,"10 to 30 Mins",Call_Table_Data[[#This Row],[Duration]]&lt;=60,"30 to 60 Mins",Call_Table_Data[[#This Row],[Duration]]&lt;=120,"1 to 2 Hours",TRUE,"More Than 2 Hours")</f>
        <v>1 to 2 Hours</v>
      </c>
      <c r="K496" s="9">
        <f>ROUND(Call_Table_Data[[#This Row],[Satisfaction Rating]],0)</f>
        <v>4</v>
      </c>
    </row>
    <row r="497" spans="1:11" x14ac:dyDescent="0.3">
      <c r="A497" s="9" t="s">
        <v>2123</v>
      </c>
      <c r="B497" s="9" t="s">
        <v>1633</v>
      </c>
      <c r="C497" s="9">
        <v>151</v>
      </c>
      <c r="D497" s="149" t="s">
        <v>1626</v>
      </c>
      <c r="E497" s="150">
        <v>45071</v>
      </c>
      <c r="F497" s="9">
        <v>123</v>
      </c>
      <c r="G497" s="9">
        <v>3.7</v>
      </c>
      <c r="H497" s="9">
        <f>IF(MONTH(Call_Table_Data[[#This Row],[Date of Call]])&lt;=6,YEAR(Call_Table_Data[[#This Row],[Date of Call]]),YEAR(Call_Table_Data[[#This Row],[Date of Call]])+1)</f>
        <v>2023</v>
      </c>
      <c r="I497" s="9" t="str">
        <f>TEXT(Call_Table_Data[[#This Row],[Date of Call]],"DDDD")</f>
        <v>Thursday</v>
      </c>
      <c r="J497" s="9" t="str" cm="1">
        <f t="array" ref="J497">_xlfn.IFS(Call_Table_Data[[#This Row],[Duration]]&lt;=10,"Under 10 Mins",Call_Table_Data[[#This Row],[Duration]]&lt;=30,"10 to 30 Mins",Call_Table_Data[[#This Row],[Duration]]&lt;=60,"30 to 60 Mins",Call_Table_Data[[#This Row],[Duration]]&lt;=120,"1 to 2 Hours",TRUE,"More Than 2 Hours")</f>
        <v>More Than 2 Hours</v>
      </c>
      <c r="K497" s="9">
        <f>ROUND(Call_Table_Data[[#This Row],[Satisfaction Rating]],0)</f>
        <v>4</v>
      </c>
    </row>
    <row r="498" spans="1:11" x14ac:dyDescent="0.3">
      <c r="A498" s="9" t="s">
        <v>2124</v>
      </c>
      <c r="B498" s="9" t="s">
        <v>1620</v>
      </c>
      <c r="C498" s="9">
        <v>146</v>
      </c>
      <c r="D498" s="149" t="s">
        <v>1630</v>
      </c>
      <c r="E498" s="150">
        <v>45071</v>
      </c>
      <c r="F498" s="9">
        <v>123</v>
      </c>
      <c r="G498" s="9">
        <v>4.3</v>
      </c>
      <c r="H498" s="9">
        <f>IF(MONTH(Call_Table_Data[[#This Row],[Date of Call]])&lt;=6,YEAR(Call_Table_Data[[#This Row],[Date of Call]]),YEAR(Call_Table_Data[[#This Row],[Date of Call]])+1)</f>
        <v>2023</v>
      </c>
      <c r="I498" s="9" t="str">
        <f>TEXT(Call_Table_Data[[#This Row],[Date of Call]],"DDDD")</f>
        <v>Thursday</v>
      </c>
      <c r="J498" s="9" t="str" cm="1">
        <f t="array" ref="J498">_xlfn.IFS(Call_Table_Data[[#This Row],[Duration]]&lt;=10,"Under 10 Mins",Call_Table_Data[[#This Row],[Duration]]&lt;=30,"10 to 30 Mins",Call_Table_Data[[#This Row],[Duration]]&lt;=60,"30 to 60 Mins",Call_Table_Data[[#This Row],[Duration]]&lt;=120,"1 to 2 Hours",TRUE,"More Than 2 Hours")</f>
        <v>More Than 2 Hours</v>
      </c>
      <c r="K498" s="9">
        <f>ROUND(Call_Table_Data[[#This Row],[Satisfaction Rating]],0)</f>
        <v>4</v>
      </c>
    </row>
    <row r="499" spans="1:11" x14ac:dyDescent="0.3">
      <c r="A499" s="9" t="s">
        <v>2125</v>
      </c>
      <c r="B499" s="9" t="s">
        <v>1682</v>
      </c>
      <c r="C499" s="9">
        <v>148</v>
      </c>
      <c r="D499" s="149" t="s">
        <v>1630</v>
      </c>
      <c r="E499" s="150">
        <v>45071</v>
      </c>
      <c r="F499" s="9">
        <v>36</v>
      </c>
      <c r="G499" s="9">
        <v>2.9</v>
      </c>
      <c r="H499" s="9">
        <f>IF(MONTH(Call_Table_Data[[#This Row],[Date of Call]])&lt;=6,YEAR(Call_Table_Data[[#This Row],[Date of Call]]),YEAR(Call_Table_Data[[#This Row],[Date of Call]])+1)</f>
        <v>2023</v>
      </c>
      <c r="I499" s="9" t="str">
        <f>TEXT(Call_Table_Data[[#This Row],[Date of Call]],"DDDD")</f>
        <v>Thursday</v>
      </c>
      <c r="J499" s="9" t="str" cm="1">
        <f t="array" ref="J499">_xlfn.IFS(Call_Table_Data[[#This Row],[Duration]]&lt;=10,"Under 10 Mins",Call_Table_Data[[#This Row],[Duration]]&lt;=30,"10 to 30 Mins",Call_Table_Data[[#This Row],[Duration]]&lt;=60,"30 to 60 Mins",Call_Table_Data[[#This Row],[Duration]]&lt;=120,"1 to 2 Hours",TRUE,"More Than 2 Hours")</f>
        <v>More Than 2 Hours</v>
      </c>
      <c r="K499" s="9">
        <f>ROUND(Call_Table_Data[[#This Row],[Satisfaction Rating]],0)</f>
        <v>3</v>
      </c>
    </row>
    <row r="500" spans="1:11" x14ac:dyDescent="0.3">
      <c r="A500" s="9" t="s">
        <v>2126</v>
      </c>
      <c r="B500" s="9" t="s">
        <v>1633</v>
      </c>
      <c r="C500" s="9">
        <v>81</v>
      </c>
      <c r="D500" s="149" t="s">
        <v>1630</v>
      </c>
      <c r="E500" s="150">
        <v>45071</v>
      </c>
      <c r="F500" s="9">
        <v>116</v>
      </c>
      <c r="G500" s="9">
        <v>4.3</v>
      </c>
      <c r="H500" s="9">
        <f>IF(MONTH(Call_Table_Data[[#This Row],[Date of Call]])&lt;=6,YEAR(Call_Table_Data[[#This Row],[Date of Call]]),YEAR(Call_Table_Data[[#This Row],[Date of Call]])+1)</f>
        <v>2023</v>
      </c>
      <c r="I500" s="9" t="str">
        <f>TEXT(Call_Table_Data[[#This Row],[Date of Call]],"DDDD")</f>
        <v>Thursday</v>
      </c>
      <c r="J500" s="9" t="str" cm="1">
        <f t="array" ref="J500">_xlfn.IFS(Call_Table_Data[[#This Row],[Duration]]&lt;=10,"Under 10 Mins",Call_Table_Data[[#This Row],[Duration]]&lt;=30,"10 to 30 Mins",Call_Table_Data[[#This Row],[Duration]]&lt;=60,"30 to 60 Mins",Call_Table_Data[[#This Row],[Duration]]&lt;=120,"1 to 2 Hours",TRUE,"More Than 2 Hours")</f>
        <v>1 to 2 Hours</v>
      </c>
      <c r="K500" s="9">
        <f>ROUND(Call_Table_Data[[#This Row],[Satisfaction Rating]],0)</f>
        <v>4</v>
      </c>
    </row>
    <row r="501" spans="1:11" x14ac:dyDescent="0.3">
      <c r="A501" s="9" t="s">
        <v>2127</v>
      </c>
      <c r="B501" s="9" t="s">
        <v>1641</v>
      </c>
      <c r="C501" s="9">
        <v>115</v>
      </c>
      <c r="D501" s="149" t="s">
        <v>1630</v>
      </c>
      <c r="E501" s="150">
        <v>45071</v>
      </c>
      <c r="F501" s="9">
        <v>40</v>
      </c>
      <c r="G501" s="9">
        <v>4.9000000000000004</v>
      </c>
      <c r="H501" s="9">
        <f>IF(MONTH(Call_Table_Data[[#This Row],[Date of Call]])&lt;=6,YEAR(Call_Table_Data[[#This Row],[Date of Call]]),YEAR(Call_Table_Data[[#This Row],[Date of Call]])+1)</f>
        <v>2023</v>
      </c>
      <c r="I501" s="9" t="str">
        <f>TEXT(Call_Table_Data[[#This Row],[Date of Call]],"DDDD")</f>
        <v>Thursday</v>
      </c>
      <c r="J501" s="9" t="str" cm="1">
        <f t="array" ref="J501">_xlfn.IFS(Call_Table_Data[[#This Row],[Duration]]&lt;=10,"Under 10 Mins",Call_Table_Data[[#This Row],[Duration]]&lt;=30,"10 to 30 Mins",Call_Table_Data[[#This Row],[Duration]]&lt;=60,"30 to 60 Mins",Call_Table_Data[[#This Row],[Duration]]&lt;=120,"1 to 2 Hours",TRUE,"More Than 2 Hours")</f>
        <v>1 to 2 Hours</v>
      </c>
      <c r="K501" s="9">
        <f>ROUND(Call_Table_Data[[#This Row],[Satisfaction Rating]],0)</f>
        <v>5</v>
      </c>
    </row>
    <row r="502" spans="1:11" x14ac:dyDescent="0.3">
      <c r="A502" s="9" t="s">
        <v>2128</v>
      </c>
      <c r="B502" s="9" t="s">
        <v>1641</v>
      </c>
      <c r="C502" s="9">
        <v>117</v>
      </c>
      <c r="D502" s="149" t="s">
        <v>1626</v>
      </c>
      <c r="E502" s="150">
        <v>45071</v>
      </c>
      <c r="F502" s="9">
        <v>40</v>
      </c>
      <c r="G502" s="9">
        <v>4</v>
      </c>
      <c r="H502" s="9">
        <f>IF(MONTH(Call_Table_Data[[#This Row],[Date of Call]])&lt;=6,YEAR(Call_Table_Data[[#This Row],[Date of Call]]),YEAR(Call_Table_Data[[#This Row],[Date of Call]])+1)</f>
        <v>2023</v>
      </c>
      <c r="I502" s="9" t="str">
        <f>TEXT(Call_Table_Data[[#This Row],[Date of Call]],"DDDD")</f>
        <v>Thursday</v>
      </c>
      <c r="J502" s="9" t="str" cm="1">
        <f t="array" ref="J502">_xlfn.IFS(Call_Table_Data[[#This Row],[Duration]]&lt;=10,"Under 10 Mins",Call_Table_Data[[#This Row],[Duration]]&lt;=30,"10 to 30 Mins",Call_Table_Data[[#This Row],[Duration]]&lt;=60,"30 to 60 Mins",Call_Table_Data[[#This Row],[Duration]]&lt;=120,"1 to 2 Hours",TRUE,"More Than 2 Hours")</f>
        <v>1 to 2 Hours</v>
      </c>
      <c r="K502" s="9">
        <f>ROUND(Call_Table_Data[[#This Row],[Satisfaction Rating]],0)</f>
        <v>4</v>
      </c>
    </row>
    <row r="503" spans="1:11" x14ac:dyDescent="0.3">
      <c r="A503" s="9" t="s">
        <v>2129</v>
      </c>
      <c r="B503" s="9" t="s">
        <v>1662</v>
      </c>
      <c r="C503" s="9">
        <v>110</v>
      </c>
      <c r="D503" s="149" t="s">
        <v>1621</v>
      </c>
      <c r="E503" s="150">
        <v>45072</v>
      </c>
      <c r="F503" s="9">
        <v>82</v>
      </c>
      <c r="G503" s="9">
        <v>4</v>
      </c>
      <c r="H503" s="9">
        <f>IF(MONTH(Call_Table_Data[[#This Row],[Date of Call]])&lt;=6,YEAR(Call_Table_Data[[#This Row],[Date of Call]]),YEAR(Call_Table_Data[[#This Row],[Date of Call]])+1)</f>
        <v>2023</v>
      </c>
      <c r="I503" s="9" t="str">
        <f>TEXT(Call_Table_Data[[#This Row],[Date of Call]],"DDDD")</f>
        <v>Friday</v>
      </c>
      <c r="J503" s="9" t="str" cm="1">
        <f t="array" ref="J503">_xlfn.IFS(Call_Table_Data[[#This Row],[Duration]]&lt;=10,"Under 10 Mins",Call_Table_Data[[#This Row],[Duration]]&lt;=30,"10 to 30 Mins",Call_Table_Data[[#This Row],[Duration]]&lt;=60,"30 to 60 Mins",Call_Table_Data[[#This Row],[Duration]]&lt;=120,"1 to 2 Hours",TRUE,"More Than 2 Hours")</f>
        <v>1 to 2 Hours</v>
      </c>
      <c r="K503" s="9">
        <f>ROUND(Call_Table_Data[[#This Row],[Satisfaction Rating]],0)</f>
        <v>4</v>
      </c>
    </row>
    <row r="504" spans="1:11" x14ac:dyDescent="0.3">
      <c r="A504" s="9" t="s">
        <v>2130</v>
      </c>
      <c r="B504" s="9" t="s">
        <v>1635</v>
      </c>
      <c r="C504" s="9">
        <v>103</v>
      </c>
      <c r="D504" s="149" t="s">
        <v>1611</v>
      </c>
      <c r="E504" s="150">
        <v>45072</v>
      </c>
      <c r="F504" s="9">
        <v>62</v>
      </c>
      <c r="G504" s="9">
        <v>3.4</v>
      </c>
      <c r="H504" s="9">
        <f>IF(MONTH(Call_Table_Data[[#This Row],[Date of Call]])&lt;=6,YEAR(Call_Table_Data[[#This Row],[Date of Call]]),YEAR(Call_Table_Data[[#This Row],[Date of Call]])+1)</f>
        <v>2023</v>
      </c>
      <c r="I504" s="9" t="str">
        <f>TEXT(Call_Table_Data[[#This Row],[Date of Call]],"DDDD")</f>
        <v>Friday</v>
      </c>
      <c r="J504" s="9" t="str" cm="1">
        <f t="array" ref="J504">_xlfn.IFS(Call_Table_Data[[#This Row],[Duration]]&lt;=10,"Under 10 Mins",Call_Table_Data[[#This Row],[Duration]]&lt;=30,"10 to 30 Mins",Call_Table_Data[[#This Row],[Duration]]&lt;=60,"30 to 60 Mins",Call_Table_Data[[#This Row],[Duration]]&lt;=120,"1 to 2 Hours",TRUE,"More Than 2 Hours")</f>
        <v>1 to 2 Hours</v>
      </c>
      <c r="K504" s="9">
        <f>ROUND(Call_Table_Data[[#This Row],[Satisfaction Rating]],0)</f>
        <v>3</v>
      </c>
    </row>
    <row r="505" spans="1:11" x14ac:dyDescent="0.3">
      <c r="A505" s="9" t="s">
        <v>2131</v>
      </c>
      <c r="B505" s="9" t="s">
        <v>1618</v>
      </c>
      <c r="C505" s="9">
        <v>45</v>
      </c>
      <c r="D505" s="149" t="s">
        <v>1611</v>
      </c>
      <c r="E505" s="150">
        <v>45072</v>
      </c>
      <c r="F505" s="9">
        <v>135</v>
      </c>
      <c r="G505" s="9">
        <v>3.9</v>
      </c>
      <c r="H505" s="9">
        <f>IF(MONTH(Call_Table_Data[[#This Row],[Date of Call]])&lt;=6,YEAR(Call_Table_Data[[#This Row],[Date of Call]]),YEAR(Call_Table_Data[[#This Row],[Date of Call]])+1)</f>
        <v>2023</v>
      </c>
      <c r="I505" s="9" t="str">
        <f>TEXT(Call_Table_Data[[#This Row],[Date of Call]],"DDDD")</f>
        <v>Friday</v>
      </c>
      <c r="J505" s="9" t="str" cm="1">
        <f t="array" ref="J505">_xlfn.IFS(Call_Table_Data[[#This Row],[Duration]]&lt;=10,"Under 10 Mins",Call_Table_Data[[#This Row],[Duration]]&lt;=30,"10 to 30 Mins",Call_Table_Data[[#This Row],[Duration]]&lt;=60,"30 to 60 Mins",Call_Table_Data[[#This Row],[Duration]]&lt;=120,"1 to 2 Hours",TRUE,"More Than 2 Hours")</f>
        <v>30 to 60 Mins</v>
      </c>
      <c r="K505" s="9">
        <f>ROUND(Call_Table_Data[[#This Row],[Satisfaction Rating]],0)</f>
        <v>4</v>
      </c>
    </row>
    <row r="506" spans="1:11" x14ac:dyDescent="0.3">
      <c r="A506" s="9" t="s">
        <v>2132</v>
      </c>
      <c r="B506" s="9" t="s">
        <v>1662</v>
      </c>
      <c r="C506" s="9">
        <v>110</v>
      </c>
      <c r="D506" s="149" t="s">
        <v>1616</v>
      </c>
      <c r="E506" s="150">
        <v>45072</v>
      </c>
      <c r="F506" s="9">
        <v>155</v>
      </c>
      <c r="G506" s="9">
        <v>2.1</v>
      </c>
      <c r="H506" s="9">
        <f>IF(MONTH(Call_Table_Data[[#This Row],[Date of Call]])&lt;=6,YEAR(Call_Table_Data[[#This Row],[Date of Call]]),YEAR(Call_Table_Data[[#This Row],[Date of Call]])+1)</f>
        <v>2023</v>
      </c>
      <c r="I506" s="9" t="str">
        <f>TEXT(Call_Table_Data[[#This Row],[Date of Call]],"DDDD")</f>
        <v>Friday</v>
      </c>
      <c r="J506" s="9" t="str" cm="1">
        <f t="array" ref="J506">_xlfn.IFS(Call_Table_Data[[#This Row],[Duration]]&lt;=10,"Under 10 Mins",Call_Table_Data[[#This Row],[Duration]]&lt;=30,"10 to 30 Mins",Call_Table_Data[[#This Row],[Duration]]&lt;=60,"30 to 60 Mins",Call_Table_Data[[#This Row],[Duration]]&lt;=120,"1 to 2 Hours",TRUE,"More Than 2 Hours")</f>
        <v>1 to 2 Hours</v>
      </c>
      <c r="K506" s="9">
        <f>ROUND(Call_Table_Data[[#This Row],[Satisfaction Rating]],0)</f>
        <v>2</v>
      </c>
    </row>
    <row r="507" spans="1:11" x14ac:dyDescent="0.3">
      <c r="A507" s="9" t="s">
        <v>2133</v>
      </c>
      <c r="B507" s="9" t="s">
        <v>1629</v>
      </c>
      <c r="C507" s="9">
        <v>43</v>
      </c>
      <c r="D507" s="149" t="s">
        <v>1621</v>
      </c>
      <c r="E507" s="150">
        <v>45072</v>
      </c>
      <c r="F507" s="9">
        <v>37</v>
      </c>
      <c r="G507" s="9">
        <v>4.9000000000000004</v>
      </c>
      <c r="H507" s="9">
        <f>IF(MONTH(Call_Table_Data[[#This Row],[Date of Call]])&lt;=6,YEAR(Call_Table_Data[[#This Row],[Date of Call]]),YEAR(Call_Table_Data[[#This Row],[Date of Call]])+1)</f>
        <v>2023</v>
      </c>
      <c r="I507" s="9" t="str">
        <f>TEXT(Call_Table_Data[[#This Row],[Date of Call]],"DDDD")</f>
        <v>Friday</v>
      </c>
      <c r="J507" s="9" t="str" cm="1">
        <f t="array" ref="J507">_xlfn.IFS(Call_Table_Data[[#This Row],[Duration]]&lt;=10,"Under 10 Mins",Call_Table_Data[[#This Row],[Duration]]&lt;=30,"10 to 30 Mins",Call_Table_Data[[#This Row],[Duration]]&lt;=60,"30 to 60 Mins",Call_Table_Data[[#This Row],[Duration]]&lt;=120,"1 to 2 Hours",TRUE,"More Than 2 Hours")</f>
        <v>30 to 60 Mins</v>
      </c>
      <c r="K507" s="9">
        <f>ROUND(Call_Table_Data[[#This Row],[Satisfaction Rating]],0)</f>
        <v>5</v>
      </c>
    </row>
    <row r="508" spans="1:11" x14ac:dyDescent="0.3">
      <c r="A508" s="9" t="s">
        <v>2134</v>
      </c>
      <c r="B508" s="9" t="s">
        <v>1662</v>
      </c>
      <c r="C508" s="9">
        <v>104</v>
      </c>
      <c r="D508" s="149" t="s">
        <v>1626</v>
      </c>
      <c r="E508" s="150">
        <v>45073</v>
      </c>
      <c r="F508" s="9">
        <v>56</v>
      </c>
      <c r="G508" s="9">
        <v>3.4</v>
      </c>
      <c r="H508" s="9">
        <f>IF(MONTH(Call_Table_Data[[#This Row],[Date of Call]])&lt;=6,YEAR(Call_Table_Data[[#This Row],[Date of Call]]),YEAR(Call_Table_Data[[#This Row],[Date of Call]])+1)</f>
        <v>2023</v>
      </c>
      <c r="I508" s="9" t="str">
        <f>TEXT(Call_Table_Data[[#This Row],[Date of Call]],"DDDD")</f>
        <v>Saturday</v>
      </c>
      <c r="J508" s="9" t="str" cm="1">
        <f t="array" ref="J508">_xlfn.IFS(Call_Table_Data[[#This Row],[Duration]]&lt;=10,"Under 10 Mins",Call_Table_Data[[#This Row],[Duration]]&lt;=30,"10 to 30 Mins",Call_Table_Data[[#This Row],[Duration]]&lt;=60,"30 to 60 Mins",Call_Table_Data[[#This Row],[Duration]]&lt;=120,"1 to 2 Hours",TRUE,"More Than 2 Hours")</f>
        <v>1 to 2 Hours</v>
      </c>
      <c r="K508" s="9">
        <f>ROUND(Call_Table_Data[[#This Row],[Satisfaction Rating]],0)</f>
        <v>3</v>
      </c>
    </row>
    <row r="509" spans="1:11" x14ac:dyDescent="0.3">
      <c r="A509" s="9" t="s">
        <v>2135</v>
      </c>
      <c r="B509" s="9" t="s">
        <v>1662</v>
      </c>
      <c r="C509" s="9">
        <v>101</v>
      </c>
      <c r="D509" s="149" t="s">
        <v>1626</v>
      </c>
      <c r="E509" s="150">
        <v>45073</v>
      </c>
      <c r="F509" s="9">
        <v>185</v>
      </c>
      <c r="G509" s="9">
        <v>5</v>
      </c>
      <c r="H509" s="9">
        <f>IF(MONTH(Call_Table_Data[[#This Row],[Date of Call]])&lt;=6,YEAR(Call_Table_Data[[#This Row],[Date of Call]]),YEAR(Call_Table_Data[[#This Row],[Date of Call]])+1)</f>
        <v>2023</v>
      </c>
      <c r="I509" s="9" t="str">
        <f>TEXT(Call_Table_Data[[#This Row],[Date of Call]],"DDDD")</f>
        <v>Saturday</v>
      </c>
      <c r="J509" s="9" t="str" cm="1">
        <f t="array" ref="J509">_xlfn.IFS(Call_Table_Data[[#This Row],[Duration]]&lt;=10,"Under 10 Mins",Call_Table_Data[[#This Row],[Duration]]&lt;=30,"10 to 30 Mins",Call_Table_Data[[#This Row],[Duration]]&lt;=60,"30 to 60 Mins",Call_Table_Data[[#This Row],[Duration]]&lt;=120,"1 to 2 Hours",TRUE,"More Than 2 Hours")</f>
        <v>1 to 2 Hours</v>
      </c>
      <c r="K509" s="9">
        <f>ROUND(Call_Table_Data[[#This Row],[Satisfaction Rating]],0)</f>
        <v>5</v>
      </c>
    </row>
    <row r="510" spans="1:11" x14ac:dyDescent="0.3">
      <c r="A510" s="9" t="s">
        <v>2136</v>
      </c>
      <c r="B510" s="9" t="s">
        <v>1610</v>
      </c>
      <c r="C510" s="9">
        <v>55</v>
      </c>
      <c r="D510" s="149" t="s">
        <v>1621</v>
      </c>
      <c r="E510" s="150">
        <v>45074</v>
      </c>
      <c r="F510" s="9">
        <v>145</v>
      </c>
      <c r="G510" s="9">
        <v>4.5</v>
      </c>
      <c r="H510" s="9">
        <f>IF(MONTH(Call_Table_Data[[#This Row],[Date of Call]])&lt;=6,YEAR(Call_Table_Data[[#This Row],[Date of Call]]),YEAR(Call_Table_Data[[#This Row],[Date of Call]])+1)</f>
        <v>2023</v>
      </c>
      <c r="I510" s="9" t="str">
        <f>TEXT(Call_Table_Data[[#This Row],[Date of Call]],"DDDD")</f>
        <v>Sunday</v>
      </c>
      <c r="J510" s="9" t="str" cm="1">
        <f t="array" ref="J510">_xlfn.IFS(Call_Table_Data[[#This Row],[Duration]]&lt;=10,"Under 10 Mins",Call_Table_Data[[#This Row],[Duration]]&lt;=30,"10 to 30 Mins",Call_Table_Data[[#This Row],[Duration]]&lt;=60,"30 to 60 Mins",Call_Table_Data[[#This Row],[Duration]]&lt;=120,"1 to 2 Hours",TRUE,"More Than 2 Hours")</f>
        <v>30 to 60 Mins</v>
      </c>
      <c r="K510" s="9">
        <f>ROUND(Call_Table_Data[[#This Row],[Satisfaction Rating]],0)</f>
        <v>5</v>
      </c>
    </row>
    <row r="511" spans="1:11" x14ac:dyDescent="0.3">
      <c r="A511" s="9" t="s">
        <v>2137</v>
      </c>
      <c r="B511" s="9" t="s">
        <v>1633</v>
      </c>
      <c r="C511" s="9">
        <v>40</v>
      </c>
      <c r="D511" s="149" t="s">
        <v>1611</v>
      </c>
      <c r="E511" s="150">
        <v>45074</v>
      </c>
      <c r="F511" s="9">
        <v>116</v>
      </c>
      <c r="G511" s="9">
        <v>2.6</v>
      </c>
      <c r="H511" s="9">
        <f>IF(MONTH(Call_Table_Data[[#This Row],[Date of Call]])&lt;=6,YEAR(Call_Table_Data[[#This Row],[Date of Call]]),YEAR(Call_Table_Data[[#This Row],[Date of Call]])+1)</f>
        <v>2023</v>
      </c>
      <c r="I511" s="9" t="str">
        <f>TEXT(Call_Table_Data[[#This Row],[Date of Call]],"DDDD")</f>
        <v>Sunday</v>
      </c>
      <c r="J511" s="9" t="str" cm="1">
        <f t="array" ref="J511">_xlfn.IFS(Call_Table_Data[[#This Row],[Duration]]&lt;=10,"Under 10 Mins",Call_Table_Data[[#This Row],[Duration]]&lt;=30,"10 to 30 Mins",Call_Table_Data[[#This Row],[Duration]]&lt;=60,"30 to 60 Mins",Call_Table_Data[[#This Row],[Duration]]&lt;=120,"1 to 2 Hours",TRUE,"More Than 2 Hours")</f>
        <v>30 to 60 Mins</v>
      </c>
      <c r="K511" s="9">
        <f>ROUND(Call_Table_Data[[#This Row],[Satisfaction Rating]],0)</f>
        <v>3</v>
      </c>
    </row>
    <row r="512" spans="1:11" x14ac:dyDescent="0.3">
      <c r="A512" s="9" t="s">
        <v>2138</v>
      </c>
      <c r="B512" s="9" t="s">
        <v>1629</v>
      </c>
      <c r="C512" s="9">
        <v>122</v>
      </c>
      <c r="D512" s="149" t="s">
        <v>1630</v>
      </c>
      <c r="E512" s="150">
        <v>45074</v>
      </c>
      <c r="F512" s="9">
        <v>45</v>
      </c>
      <c r="G512" s="9">
        <v>4.2</v>
      </c>
      <c r="H512" s="9">
        <f>IF(MONTH(Call_Table_Data[[#This Row],[Date of Call]])&lt;=6,YEAR(Call_Table_Data[[#This Row],[Date of Call]]),YEAR(Call_Table_Data[[#This Row],[Date of Call]])+1)</f>
        <v>2023</v>
      </c>
      <c r="I512" s="9" t="str">
        <f>TEXT(Call_Table_Data[[#This Row],[Date of Call]],"DDDD")</f>
        <v>Sunday</v>
      </c>
      <c r="J512" s="9" t="str" cm="1">
        <f t="array" ref="J512">_xlfn.IFS(Call_Table_Data[[#This Row],[Duration]]&lt;=10,"Under 10 Mins",Call_Table_Data[[#This Row],[Duration]]&lt;=30,"10 to 30 Mins",Call_Table_Data[[#This Row],[Duration]]&lt;=60,"30 to 60 Mins",Call_Table_Data[[#This Row],[Duration]]&lt;=120,"1 to 2 Hours",TRUE,"More Than 2 Hours")</f>
        <v>More Than 2 Hours</v>
      </c>
      <c r="K512" s="9">
        <f>ROUND(Call_Table_Data[[#This Row],[Satisfaction Rating]],0)</f>
        <v>4</v>
      </c>
    </row>
    <row r="513" spans="1:11" x14ac:dyDescent="0.3">
      <c r="A513" s="9" t="s">
        <v>2139</v>
      </c>
      <c r="B513" s="9" t="s">
        <v>1620</v>
      </c>
      <c r="C513" s="9">
        <v>98</v>
      </c>
      <c r="D513" s="149" t="s">
        <v>1626</v>
      </c>
      <c r="E513" s="150">
        <v>45075</v>
      </c>
      <c r="F513" s="9">
        <v>35</v>
      </c>
      <c r="G513" s="9">
        <v>4.5</v>
      </c>
      <c r="H513" s="9">
        <f>IF(MONTH(Call_Table_Data[[#This Row],[Date of Call]])&lt;=6,YEAR(Call_Table_Data[[#This Row],[Date of Call]]),YEAR(Call_Table_Data[[#This Row],[Date of Call]])+1)</f>
        <v>2023</v>
      </c>
      <c r="I513" s="9" t="str">
        <f>TEXT(Call_Table_Data[[#This Row],[Date of Call]],"DDDD")</f>
        <v>Monday</v>
      </c>
      <c r="J513" s="9" t="str" cm="1">
        <f t="array" ref="J513">_xlfn.IFS(Call_Table_Data[[#This Row],[Duration]]&lt;=10,"Under 10 Mins",Call_Table_Data[[#This Row],[Duration]]&lt;=30,"10 to 30 Mins",Call_Table_Data[[#This Row],[Duration]]&lt;=60,"30 to 60 Mins",Call_Table_Data[[#This Row],[Duration]]&lt;=120,"1 to 2 Hours",TRUE,"More Than 2 Hours")</f>
        <v>1 to 2 Hours</v>
      </c>
      <c r="K513" s="9">
        <f>ROUND(Call_Table_Data[[#This Row],[Satisfaction Rating]],0)</f>
        <v>5</v>
      </c>
    </row>
    <row r="514" spans="1:11" x14ac:dyDescent="0.3">
      <c r="A514" s="9" t="s">
        <v>2140</v>
      </c>
      <c r="B514" s="9" t="s">
        <v>1641</v>
      </c>
      <c r="C514" s="9">
        <v>110</v>
      </c>
      <c r="D514" s="149" t="s">
        <v>1611</v>
      </c>
      <c r="E514" s="150">
        <v>45075</v>
      </c>
      <c r="F514" s="9">
        <v>100</v>
      </c>
      <c r="G514" s="9">
        <v>4.4000000000000004</v>
      </c>
      <c r="H514" s="9">
        <f>IF(MONTH(Call_Table_Data[[#This Row],[Date of Call]])&lt;=6,YEAR(Call_Table_Data[[#This Row],[Date of Call]]),YEAR(Call_Table_Data[[#This Row],[Date of Call]])+1)</f>
        <v>2023</v>
      </c>
      <c r="I514" s="9" t="str">
        <f>TEXT(Call_Table_Data[[#This Row],[Date of Call]],"DDDD")</f>
        <v>Monday</v>
      </c>
      <c r="J514" s="9" t="str" cm="1">
        <f t="array" ref="J514">_xlfn.IFS(Call_Table_Data[[#This Row],[Duration]]&lt;=10,"Under 10 Mins",Call_Table_Data[[#This Row],[Duration]]&lt;=30,"10 to 30 Mins",Call_Table_Data[[#This Row],[Duration]]&lt;=60,"30 to 60 Mins",Call_Table_Data[[#This Row],[Duration]]&lt;=120,"1 to 2 Hours",TRUE,"More Than 2 Hours")</f>
        <v>1 to 2 Hours</v>
      </c>
      <c r="K514" s="9">
        <f>ROUND(Call_Table_Data[[#This Row],[Satisfaction Rating]],0)</f>
        <v>4</v>
      </c>
    </row>
    <row r="515" spans="1:11" x14ac:dyDescent="0.3">
      <c r="A515" s="9" t="s">
        <v>2141</v>
      </c>
      <c r="B515" s="9" t="s">
        <v>1641</v>
      </c>
      <c r="C515" s="9">
        <v>62</v>
      </c>
      <c r="D515" s="149" t="s">
        <v>1621</v>
      </c>
      <c r="E515" s="150">
        <v>45076</v>
      </c>
      <c r="F515" s="9">
        <v>125</v>
      </c>
      <c r="G515" s="9">
        <v>3.5</v>
      </c>
      <c r="H515" s="9">
        <f>IF(MONTH(Call_Table_Data[[#This Row],[Date of Call]])&lt;=6,YEAR(Call_Table_Data[[#This Row],[Date of Call]]),YEAR(Call_Table_Data[[#This Row],[Date of Call]])+1)</f>
        <v>2023</v>
      </c>
      <c r="I515" s="9" t="str">
        <f>TEXT(Call_Table_Data[[#This Row],[Date of Call]],"DDDD")</f>
        <v>Tuesday</v>
      </c>
      <c r="J515" s="9" t="str" cm="1">
        <f t="array" ref="J515">_xlfn.IFS(Call_Table_Data[[#This Row],[Duration]]&lt;=10,"Under 10 Mins",Call_Table_Data[[#This Row],[Duration]]&lt;=30,"10 to 30 Mins",Call_Table_Data[[#This Row],[Duration]]&lt;=60,"30 to 60 Mins",Call_Table_Data[[#This Row],[Duration]]&lt;=120,"1 to 2 Hours",TRUE,"More Than 2 Hours")</f>
        <v>1 to 2 Hours</v>
      </c>
      <c r="K515" s="9">
        <f>ROUND(Call_Table_Data[[#This Row],[Satisfaction Rating]],0)</f>
        <v>4</v>
      </c>
    </row>
    <row r="516" spans="1:11" x14ac:dyDescent="0.3">
      <c r="A516" s="9" t="s">
        <v>2142</v>
      </c>
      <c r="B516" s="9" t="s">
        <v>1629</v>
      </c>
      <c r="C516" s="9">
        <v>134</v>
      </c>
      <c r="D516" s="149" t="s">
        <v>1630</v>
      </c>
      <c r="E516" s="150">
        <v>45076</v>
      </c>
      <c r="F516" s="9">
        <v>120</v>
      </c>
      <c r="G516" s="9">
        <v>3</v>
      </c>
      <c r="H516" s="9">
        <f>IF(MONTH(Call_Table_Data[[#This Row],[Date of Call]])&lt;=6,YEAR(Call_Table_Data[[#This Row],[Date of Call]]),YEAR(Call_Table_Data[[#This Row],[Date of Call]])+1)</f>
        <v>2023</v>
      </c>
      <c r="I516" s="9" t="str">
        <f>TEXT(Call_Table_Data[[#This Row],[Date of Call]],"DDDD")</f>
        <v>Tuesday</v>
      </c>
      <c r="J516" s="9" t="str" cm="1">
        <f t="array" ref="J516">_xlfn.IFS(Call_Table_Data[[#This Row],[Duration]]&lt;=10,"Under 10 Mins",Call_Table_Data[[#This Row],[Duration]]&lt;=30,"10 to 30 Mins",Call_Table_Data[[#This Row],[Duration]]&lt;=60,"30 to 60 Mins",Call_Table_Data[[#This Row],[Duration]]&lt;=120,"1 to 2 Hours",TRUE,"More Than 2 Hours")</f>
        <v>More Than 2 Hours</v>
      </c>
      <c r="K516" s="9">
        <f>ROUND(Call_Table_Data[[#This Row],[Satisfaction Rating]],0)</f>
        <v>3</v>
      </c>
    </row>
    <row r="517" spans="1:11" x14ac:dyDescent="0.3">
      <c r="A517" s="9" t="s">
        <v>2143</v>
      </c>
      <c r="B517" s="9" t="s">
        <v>1649</v>
      </c>
      <c r="C517" s="9">
        <v>94</v>
      </c>
      <c r="D517" s="149" t="s">
        <v>1616</v>
      </c>
      <c r="E517" s="150">
        <v>45076</v>
      </c>
      <c r="F517" s="9">
        <v>180</v>
      </c>
      <c r="G517" s="9">
        <v>4.7</v>
      </c>
      <c r="H517" s="9">
        <f>IF(MONTH(Call_Table_Data[[#This Row],[Date of Call]])&lt;=6,YEAR(Call_Table_Data[[#This Row],[Date of Call]]),YEAR(Call_Table_Data[[#This Row],[Date of Call]])+1)</f>
        <v>2023</v>
      </c>
      <c r="I517" s="9" t="str">
        <f>TEXT(Call_Table_Data[[#This Row],[Date of Call]],"DDDD")</f>
        <v>Tuesday</v>
      </c>
      <c r="J517" s="9" t="str" cm="1">
        <f t="array" ref="J517">_xlfn.IFS(Call_Table_Data[[#This Row],[Duration]]&lt;=10,"Under 10 Mins",Call_Table_Data[[#This Row],[Duration]]&lt;=30,"10 to 30 Mins",Call_Table_Data[[#This Row],[Duration]]&lt;=60,"30 to 60 Mins",Call_Table_Data[[#This Row],[Duration]]&lt;=120,"1 to 2 Hours",TRUE,"More Than 2 Hours")</f>
        <v>1 to 2 Hours</v>
      </c>
      <c r="K517" s="9">
        <f>ROUND(Call_Table_Data[[#This Row],[Satisfaction Rating]],0)</f>
        <v>5</v>
      </c>
    </row>
    <row r="518" spans="1:11" x14ac:dyDescent="0.3">
      <c r="A518" s="9" t="s">
        <v>2144</v>
      </c>
      <c r="B518" s="9" t="s">
        <v>1624</v>
      </c>
      <c r="C518" s="9">
        <v>63</v>
      </c>
      <c r="D518" s="149" t="s">
        <v>1611</v>
      </c>
      <c r="E518" s="150">
        <v>45076</v>
      </c>
      <c r="F518" s="9">
        <v>44</v>
      </c>
      <c r="G518" s="9">
        <v>3</v>
      </c>
      <c r="H518" s="9">
        <f>IF(MONTH(Call_Table_Data[[#This Row],[Date of Call]])&lt;=6,YEAR(Call_Table_Data[[#This Row],[Date of Call]]),YEAR(Call_Table_Data[[#This Row],[Date of Call]])+1)</f>
        <v>2023</v>
      </c>
      <c r="I518" s="9" t="str">
        <f>TEXT(Call_Table_Data[[#This Row],[Date of Call]],"DDDD")</f>
        <v>Tuesday</v>
      </c>
      <c r="J518" s="9" t="str" cm="1">
        <f t="array" ref="J518">_xlfn.IFS(Call_Table_Data[[#This Row],[Duration]]&lt;=10,"Under 10 Mins",Call_Table_Data[[#This Row],[Duration]]&lt;=30,"10 to 30 Mins",Call_Table_Data[[#This Row],[Duration]]&lt;=60,"30 to 60 Mins",Call_Table_Data[[#This Row],[Duration]]&lt;=120,"1 to 2 Hours",TRUE,"More Than 2 Hours")</f>
        <v>1 to 2 Hours</v>
      </c>
      <c r="K518" s="9">
        <f>ROUND(Call_Table_Data[[#This Row],[Satisfaction Rating]],0)</f>
        <v>3</v>
      </c>
    </row>
    <row r="519" spans="1:11" x14ac:dyDescent="0.3">
      <c r="A519" s="9" t="s">
        <v>2145</v>
      </c>
      <c r="B519" s="9" t="s">
        <v>1644</v>
      </c>
      <c r="C519" s="9">
        <v>95</v>
      </c>
      <c r="D519" s="149" t="s">
        <v>1630</v>
      </c>
      <c r="E519" s="150">
        <v>45076</v>
      </c>
      <c r="F519" s="9">
        <v>86</v>
      </c>
      <c r="G519" s="9">
        <v>3.6</v>
      </c>
      <c r="H519" s="9">
        <f>IF(MONTH(Call_Table_Data[[#This Row],[Date of Call]])&lt;=6,YEAR(Call_Table_Data[[#This Row],[Date of Call]]),YEAR(Call_Table_Data[[#This Row],[Date of Call]])+1)</f>
        <v>2023</v>
      </c>
      <c r="I519" s="9" t="str">
        <f>TEXT(Call_Table_Data[[#This Row],[Date of Call]],"DDDD")</f>
        <v>Tuesday</v>
      </c>
      <c r="J519" s="9" t="str" cm="1">
        <f t="array" ref="J519">_xlfn.IFS(Call_Table_Data[[#This Row],[Duration]]&lt;=10,"Under 10 Mins",Call_Table_Data[[#This Row],[Duration]]&lt;=30,"10 to 30 Mins",Call_Table_Data[[#This Row],[Duration]]&lt;=60,"30 to 60 Mins",Call_Table_Data[[#This Row],[Duration]]&lt;=120,"1 to 2 Hours",TRUE,"More Than 2 Hours")</f>
        <v>1 to 2 Hours</v>
      </c>
      <c r="K519" s="9">
        <f>ROUND(Call_Table_Data[[#This Row],[Satisfaction Rating]],0)</f>
        <v>4</v>
      </c>
    </row>
    <row r="520" spans="1:11" x14ac:dyDescent="0.3">
      <c r="A520" s="9" t="s">
        <v>2146</v>
      </c>
      <c r="B520" s="9" t="s">
        <v>1629</v>
      </c>
      <c r="C520" s="9">
        <v>106</v>
      </c>
      <c r="D520" s="149" t="s">
        <v>1630</v>
      </c>
      <c r="E520" s="150">
        <v>45077</v>
      </c>
      <c r="F520" s="9">
        <v>120</v>
      </c>
      <c r="G520" s="9">
        <v>4.0999999999999996</v>
      </c>
      <c r="H520" s="9">
        <f>IF(MONTH(Call_Table_Data[[#This Row],[Date of Call]])&lt;=6,YEAR(Call_Table_Data[[#This Row],[Date of Call]]),YEAR(Call_Table_Data[[#This Row],[Date of Call]])+1)</f>
        <v>2023</v>
      </c>
      <c r="I520" s="9" t="str">
        <f>TEXT(Call_Table_Data[[#This Row],[Date of Call]],"DDDD")</f>
        <v>Wednesday</v>
      </c>
      <c r="J520" s="9" t="str" cm="1">
        <f t="array" ref="J520">_xlfn.IFS(Call_Table_Data[[#This Row],[Duration]]&lt;=10,"Under 10 Mins",Call_Table_Data[[#This Row],[Duration]]&lt;=30,"10 to 30 Mins",Call_Table_Data[[#This Row],[Duration]]&lt;=60,"30 to 60 Mins",Call_Table_Data[[#This Row],[Duration]]&lt;=120,"1 to 2 Hours",TRUE,"More Than 2 Hours")</f>
        <v>1 to 2 Hours</v>
      </c>
      <c r="K520" s="9">
        <f>ROUND(Call_Table_Data[[#This Row],[Satisfaction Rating]],0)</f>
        <v>4</v>
      </c>
    </row>
    <row r="521" spans="1:11" x14ac:dyDescent="0.3">
      <c r="A521" s="9" t="s">
        <v>2147</v>
      </c>
      <c r="B521" s="9" t="s">
        <v>1618</v>
      </c>
      <c r="C521" s="9">
        <v>94</v>
      </c>
      <c r="D521" s="149" t="s">
        <v>1616</v>
      </c>
      <c r="E521" s="150">
        <v>45077</v>
      </c>
      <c r="F521" s="9">
        <v>100</v>
      </c>
      <c r="G521" s="9">
        <v>3.7</v>
      </c>
      <c r="H521" s="9">
        <f>IF(MONTH(Call_Table_Data[[#This Row],[Date of Call]])&lt;=6,YEAR(Call_Table_Data[[#This Row],[Date of Call]]),YEAR(Call_Table_Data[[#This Row],[Date of Call]])+1)</f>
        <v>2023</v>
      </c>
      <c r="I521" s="9" t="str">
        <f>TEXT(Call_Table_Data[[#This Row],[Date of Call]],"DDDD")</f>
        <v>Wednesday</v>
      </c>
      <c r="J521" s="9" t="str" cm="1">
        <f t="array" ref="J521">_xlfn.IFS(Call_Table_Data[[#This Row],[Duration]]&lt;=10,"Under 10 Mins",Call_Table_Data[[#This Row],[Duration]]&lt;=30,"10 to 30 Mins",Call_Table_Data[[#This Row],[Duration]]&lt;=60,"30 to 60 Mins",Call_Table_Data[[#This Row],[Duration]]&lt;=120,"1 to 2 Hours",TRUE,"More Than 2 Hours")</f>
        <v>1 to 2 Hours</v>
      </c>
      <c r="K521" s="9">
        <f>ROUND(Call_Table_Data[[#This Row],[Satisfaction Rating]],0)</f>
        <v>4</v>
      </c>
    </row>
    <row r="522" spans="1:11" x14ac:dyDescent="0.3">
      <c r="A522" s="9" t="s">
        <v>2148</v>
      </c>
      <c r="B522" s="9" t="s">
        <v>1618</v>
      </c>
      <c r="C522" s="9">
        <v>51</v>
      </c>
      <c r="D522" s="149" t="s">
        <v>1616</v>
      </c>
      <c r="E522" s="150">
        <v>45078</v>
      </c>
      <c r="F522" s="9">
        <v>108</v>
      </c>
      <c r="G522" s="9">
        <v>4.5</v>
      </c>
      <c r="H522" s="9">
        <f>IF(MONTH(Call_Table_Data[[#This Row],[Date of Call]])&lt;=6,YEAR(Call_Table_Data[[#This Row],[Date of Call]]),YEAR(Call_Table_Data[[#This Row],[Date of Call]])+1)</f>
        <v>2023</v>
      </c>
      <c r="I522" s="9" t="str">
        <f>TEXT(Call_Table_Data[[#This Row],[Date of Call]],"DDDD")</f>
        <v>Thursday</v>
      </c>
      <c r="J522" s="9" t="str" cm="1">
        <f t="array" ref="J522">_xlfn.IFS(Call_Table_Data[[#This Row],[Duration]]&lt;=10,"Under 10 Mins",Call_Table_Data[[#This Row],[Duration]]&lt;=30,"10 to 30 Mins",Call_Table_Data[[#This Row],[Duration]]&lt;=60,"30 to 60 Mins",Call_Table_Data[[#This Row],[Duration]]&lt;=120,"1 to 2 Hours",TRUE,"More Than 2 Hours")</f>
        <v>30 to 60 Mins</v>
      </c>
      <c r="K522" s="9">
        <f>ROUND(Call_Table_Data[[#This Row],[Satisfaction Rating]],0)</f>
        <v>5</v>
      </c>
    </row>
    <row r="523" spans="1:11" x14ac:dyDescent="0.3">
      <c r="A523" s="9" t="s">
        <v>2149</v>
      </c>
      <c r="B523" s="9" t="s">
        <v>1682</v>
      </c>
      <c r="C523" s="9">
        <v>39</v>
      </c>
      <c r="D523" s="149" t="s">
        <v>1616</v>
      </c>
      <c r="E523" s="150">
        <v>45078</v>
      </c>
      <c r="F523" s="9">
        <v>46</v>
      </c>
      <c r="G523" s="9">
        <v>4.5999999999999996</v>
      </c>
      <c r="H523" s="9">
        <f>IF(MONTH(Call_Table_Data[[#This Row],[Date of Call]])&lt;=6,YEAR(Call_Table_Data[[#This Row],[Date of Call]]),YEAR(Call_Table_Data[[#This Row],[Date of Call]])+1)</f>
        <v>2023</v>
      </c>
      <c r="I523" s="9" t="str">
        <f>TEXT(Call_Table_Data[[#This Row],[Date of Call]],"DDDD")</f>
        <v>Thursday</v>
      </c>
      <c r="J523" s="9" t="str" cm="1">
        <f t="array" ref="J523">_xlfn.IFS(Call_Table_Data[[#This Row],[Duration]]&lt;=10,"Under 10 Mins",Call_Table_Data[[#This Row],[Duration]]&lt;=30,"10 to 30 Mins",Call_Table_Data[[#This Row],[Duration]]&lt;=60,"30 to 60 Mins",Call_Table_Data[[#This Row],[Duration]]&lt;=120,"1 to 2 Hours",TRUE,"More Than 2 Hours")</f>
        <v>30 to 60 Mins</v>
      </c>
      <c r="K523" s="9">
        <f>ROUND(Call_Table_Data[[#This Row],[Satisfaction Rating]],0)</f>
        <v>5</v>
      </c>
    </row>
    <row r="524" spans="1:11" x14ac:dyDescent="0.3">
      <c r="A524" s="9" t="s">
        <v>2150</v>
      </c>
      <c r="B524" s="9" t="s">
        <v>1633</v>
      </c>
      <c r="C524" s="9">
        <v>111</v>
      </c>
      <c r="D524" s="149" t="s">
        <v>1630</v>
      </c>
      <c r="E524" s="150">
        <v>45078</v>
      </c>
      <c r="F524" s="9">
        <v>210</v>
      </c>
      <c r="G524" s="9">
        <v>4.3</v>
      </c>
      <c r="H524" s="9">
        <f>IF(MONTH(Call_Table_Data[[#This Row],[Date of Call]])&lt;=6,YEAR(Call_Table_Data[[#This Row],[Date of Call]]),YEAR(Call_Table_Data[[#This Row],[Date of Call]])+1)</f>
        <v>2023</v>
      </c>
      <c r="I524" s="9" t="str">
        <f>TEXT(Call_Table_Data[[#This Row],[Date of Call]],"DDDD")</f>
        <v>Thursday</v>
      </c>
      <c r="J524" s="9" t="str" cm="1">
        <f t="array" ref="J524">_xlfn.IFS(Call_Table_Data[[#This Row],[Duration]]&lt;=10,"Under 10 Mins",Call_Table_Data[[#This Row],[Duration]]&lt;=30,"10 to 30 Mins",Call_Table_Data[[#This Row],[Duration]]&lt;=60,"30 to 60 Mins",Call_Table_Data[[#This Row],[Duration]]&lt;=120,"1 to 2 Hours",TRUE,"More Than 2 Hours")</f>
        <v>1 to 2 Hours</v>
      </c>
      <c r="K524" s="9">
        <f>ROUND(Call_Table_Data[[#This Row],[Satisfaction Rating]],0)</f>
        <v>4</v>
      </c>
    </row>
    <row r="525" spans="1:11" x14ac:dyDescent="0.3">
      <c r="A525" s="9" t="s">
        <v>2151</v>
      </c>
      <c r="B525" s="9" t="s">
        <v>1652</v>
      </c>
      <c r="C525" s="9">
        <v>141</v>
      </c>
      <c r="D525" s="149" t="s">
        <v>1621</v>
      </c>
      <c r="E525" s="150">
        <v>45080</v>
      </c>
      <c r="F525" s="9">
        <v>54</v>
      </c>
      <c r="G525" s="9">
        <v>4.8</v>
      </c>
      <c r="H525" s="9">
        <f>IF(MONTH(Call_Table_Data[[#This Row],[Date of Call]])&lt;=6,YEAR(Call_Table_Data[[#This Row],[Date of Call]]),YEAR(Call_Table_Data[[#This Row],[Date of Call]])+1)</f>
        <v>2023</v>
      </c>
      <c r="I525" s="9" t="str">
        <f>TEXT(Call_Table_Data[[#This Row],[Date of Call]],"DDDD")</f>
        <v>Saturday</v>
      </c>
      <c r="J525" s="9" t="str" cm="1">
        <f t="array" ref="J525">_xlfn.IFS(Call_Table_Data[[#This Row],[Duration]]&lt;=10,"Under 10 Mins",Call_Table_Data[[#This Row],[Duration]]&lt;=30,"10 to 30 Mins",Call_Table_Data[[#This Row],[Duration]]&lt;=60,"30 to 60 Mins",Call_Table_Data[[#This Row],[Duration]]&lt;=120,"1 to 2 Hours",TRUE,"More Than 2 Hours")</f>
        <v>More Than 2 Hours</v>
      </c>
      <c r="K525" s="9">
        <f>ROUND(Call_Table_Data[[#This Row],[Satisfaction Rating]],0)</f>
        <v>5</v>
      </c>
    </row>
    <row r="526" spans="1:11" x14ac:dyDescent="0.3">
      <c r="A526" s="9" t="s">
        <v>2152</v>
      </c>
      <c r="B526" s="9" t="s">
        <v>1624</v>
      </c>
      <c r="C526" s="9">
        <v>147</v>
      </c>
      <c r="D526" s="149" t="s">
        <v>1630</v>
      </c>
      <c r="E526" s="150">
        <v>45080</v>
      </c>
      <c r="F526" s="9">
        <v>115</v>
      </c>
      <c r="G526" s="9">
        <v>4.7</v>
      </c>
      <c r="H526" s="9">
        <f>IF(MONTH(Call_Table_Data[[#This Row],[Date of Call]])&lt;=6,YEAR(Call_Table_Data[[#This Row],[Date of Call]]),YEAR(Call_Table_Data[[#This Row],[Date of Call]])+1)</f>
        <v>2023</v>
      </c>
      <c r="I526" s="9" t="str">
        <f>TEXT(Call_Table_Data[[#This Row],[Date of Call]],"DDDD")</f>
        <v>Saturday</v>
      </c>
      <c r="J526" s="9" t="str" cm="1">
        <f t="array" ref="J526">_xlfn.IFS(Call_Table_Data[[#This Row],[Duration]]&lt;=10,"Under 10 Mins",Call_Table_Data[[#This Row],[Duration]]&lt;=30,"10 to 30 Mins",Call_Table_Data[[#This Row],[Duration]]&lt;=60,"30 to 60 Mins",Call_Table_Data[[#This Row],[Duration]]&lt;=120,"1 to 2 Hours",TRUE,"More Than 2 Hours")</f>
        <v>More Than 2 Hours</v>
      </c>
      <c r="K526" s="9">
        <f>ROUND(Call_Table_Data[[#This Row],[Satisfaction Rating]],0)</f>
        <v>5</v>
      </c>
    </row>
    <row r="527" spans="1:11" x14ac:dyDescent="0.3">
      <c r="A527" s="9" t="s">
        <v>2153</v>
      </c>
      <c r="B527" s="9" t="s">
        <v>1649</v>
      </c>
      <c r="C527" s="9">
        <v>49</v>
      </c>
      <c r="D527" s="149" t="s">
        <v>1616</v>
      </c>
      <c r="E527" s="150">
        <v>45081</v>
      </c>
      <c r="F527" s="9">
        <v>100</v>
      </c>
      <c r="G527" s="9">
        <v>2.2000000000000002</v>
      </c>
      <c r="H527" s="9">
        <f>IF(MONTH(Call_Table_Data[[#This Row],[Date of Call]])&lt;=6,YEAR(Call_Table_Data[[#This Row],[Date of Call]]),YEAR(Call_Table_Data[[#This Row],[Date of Call]])+1)</f>
        <v>2023</v>
      </c>
      <c r="I527" s="9" t="str">
        <f>TEXT(Call_Table_Data[[#This Row],[Date of Call]],"DDDD")</f>
        <v>Sunday</v>
      </c>
      <c r="J527" s="9" t="str" cm="1">
        <f t="array" ref="J527">_xlfn.IFS(Call_Table_Data[[#This Row],[Duration]]&lt;=10,"Under 10 Mins",Call_Table_Data[[#This Row],[Duration]]&lt;=30,"10 to 30 Mins",Call_Table_Data[[#This Row],[Duration]]&lt;=60,"30 to 60 Mins",Call_Table_Data[[#This Row],[Duration]]&lt;=120,"1 to 2 Hours",TRUE,"More Than 2 Hours")</f>
        <v>30 to 60 Mins</v>
      </c>
      <c r="K527" s="9">
        <f>ROUND(Call_Table_Data[[#This Row],[Satisfaction Rating]],0)</f>
        <v>2</v>
      </c>
    </row>
    <row r="528" spans="1:11" x14ac:dyDescent="0.3">
      <c r="A528" s="9" t="s">
        <v>2154</v>
      </c>
      <c r="B528" s="9" t="s">
        <v>1615</v>
      </c>
      <c r="C528" s="9">
        <v>75</v>
      </c>
      <c r="D528" s="149" t="s">
        <v>1630</v>
      </c>
      <c r="E528" s="150">
        <v>45081</v>
      </c>
      <c r="F528" s="9">
        <v>38</v>
      </c>
      <c r="G528" s="9">
        <v>4.4000000000000004</v>
      </c>
      <c r="H528" s="9">
        <f>IF(MONTH(Call_Table_Data[[#This Row],[Date of Call]])&lt;=6,YEAR(Call_Table_Data[[#This Row],[Date of Call]]),YEAR(Call_Table_Data[[#This Row],[Date of Call]])+1)</f>
        <v>2023</v>
      </c>
      <c r="I528" s="9" t="str">
        <f>TEXT(Call_Table_Data[[#This Row],[Date of Call]],"DDDD")</f>
        <v>Sunday</v>
      </c>
      <c r="J528" s="9" t="str" cm="1">
        <f t="array" ref="J528">_xlfn.IFS(Call_Table_Data[[#This Row],[Duration]]&lt;=10,"Under 10 Mins",Call_Table_Data[[#This Row],[Duration]]&lt;=30,"10 to 30 Mins",Call_Table_Data[[#This Row],[Duration]]&lt;=60,"30 to 60 Mins",Call_Table_Data[[#This Row],[Duration]]&lt;=120,"1 to 2 Hours",TRUE,"More Than 2 Hours")</f>
        <v>1 to 2 Hours</v>
      </c>
      <c r="K528" s="9">
        <f>ROUND(Call_Table_Data[[#This Row],[Satisfaction Rating]],0)</f>
        <v>4</v>
      </c>
    </row>
    <row r="529" spans="1:11" x14ac:dyDescent="0.3">
      <c r="A529" s="9" t="s">
        <v>2155</v>
      </c>
      <c r="B529" s="9" t="s">
        <v>1652</v>
      </c>
      <c r="C529" s="9">
        <v>48</v>
      </c>
      <c r="D529" s="149" t="s">
        <v>1621</v>
      </c>
      <c r="E529" s="150">
        <v>45082</v>
      </c>
      <c r="F529" s="9">
        <v>120</v>
      </c>
      <c r="G529" s="9">
        <v>4.0999999999999996</v>
      </c>
      <c r="H529" s="9">
        <f>IF(MONTH(Call_Table_Data[[#This Row],[Date of Call]])&lt;=6,YEAR(Call_Table_Data[[#This Row],[Date of Call]]),YEAR(Call_Table_Data[[#This Row],[Date of Call]])+1)</f>
        <v>2023</v>
      </c>
      <c r="I529" s="9" t="str">
        <f>TEXT(Call_Table_Data[[#This Row],[Date of Call]],"DDDD")</f>
        <v>Monday</v>
      </c>
      <c r="J529" s="9" t="str" cm="1">
        <f t="array" ref="J529">_xlfn.IFS(Call_Table_Data[[#This Row],[Duration]]&lt;=10,"Under 10 Mins",Call_Table_Data[[#This Row],[Duration]]&lt;=30,"10 to 30 Mins",Call_Table_Data[[#This Row],[Duration]]&lt;=60,"30 to 60 Mins",Call_Table_Data[[#This Row],[Duration]]&lt;=120,"1 to 2 Hours",TRUE,"More Than 2 Hours")</f>
        <v>30 to 60 Mins</v>
      </c>
      <c r="K529" s="9">
        <f>ROUND(Call_Table_Data[[#This Row],[Satisfaction Rating]],0)</f>
        <v>4</v>
      </c>
    </row>
    <row r="530" spans="1:11" x14ac:dyDescent="0.3">
      <c r="A530" s="9" t="s">
        <v>2156</v>
      </c>
      <c r="B530" s="9" t="s">
        <v>1641</v>
      </c>
      <c r="C530" s="9">
        <v>48</v>
      </c>
      <c r="D530" s="149" t="s">
        <v>1621</v>
      </c>
      <c r="E530" s="150">
        <v>45082</v>
      </c>
      <c r="F530" s="9">
        <v>120</v>
      </c>
      <c r="G530" s="9">
        <v>4.0999999999999996</v>
      </c>
      <c r="H530" s="9">
        <f>IF(MONTH(Call_Table_Data[[#This Row],[Date of Call]])&lt;=6,YEAR(Call_Table_Data[[#This Row],[Date of Call]]),YEAR(Call_Table_Data[[#This Row],[Date of Call]])+1)</f>
        <v>2023</v>
      </c>
      <c r="I530" s="9" t="str">
        <f>TEXT(Call_Table_Data[[#This Row],[Date of Call]],"DDDD")</f>
        <v>Monday</v>
      </c>
      <c r="J530" s="9" t="str" cm="1">
        <f t="array" ref="J530">_xlfn.IFS(Call_Table_Data[[#This Row],[Duration]]&lt;=10,"Under 10 Mins",Call_Table_Data[[#This Row],[Duration]]&lt;=30,"10 to 30 Mins",Call_Table_Data[[#This Row],[Duration]]&lt;=60,"30 to 60 Mins",Call_Table_Data[[#This Row],[Duration]]&lt;=120,"1 to 2 Hours",TRUE,"More Than 2 Hours")</f>
        <v>30 to 60 Mins</v>
      </c>
      <c r="K530" s="9">
        <f>ROUND(Call_Table_Data[[#This Row],[Satisfaction Rating]],0)</f>
        <v>4</v>
      </c>
    </row>
    <row r="531" spans="1:11" x14ac:dyDescent="0.3">
      <c r="A531" s="9" t="s">
        <v>2157</v>
      </c>
      <c r="B531" s="9" t="s">
        <v>1613</v>
      </c>
      <c r="C531" s="9">
        <v>138</v>
      </c>
      <c r="D531" s="149" t="s">
        <v>1616</v>
      </c>
      <c r="E531" s="150">
        <v>45082</v>
      </c>
      <c r="F531" s="9">
        <v>29</v>
      </c>
      <c r="G531" s="9">
        <v>4.4000000000000004</v>
      </c>
      <c r="H531" s="9">
        <f>IF(MONTH(Call_Table_Data[[#This Row],[Date of Call]])&lt;=6,YEAR(Call_Table_Data[[#This Row],[Date of Call]]),YEAR(Call_Table_Data[[#This Row],[Date of Call]])+1)</f>
        <v>2023</v>
      </c>
      <c r="I531" s="9" t="str">
        <f>TEXT(Call_Table_Data[[#This Row],[Date of Call]],"DDDD")</f>
        <v>Monday</v>
      </c>
      <c r="J531" s="9" t="str" cm="1">
        <f t="array" ref="J531">_xlfn.IFS(Call_Table_Data[[#This Row],[Duration]]&lt;=10,"Under 10 Mins",Call_Table_Data[[#This Row],[Duration]]&lt;=30,"10 to 30 Mins",Call_Table_Data[[#This Row],[Duration]]&lt;=60,"30 to 60 Mins",Call_Table_Data[[#This Row],[Duration]]&lt;=120,"1 to 2 Hours",TRUE,"More Than 2 Hours")</f>
        <v>More Than 2 Hours</v>
      </c>
      <c r="K531" s="9">
        <f>ROUND(Call_Table_Data[[#This Row],[Satisfaction Rating]],0)</f>
        <v>4</v>
      </c>
    </row>
    <row r="532" spans="1:11" x14ac:dyDescent="0.3">
      <c r="A532" s="9" t="s">
        <v>2158</v>
      </c>
      <c r="B532" s="9" t="s">
        <v>1644</v>
      </c>
      <c r="C532" s="9">
        <v>144</v>
      </c>
      <c r="D532" s="149" t="s">
        <v>1616</v>
      </c>
      <c r="E532" s="150">
        <v>45083</v>
      </c>
      <c r="F532" s="9">
        <v>25</v>
      </c>
      <c r="G532" s="9">
        <v>3.7</v>
      </c>
      <c r="H532" s="9">
        <f>IF(MONTH(Call_Table_Data[[#This Row],[Date of Call]])&lt;=6,YEAR(Call_Table_Data[[#This Row],[Date of Call]]),YEAR(Call_Table_Data[[#This Row],[Date of Call]])+1)</f>
        <v>2023</v>
      </c>
      <c r="I532" s="9" t="str">
        <f>TEXT(Call_Table_Data[[#This Row],[Date of Call]],"DDDD")</f>
        <v>Tuesday</v>
      </c>
      <c r="J532" s="9" t="str" cm="1">
        <f t="array" ref="J532">_xlfn.IFS(Call_Table_Data[[#This Row],[Duration]]&lt;=10,"Under 10 Mins",Call_Table_Data[[#This Row],[Duration]]&lt;=30,"10 to 30 Mins",Call_Table_Data[[#This Row],[Duration]]&lt;=60,"30 to 60 Mins",Call_Table_Data[[#This Row],[Duration]]&lt;=120,"1 to 2 Hours",TRUE,"More Than 2 Hours")</f>
        <v>More Than 2 Hours</v>
      </c>
      <c r="K532" s="9">
        <f>ROUND(Call_Table_Data[[#This Row],[Satisfaction Rating]],0)</f>
        <v>4</v>
      </c>
    </row>
    <row r="533" spans="1:11" x14ac:dyDescent="0.3">
      <c r="A533" s="9" t="s">
        <v>2159</v>
      </c>
      <c r="B533" s="9" t="s">
        <v>1662</v>
      </c>
      <c r="C533" s="9">
        <v>119</v>
      </c>
      <c r="D533" s="149" t="s">
        <v>1630</v>
      </c>
      <c r="E533" s="150">
        <v>45084</v>
      </c>
      <c r="F533" s="9">
        <v>116</v>
      </c>
      <c r="G533" s="9">
        <v>3.8</v>
      </c>
      <c r="H533" s="9">
        <f>IF(MONTH(Call_Table_Data[[#This Row],[Date of Call]])&lt;=6,YEAR(Call_Table_Data[[#This Row],[Date of Call]]),YEAR(Call_Table_Data[[#This Row],[Date of Call]])+1)</f>
        <v>2023</v>
      </c>
      <c r="I533" s="9" t="str">
        <f>TEXT(Call_Table_Data[[#This Row],[Date of Call]],"DDDD")</f>
        <v>Wednesday</v>
      </c>
      <c r="J533" s="9" t="str" cm="1">
        <f t="array" ref="J533">_xlfn.IFS(Call_Table_Data[[#This Row],[Duration]]&lt;=10,"Under 10 Mins",Call_Table_Data[[#This Row],[Duration]]&lt;=30,"10 to 30 Mins",Call_Table_Data[[#This Row],[Duration]]&lt;=60,"30 to 60 Mins",Call_Table_Data[[#This Row],[Duration]]&lt;=120,"1 to 2 Hours",TRUE,"More Than 2 Hours")</f>
        <v>1 to 2 Hours</v>
      </c>
      <c r="K533" s="9">
        <f>ROUND(Call_Table_Data[[#This Row],[Satisfaction Rating]],0)</f>
        <v>4</v>
      </c>
    </row>
    <row r="534" spans="1:11" x14ac:dyDescent="0.3">
      <c r="A534" s="9" t="s">
        <v>2160</v>
      </c>
      <c r="B534" s="9" t="s">
        <v>1613</v>
      </c>
      <c r="C534" s="9">
        <v>101</v>
      </c>
      <c r="D534" s="149" t="s">
        <v>1621</v>
      </c>
      <c r="E534" s="150">
        <v>45085</v>
      </c>
      <c r="F534" s="9">
        <v>132</v>
      </c>
      <c r="G534" s="9">
        <v>4.3</v>
      </c>
      <c r="H534" s="9">
        <f>IF(MONTH(Call_Table_Data[[#This Row],[Date of Call]])&lt;=6,YEAR(Call_Table_Data[[#This Row],[Date of Call]]),YEAR(Call_Table_Data[[#This Row],[Date of Call]])+1)</f>
        <v>2023</v>
      </c>
      <c r="I534" s="9" t="str">
        <f>TEXT(Call_Table_Data[[#This Row],[Date of Call]],"DDDD")</f>
        <v>Thursday</v>
      </c>
      <c r="J534" s="9" t="str" cm="1">
        <f t="array" ref="J534">_xlfn.IFS(Call_Table_Data[[#This Row],[Duration]]&lt;=10,"Under 10 Mins",Call_Table_Data[[#This Row],[Duration]]&lt;=30,"10 to 30 Mins",Call_Table_Data[[#This Row],[Duration]]&lt;=60,"30 to 60 Mins",Call_Table_Data[[#This Row],[Duration]]&lt;=120,"1 to 2 Hours",TRUE,"More Than 2 Hours")</f>
        <v>1 to 2 Hours</v>
      </c>
      <c r="K534" s="9">
        <f>ROUND(Call_Table_Data[[#This Row],[Satisfaction Rating]],0)</f>
        <v>4</v>
      </c>
    </row>
    <row r="535" spans="1:11" x14ac:dyDescent="0.3">
      <c r="A535" s="9" t="s">
        <v>2161</v>
      </c>
      <c r="B535" s="9" t="s">
        <v>1644</v>
      </c>
      <c r="C535" s="9">
        <v>59</v>
      </c>
      <c r="D535" s="149" t="s">
        <v>1630</v>
      </c>
      <c r="E535" s="150">
        <v>45086</v>
      </c>
      <c r="F535" s="9">
        <v>90</v>
      </c>
      <c r="G535" s="9">
        <v>3.5</v>
      </c>
      <c r="H535" s="9">
        <f>IF(MONTH(Call_Table_Data[[#This Row],[Date of Call]])&lt;=6,YEAR(Call_Table_Data[[#This Row],[Date of Call]]),YEAR(Call_Table_Data[[#This Row],[Date of Call]])+1)</f>
        <v>2023</v>
      </c>
      <c r="I535" s="9" t="str">
        <f>TEXT(Call_Table_Data[[#This Row],[Date of Call]],"DDDD")</f>
        <v>Friday</v>
      </c>
      <c r="J535" s="9" t="str" cm="1">
        <f t="array" ref="J535">_xlfn.IFS(Call_Table_Data[[#This Row],[Duration]]&lt;=10,"Under 10 Mins",Call_Table_Data[[#This Row],[Duration]]&lt;=30,"10 to 30 Mins",Call_Table_Data[[#This Row],[Duration]]&lt;=60,"30 to 60 Mins",Call_Table_Data[[#This Row],[Duration]]&lt;=120,"1 to 2 Hours",TRUE,"More Than 2 Hours")</f>
        <v>30 to 60 Mins</v>
      </c>
      <c r="K535" s="9">
        <f>ROUND(Call_Table_Data[[#This Row],[Satisfaction Rating]],0)</f>
        <v>4</v>
      </c>
    </row>
    <row r="536" spans="1:11" x14ac:dyDescent="0.3">
      <c r="A536" s="9" t="s">
        <v>2162</v>
      </c>
      <c r="B536" s="9" t="s">
        <v>1633</v>
      </c>
      <c r="C536" s="9">
        <v>125</v>
      </c>
      <c r="D536" s="149" t="s">
        <v>1611</v>
      </c>
      <c r="E536" s="150">
        <v>45086</v>
      </c>
      <c r="F536" s="9">
        <v>87</v>
      </c>
      <c r="G536" s="9">
        <v>4.0999999999999996</v>
      </c>
      <c r="H536" s="9">
        <f>IF(MONTH(Call_Table_Data[[#This Row],[Date of Call]])&lt;=6,YEAR(Call_Table_Data[[#This Row],[Date of Call]]),YEAR(Call_Table_Data[[#This Row],[Date of Call]])+1)</f>
        <v>2023</v>
      </c>
      <c r="I536" s="9" t="str">
        <f>TEXT(Call_Table_Data[[#This Row],[Date of Call]],"DDDD")</f>
        <v>Friday</v>
      </c>
      <c r="J536" s="9" t="str" cm="1">
        <f t="array" ref="J536">_xlfn.IFS(Call_Table_Data[[#This Row],[Duration]]&lt;=10,"Under 10 Mins",Call_Table_Data[[#This Row],[Duration]]&lt;=30,"10 to 30 Mins",Call_Table_Data[[#This Row],[Duration]]&lt;=60,"30 to 60 Mins",Call_Table_Data[[#This Row],[Duration]]&lt;=120,"1 to 2 Hours",TRUE,"More Than 2 Hours")</f>
        <v>More Than 2 Hours</v>
      </c>
      <c r="K536" s="9">
        <f>ROUND(Call_Table_Data[[#This Row],[Satisfaction Rating]],0)</f>
        <v>4</v>
      </c>
    </row>
    <row r="537" spans="1:11" x14ac:dyDescent="0.3">
      <c r="A537" s="9" t="s">
        <v>2163</v>
      </c>
      <c r="B537" s="9" t="s">
        <v>1629</v>
      </c>
      <c r="C537" s="9">
        <v>147</v>
      </c>
      <c r="D537" s="149" t="s">
        <v>1630</v>
      </c>
      <c r="E537" s="150">
        <v>45086</v>
      </c>
      <c r="F537" s="9">
        <v>140</v>
      </c>
      <c r="G537" s="9">
        <v>4.2</v>
      </c>
      <c r="H537" s="9">
        <f>IF(MONTH(Call_Table_Data[[#This Row],[Date of Call]])&lt;=6,YEAR(Call_Table_Data[[#This Row],[Date of Call]]),YEAR(Call_Table_Data[[#This Row],[Date of Call]])+1)</f>
        <v>2023</v>
      </c>
      <c r="I537" s="9" t="str">
        <f>TEXT(Call_Table_Data[[#This Row],[Date of Call]],"DDDD")</f>
        <v>Friday</v>
      </c>
      <c r="J537" s="9" t="str" cm="1">
        <f t="array" ref="J537">_xlfn.IFS(Call_Table_Data[[#This Row],[Duration]]&lt;=10,"Under 10 Mins",Call_Table_Data[[#This Row],[Duration]]&lt;=30,"10 to 30 Mins",Call_Table_Data[[#This Row],[Duration]]&lt;=60,"30 to 60 Mins",Call_Table_Data[[#This Row],[Duration]]&lt;=120,"1 to 2 Hours",TRUE,"More Than 2 Hours")</f>
        <v>More Than 2 Hours</v>
      </c>
      <c r="K537" s="9">
        <f>ROUND(Call_Table_Data[[#This Row],[Satisfaction Rating]],0)</f>
        <v>4</v>
      </c>
    </row>
    <row r="538" spans="1:11" x14ac:dyDescent="0.3">
      <c r="A538" s="9" t="s">
        <v>2164</v>
      </c>
      <c r="B538" s="9" t="s">
        <v>1635</v>
      </c>
      <c r="C538" s="9">
        <v>76</v>
      </c>
      <c r="D538" s="149" t="s">
        <v>1630</v>
      </c>
      <c r="E538" s="150">
        <v>45086</v>
      </c>
      <c r="F538" s="9">
        <v>164</v>
      </c>
      <c r="G538" s="9">
        <v>4.5</v>
      </c>
      <c r="H538" s="9">
        <f>IF(MONTH(Call_Table_Data[[#This Row],[Date of Call]])&lt;=6,YEAR(Call_Table_Data[[#This Row],[Date of Call]]),YEAR(Call_Table_Data[[#This Row],[Date of Call]])+1)</f>
        <v>2023</v>
      </c>
      <c r="I538" s="9" t="str">
        <f>TEXT(Call_Table_Data[[#This Row],[Date of Call]],"DDDD")</f>
        <v>Friday</v>
      </c>
      <c r="J538" s="9" t="str" cm="1">
        <f t="array" ref="J538">_xlfn.IFS(Call_Table_Data[[#This Row],[Duration]]&lt;=10,"Under 10 Mins",Call_Table_Data[[#This Row],[Duration]]&lt;=30,"10 to 30 Mins",Call_Table_Data[[#This Row],[Duration]]&lt;=60,"30 to 60 Mins",Call_Table_Data[[#This Row],[Duration]]&lt;=120,"1 to 2 Hours",TRUE,"More Than 2 Hours")</f>
        <v>1 to 2 Hours</v>
      </c>
      <c r="K538" s="9">
        <f>ROUND(Call_Table_Data[[#This Row],[Satisfaction Rating]],0)</f>
        <v>5</v>
      </c>
    </row>
    <row r="539" spans="1:11" x14ac:dyDescent="0.3">
      <c r="A539" s="9" t="s">
        <v>2165</v>
      </c>
      <c r="B539" s="9" t="s">
        <v>1624</v>
      </c>
      <c r="C539" s="9">
        <v>99</v>
      </c>
      <c r="D539" s="149" t="s">
        <v>1621</v>
      </c>
      <c r="E539" s="150">
        <v>45087</v>
      </c>
      <c r="F539" s="9">
        <v>180</v>
      </c>
      <c r="G539" s="9">
        <v>3.8</v>
      </c>
      <c r="H539" s="9">
        <f>IF(MONTH(Call_Table_Data[[#This Row],[Date of Call]])&lt;=6,YEAR(Call_Table_Data[[#This Row],[Date of Call]]),YEAR(Call_Table_Data[[#This Row],[Date of Call]])+1)</f>
        <v>2023</v>
      </c>
      <c r="I539" s="9" t="str">
        <f>TEXT(Call_Table_Data[[#This Row],[Date of Call]],"DDDD")</f>
        <v>Saturday</v>
      </c>
      <c r="J539" s="9" t="str" cm="1">
        <f t="array" ref="J539">_xlfn.IFS(Call_Table_Data[[#This Row],[Duration]]&lt;=10,"Under 10 Mins",Call_Table_Data[[#This Row],[Duration]]&lt;=30,"10 to 30 Mins",Call_Table_Data[[#This Row],[Duration]]&lt;=60,"30 to 60 Mins",Call_Table_Data[[#This Row],[Duration]]&lt;=120,"1 to 2 Hours",TRUE,"More Than 2 Hours")</f>
        <v>1 to 2 Hours</v>
      </c>
      <c r="K539" s="9">
        <f>ROUND(Call_Table_Data[[#This Row],[Satisfaction Rating]],0)</f>
        <v>4</v>
      </c>
    </row>
    <row r="540" spans="1:11" x14ac:dyDescent="0.3">
      <c r="A540" s="9" t="s">
        <v>2166</v>
      </c>
      <c r="B540" s="9" t="s">
        <v>1682</v>
      </c>
      <c r="C540" s="9">
        <v>111</v>
      </c>
      <c r="D540" s="149" t="s">
        <v>1626</v>
      </c>
      <c r="E540" s="150">
        <v>45088</v>
      </c>
      <c r="F540" s="9">
        <v>22</v>
      </c>
      <c r="G540" s="9">
        <v>4.0999999999999996</v>
      </c>
      <c r="H540" s="9">
        <f>IF(MONTH(Call_Table_Data[[#This Row],[Date of Call]])&lt;=6,YEAR(Call_Table_Data[[#This Row],[Date of Call]]),YEAR(Call_Table_Data[[#This Row],[Date of Call]])+1)</f>
        <v>2023</v>
      </c>
      <c r="I540" s="9" t="str">
        <f>TEXT(Call_Table_Data[[#This Row],[Date of Call]],"DDDD")</f>
        <v>Sunday</v>
      </c>
      <c r="J540" s="9" t="str" cm="1">
        <f t="array" ref="J540">_xlfn.IFS(Call_Table_Data[[#This Row],[Duration]]&lt;=10,"Under 10 Mins",Call_Table_Data[[#This Row],[Duration]]&lt;=30,"10 to 30 Mins",Call_Table_Data[[#This Row],[Duration]]&lt;=60,"30 to 60 Mins",Call_Table_Data[[#This Row],[Duration]]&lt;=120,"1 to 2 Hours",TRUE,"More Than 2 Hours")</f>
        <v>1 to 2 Hours</v>
      </c>
      <c r="K540" s="9">
        <f>ROUND(Call_Table_Data[[#This Row],[Satisfaction Rating]],0)</f>
        <v>4</v>
      </c>
    </row>
    <row r="541" spans="1:11" x14ac:dyDescent="0.3">
      <c r="A541" s="9" t="s">
        <v>2167</v>
      </c>
      <c r="B541" s="9" t="s">
        <v>1620</v>
      </c>
      <c r="C541" s="9">
        <v>147</v>
      </c>
      <c r="D541" s="149" t="s">
        <v>1611</v>
      </c>
      <c r="E541" s="150">
        <v>45088</v>
      </c>
      <c r="F541" s="9">
        <v>82</v>
      </c>
      <c r="G541" s="9">
        <v>4.4000000000000004</v>
      </c>
      <c r="H541" s="9">
        <f>IF(MONTH(Call_Table_Data[[#This Row],[Date of Call]])&lt;=6,YEAR(Call_Table_Data[[#This Row],[Date of Call]]),YEAR(Call_Table_Data[[#This Row],[Date of Call]])+1)</f>
        <v>2023</v>
      </c>
      <c r="I541" s="9" t="str">
        <f>TEXT(Call_Table_Data[[#This Row],[Date of Call]],"DDDD")</f>
        <v>Sunday</v>
      </c>
      <c r="J541" s="9" t="str" cm="1">
        <f t="array" ref="J541">_xlfn.IFS(Call_Table_Data[[#This Row],[Duration]]&lt;=10,"Under 10 Mins",Call_Table_Data[[#This Row],[Duration]]&lt;=30,"10 to 30 Mins",Call_Table_Data[[#This Row],[Duration]]&lt;=60,"30 to 60 Mins",Call_Table_Data[[#This Row],[Duration]]&lt;=120,"1 to 2 Hours",TRUE,"More Than 2 Hours")</f>
        <v>More Than 2 Hours</v>
      </c>
      <c r="K541" s="9">
        <f>ROUND(Call_Table_Data[[#This Row],[Satisfaction Rating]],0)</f>
        <v>4</v>
      </c>
    </row>
    <row r="542" spans="1:11" x14ac:dyDescent="0.3">
      <c r="A542" s="9" t="s">
        <v>2168</v>
      </c>
      <c r="B542" s="9" t="s">
        <v>1610</v>
      </c>
      <c r="C542" s="9">
        <v>141</v>
      </c>
      <c r="D542" s="149" t="s">
        <v>1621</v>
      </c>
      <c r="E542" s="150">
        <v>45088</v>
      </c>
      <c r="F542" s="9">
        <v>100</v>
      </c>
      <c r="G542" s="9">
        <v>4.5999999999999996</v>
      </c>
      <c r="H542" s="9">
        <f>IF(MONTH(Call_Table_Data[[#This Row],[Date of Call]])&lt;=6,YEAR(Call_Table_Data[[#This Row],[Date of Call]]),YEAR(Call_Table_Data[[#This Row],[Date of Call]])+1)</f>
        <v>2023</v>
      </c>
      <c r="I542" s="9" t="str">
        <f>TEXT(Call_Table_Data[[#This Row],[Date of Call]],"DDDD")</f>
        <v>Sunday</v>
      </c>
      <c r="J542" s="9" t="str" cm="1">
        <f t="array" ref="J542">_xlfn.IFS(Call_Table_Data[[#This Row],[Duration]]&lt;=10,"Under 10 Mins",Call_Table_Data[[#This Row],[Duration]]&lt;=30,"10 to 30 Mins",Call_Table_Data[[#This Row],[Duration]]&lt;=60,"30 to 60 Mins",Call_Table_Data[[#This Row],[Duration]]&lt;=120,"1 to 2 Hours",TRUE,"More Than 2 Hours")</f>
        <v>More Than 2 Hours</v>
      </c>
      <c r="K542" s="9">
        <f>ROUND(Call_Table_Data[[#This Row],[Satisfaction Rating]],0)</f>
        <v>5</v>
      </c>
    </row>
    <row r="543" spans="1:11" x14ac:dyDescent="0.3">
      <c r="A543" s="9" t="s">
        <v>2169</v>
      </c>
      <c r="B543" s="9" t="s">
        <v>1635</v>
      </c>
      <c r="C543" s="9">
        <v>71</v>
      </c>
      <c r="D543" s="149" t="s">
        <v>1630</v>
      </c>
      <c r="E543" s="150">
        <v>45089</v>
      </c>
      <c r="F543" s="9">
        <v>52</v>
      </c>
      <c r="G543" s="9">
        <v>3.4</v>
      </c>
      <c r="H543" s="9">
        <f>IF(MONTH(Call_Table_Data[[#This Row],[Date of Call]])&lt;=6,YEAR(Call_Table_Data[[#This Row],[Date of Call]]),YEAR(Call_Table_Data[[#This Row],[Date of Call]])+1)</f>
        <v>2023</v>
      </c>
      <c r="I543" s="9" t="str">
        <f>TEXT(Call_Table_Data[[#This Row],[Date of Call]],"DDDD")</f>
        <v>Monday</v>
      </c>
      <c r="J543" s="9" t="str" cm="1">
        <f t="array" ref="J543">_xlfn.IFS(Call_Table_Data[[#This Row],[Duration]]&lt;=10,"Under 10 Mins",Call_Table_Data[[#This Row],[Duration]]&lt;=30,"10 to 30 Mins",Call_Table_Data[[#This Row],[Duration]]&lt;=60,"30 to 60 Mins",Call_Table_Data[[#This Row],[Duration]]&lt;=120,"1 to 2 Hours",TRUE,"More Than 2 Hours")</f>
        <v>1 to 2 Hours</v>
      </c>
      <c r="K543" s="9">
        <f>ROUND(Call_Table_Data[[#This Row],[Satisfaction Rating]],0)</f>
        <v>3</v>
      </c>
    </row>
    <row r="544" spans="1:11" x14ac:dyDescent="0.3">
      <c r="A544" s="9" t="s">
        <v>2170</v>
      </c>
      <c r="B544" s="9" t="s">
        <v>1635</v>
      </c>
      <c r="C544" s="9">
        <v>121</v>
      </c>
      <c r="D544" s="149" t="s">
        <v>1611</v>
      </c>
      <c r="E544" s="150">
        <v>45090</v>
      </c>
      <c r="F544" s="9">
        <v>84</v>
      </c>
      <c r="G544" s="9">
        <v>4.5999999999999996</v>
      </c>
      <c r="H544" s="9">
        <f>IF(MONTH(Call_Table_Data[[#This Row],[Date of Call]])&lt;=6,YEAR(Call_Table_Data[[#This Row],[Date of Call]]),YEAR(Call_Table_Data[[#This Row],[Date of Call]])+1)</f>
        <v>2023</v>
      </c>
      <c r="I544" s="9" t="str">
        <f>TEXT(Call_Table_Data[[#This Row],[Date of Call]],"DDDD")</f>
        <v>Tuesday</v>
      </c>
      <c r="J544" s="9" t="str" cm="1">
        <f t="array" ref="J544">_xlfn.IFS(Call_Table_Data[[#This Row],[Duration]]&lt;=10,"Under 10 Mins",Call_Table_Data[[#This Row],[Duration]]&lt;=30,"10 to 30 Mins",Call_Table_Data[[#This Row],[Duration]]&lt;=60,"30 to 60 Mins",Call_Table_Data[[#This Row],[Duration]]&lt;=120,"1 to 2 Hours",TRUE,"More Than 2 Hours")</f>
        <v>More Than 2 Hours</v>
      </c>
      <c r="K544" s="9">
        <f>ROUND(Call_Table_Data[[#This Row],[Satisfaction Rating]],0)</f>
        <v>5</v>
      </c>
    </row>
    <row r="545" spans="1:11" x14ac:dyDescent="0.3">
      <c r="A545" s="9" t="s">
        <v>2171</v>
      </c>
      <c r="B545" s="9" t="s">
        <v>1635</v>
      </c>
      <c r="C545" s="9">
        <v>60</v>
      </c>
      <c r="D545" s="149" t="s">
        <v>1611</v>
      </c>
      <c r="E545" s="150">
        <v>45090</v>
      </c>
      <c r="F545" s="9">
        <v>37</v>
      </c>
      <c r="G545" s="9">
        <v>3.9</v>
      </c>
      <c r="H545" s="9">
        <f>IF(MONTH(Call_Table_Data[[#This Row],[Date of Call]])&lt;=6,YEAR(Call_Table_Data[[#This Row],[Date of Call]]),YEAR(Call_Table_Data[[#This Row],[Date of Call]])+1)</f>
        <v>2023</v>
      </c>
      <c r="I545" s="9" t="str">
        <f>TEXT(Call_Table_Data[[#This Row],[Date of Call]],"DDDD")</f>
        <v>Tuesday</v>
      </c>
      <c r="J545" s="9" t="str" cm="1">
        <f t="array" ref="J545">_xlfn.IFS(Call_Table_Data[[#This Row],[Duration]]&lt;=10,"Under 10 Mins",Call_Table_Data[[#This Row],[Duration]]&lt;=30,"10 to 30 Mins",Call_Table_Data[[#This Row],[Duration]]&lt;=60,"30 to 60 Mins",Call_Table_Data[[#This Row],[Duration]]&lt;=120,"1 to 2 Hours",TRUE,"More Than 2 Hours")</f>
        <v>30 to 60 Mins</v>
      </c>
      <c r="K545" s="9">
        <f>ROUND(Call_Table_Data[[#This Row],[Satisfaction Rating]],0)</f>
        <v>4</v>
      </c>
    </row>
    <row r="546" spans="1:11" x14ac:dyDescent="0.3">
      <c r="A546" s="9" t="s">
        <v>2172</v>
      </c>
      <c r="B546" s="9" t="s">
        <v>1649</v>
      </c>
      <c r="C546" s="9">
        <v>158</v>
      </c>
      <c r="D546" s="149" t="s">
        <v>1621</v>
      </c>
      <c r="E546" s="150">
        <v>45091</v>
      </c>
      <c r="F546" s="9">
        <v>190</v>
      </c>
      <c r="G546" s="9">
        <v>4</v>
      </c>
      <c r="H546" s="9">
        <f>IF(MONTH(Call_Table_Data[[#This Row],[Date of Call]])&lt;=6,YEAR(Call_Table_Data[[#This Row],[Date of Call]]),YEAR(Call_Table_Data[[#This Row],[Date of Call]])+1)</f>
        <v>2023</v>
      </c>
      <c r="I546" s="9" t="str">
        <f>TEXT(Call_Table_Data[[#This Row],[Date of Call]],"DDDD")</f>
        <v>Wednesday</v>
      </c>
      <c r="J546" s="9" t="str" cm="1">
        <f t="array" ref="J546">_xlfn.IFS(Call_Table_Data[[#This Row],[Duration]]&lt;=10,"Under 10 Mins",Call_Table_Data[[#This Row],[Duration]]&lt;=30,"10 to 30 Mins",Call_Table_Data[[#This Row],[Duration]]&lt;=60,"30 to 60 Mins",Call_Table_Data[[#This Row],[Duration]]&lt;=120,"1 to 2 Hours",TRUE,"More Than 2 Hours")</f>
        <v>More Than 2 Hours</v>
      </c>
      <c r="K546" s="9">
        <f>ROUND(Call_Table_Data[[#This Row],[Satisfaction Rating]],0)</f>
        <v>4</v>
      </c>
    </row>
    <row r="547" spans="1:11" x14ac:dyDescent="0.3">
      <c r="A547" s="9" t="s">
        <v>2173</v>
      </c>
      <c r="B547" s="9" t="s">
        <v>1629</v>
      </c>
      <c r="C547" s="9">
        <v>159</v>
      </c>
      <c r="D547" s="149" t="s">
        <v>1616</v>
      </c>
      <c r="E547" s="150">
        <v>45091</v>
      </c>
      <c r="F547" s="9">
        <v>66</v>
      </c>
      <c r="G547" s="9">
        <v>3.4</v>
      </c>
      <c r="H547" s="9">
        <f>IF(MONTH(Call_Table_Data[[#This Row],[Date of Call]])&lt;=6,YEAR(Call_Table_Data[[#This Row],[Date of Call]]),YEAR(Call_Table_Data[[#This Row],[Date of Call]])+1)</f>
        <v>2023</v>
      </c>
      <c r="I547" s="9" t="str">
        <f>TEXT(Call_Table_Data[[#This Row],[Date of Call]],"DDDD")</f>
        <v>Wednesday</v>
      </c>
      <c r="J547" s="9" t="str" cm="1">
        <f t="array" ref="J547">_xlfn.IFS(Call_Table_Data[[#This Row],[Duration]]&lt;=10,"Under 10 Mins",Call_Table_Data[[#This Row],[Duration]]&lt;=30,"10 to 30 Mins",Call_Table_Data[[#This Row],[Duration]]&lt;=60,"30 to 60 Mins",Call_Table_Data[[#This Row],[Duration]]&lt;=120,"1 to 2 Hours",TRUE,"More Than 2 Hours")</f>
        <v>More Than 2 Hours</v>
      </c>
      <c r="K547" s="9">
        <f>ROUND(Call_Table_Data[[#This Row],[Satisfaction Rating]],0)</f>
        <v>3</v>
      </c>
    </row>
    <row r="548" spans="1:11" x14ac:dyDescent="0.3">
      <c r="A548" s="9" t="s">
        <v>2174</v>
      </c>
      <c r="B548" s="9" t="s">
        <v>1613</v>
      </c>
      <c r="C548" s="9">
        <v>70</v>
      </c>
      <c r="D548" s="149" t="s">
        <v>1630</v>
      </c>
      <c r="E548" s="150">
        <v>45092</v>
      </c>
      <c r="F548" s="9">
        <v>116</v>
      </c>
      <c r="G548" s="9">
        <v>3.2</v>
      </c>
      <c r="H548" s="9">
        <f>IF(MONTH(Call_Table_Data[[#This Row],[Date of Call]])&lt;=6,YEAR(Call_Table_Data[[#This Row],[Date of Call]]),YEAR(Call_Table_Data[[#This Row],[Date of Call]])+1)</f>
        <v>2023</v>
      </c>
      <c r="I548" s="9" t="str">
        <f>TEXT(Call_Table_Data[[#This Row],[Date of Call]],"DDDD")</f>
        <v>Thursday</v>
      </c>
      <c r="J548" s="9" t="str" cm="1">
        <f t="array" ref="J548">_xlfn.IFS(Call_Table_Data[[#This Row],[Duration]]&lt;=10,"Under 10 Mins",Call_Table_Data[[#This Row],[Duration]]&lt;=30,"10 to 30 Mins",Call_Table_Data[[#This Row],[Duration]]&lt;=60,"30 to 60 Mins",Call_Table_Data[[#This Row],[Duration]]&lt;=120,"1 to 2 Hours",TRUE,"More Than 2 Hours")</f>
        <v>1 to 2 Hours</v>
      </c>
      <c r="K548" s="9">
        <f>ROUND(Call_Table_Data[[#This Row],[Satisfaction Rating]],0)</f>
        <v>3</v>
      </c>
    </row>
    <row r="549" spans="1:11" x14ac:dyDescent="0.3">
      <c r="A549" s="9" t="s">
        <v>2175</v>
      </c>
      <c r="B549" s="9" t="s">
        <v>1652</v>
      </c>
      <c r="C549" s="9">
        <v>78</v>
      </c>
      <c r="D549" s="149" t="s">
        <v>1626</v>
      </c>
      <c r="E549" s="150">
        <v>45092</v>
      </c>
      <c r="F549" s="9">
        <v>28</v>
      </c>
      <c r="G549" s="9">
        <v>3.9</v>
      </c>
      <c r="H549" s="9">
        <f>IF(MONTH(Call_Table_Data[[#This Row],[Date of Call]])&lt;=6,YEAR(Call_Table_Data[[#This Row],[Date of Call]]),YEAR(Call_Table_Data[[#This Row],[Date of Call]])+1)</f>
        <v>2023</v>
      </c>
      <c r="I549" s="9" t="str">
        <f>TEXT(Call_Table_Data[[#This Row],[Date of Call]],"DDDD")</f>
        <v>Thursday</v>
      </c>
      <c r="J549" s="9" t="str" cm="1">
        <f t="array" ref="J549">_xlfn.IFS(Call_Table_Data[[#This Row],[Duration]]&lt;=10,"Under 10 Mins",Call_Table_Data[[#This Row],[Duration]]&lt;=30,"10 to 30 Mins",Call_Table_Data[[#This Row],[Duration]]&lt;=60,"30 to 60 Mins",Call_Table_Data[[#This Row],[Duration]]&lt;=120,"1 to 2 Hours",TRUE,"More Than 2 Hours")</f>
        <v>1 to 2 Hours</v>
      </c>
      <c r="K549" s="9">
        <f>ROUND(Call_Table_Data[[#This Row],[Satisfaction Rating]],0)</f>
        <v>4</v>
      </c>
    </row>
    <row r="550" spans="1:11" x14ac:dyDescent="0.3">
      <c r="A550" s="9" t="s">
        <v>2176</v>
      </c>
      <c r="B550" s="9" t="s">
        <v>1620</v>
      </c>
      <c r="C550" s="9">
        <v>103</v>
      </c>
      <c r="D550" s="149" t="s">
        <v>1630</v>
      </c>
      <c r="E550" s="150">
        <v>45092</v>
      </c>
      <c r="F550" s="9">
        <v>120</v>
      </c>
      <c r="G550" s="9">
        <v>5</v>
      </c>
      <c r="H550" s="9">
        <f>IF(MONTH(Call_Table_Data[[#This Row],[Date of Call]])&lt;=6,YEAR(Call_Table_Data[[#This Row],[Date of Call]]),YEAR(Call_Table_Data[[#This Row],[Date of Call]])+1)</f>
        <v>2023</v>
      </c>
      <c r="I550" s="9" t="str">
        <f>TEXT(Call_Table_Data[[#This Row],[Date of Call]],"DDDD")</f>
        <v>Thursday</v>
      </c>
      <c r="J550" s="9" t="str" cm="1">
        <f t="array" ref="J550">_xlfn.IFS(Call_Table_Data[[#This Row],[Duration]]&lt;=10,"Under 10 Mins",Call_Table_Data[[#This Row],[Duration]]&lt;=30,"10 to 30 Mins",Call_Table_Data[[#This Row],[Duration]]&lt;=60,"30 to 60 Mins",Call_Table_Data[[#This Row],[Duration]]&lt;=120,"1 to 2 Hours",TRUE,"More Than 2 Hours")</f>
        <v>1 to 2 Hours</v>
      </c>
      <c r="K550" s="9">
        <f>ROUND(Call_Table_Data[[#This Row],[Satisfaction Rating]],0)</f>
        <v>5</v>
      </c>
    </row>
    <row r="551" spans="1:11" x14ac:dyDescent="0.3">
      <c r="A551" s="9" t="s">
        <v>2177</v>
      </c>
      <c r="B551" s="9" t="s">
        <v>1615</v>
      </c>
      <c r="C551" s="9">
        <v>108</v>
      </c>
      <c r="D551" s="149" t="s">
        <v>1621</v>
      </c>
      <c r="E551" s="150">
        <v>45092</v>
      </c>
      <c r="F551" s="9">
        <v>56</v>
      </c>
      <c r="G551" s="9">
        <v>3.5</v>
      </c>
      <c r="H551" s="9">
        <f>IF(MONTH(Call_Table_Data[[#This Row],[Date of Call]])&lt;=6,YEAR(Call_Table_Data[[#This Row],[Date of Call]]),YEAR(Call_Table_Data[[#This Row],[Date of Call]])+1)</f>
        <v>2023</v>
      </c>
      <c r="I551" s="9" t="str">
        <f>TEXT(Call_Table_Data[[#This Row],[Date of Call]],"DDDD")</f>
        <v>Thursday</v>
      </c>
      <c r="J551" s="9" t="str" cm="1">
        <f t="array" ref="J551">_xlfn.IFS(Call_Table_Data[[#This Row],[Duration]]&lt;=10,"Under 10 Mins",Call_Table_Data[[#This Row],[Duration]]&lt;=30,"10 to 30 Mins",Call_Table_Data[[#This Row],[Duration]]&lt;=60,"30 to 60 Mins",Call_Table_Data[[#This Row],[Duration]]&lt;=120,"1 to 2 Hours",TRUE,"More Than 2 Hours")</f>
        <v>1 to 2 Hours</v>
      </c>
      <c r="K551" s="9">
        <f>ROUND(Call_Table_Data[[#This Row],[Satisfaction Rating]],0)</f>
        <v>4</v>
      </c>
    </row>
    <row r="552" spans="1:11" x14ac:dyDescent="0.3">
      <c r="A552" s="9" t="s">
        <v>2178</v>
      </c>
      <c r="B552" s="9" t="s">
        <v>1615</v>
      </c>
      <c r="C552" s="9">
        <v>44</v>
      </c>
      <c r="D552" s="149" t="s">
        <v>1611</v>
      </c>
      <c r="E552" s="150">
        <v>45092</v>
      </c>
      <c r="F552" s="9">
        <v>170</v>
      </c>
      <c r="G552" s="9">
        <v>3.8</v>
      </c>
      <c r="H552" s="9">
        <f>IF(MONTH(Call_Table_Data[[#This Row],[Date of Call]])&lt;=6,YEAR(Call_Table_Data[[#This Row],[Date of Call]]),YEAR(Call_Table_Data[[#This Row],[Date of Call]])+1)</f>
        <v>2023</v>
      </c>
      <c r="I552" s="9" t="str">
        <f>TEXT(Call_Table_Data[[#This Row],[Date of Call]],"DDDD")</f>
        <v>Thursday</v>
      </c>
      <c r="J552" s="9" t="str" cm="1">
        <f t="array" ref="J552">_xlfn.IFS(Call_Table_Data[[#This Row],[Duration]]&lt;=10,"Under 10 Mins",Call_Table_Data[[#This Row],[Duration]]&lt;=30,"10 to 30 Mins",Call_Table_Data[[#This Row],[Duration]]&lt;=60,"30 to 60 Mins",Call_Table_Data[[#This Row],[Duration]]&lt;=120,"1 to 2 Hours",TRUE,"More Than 2 Hours")</f>
        <v>30 to 60 Mins</v>
      </c>
      <c r="K552" s="9">
        <f>ROUND(Call_Table_Data[[#This Row],[Satisfaction Rating]],0)</f>
        <v>4</v>
      </c>
    </row>
    <row r="553" spans="1:11" x14ac:dyDescent="0.3">
      <c r="A553" s="9" t="s">
        <v>2179</v>
      </c>
      <c r="B553" s="9" t="s">
        <v>1652</v>
      </c>
      <c r="C553" s="9">
        <v>127</v>
      </c>
      <c r="D553" s="149" t="s">
        <v>1621</v>
      </c>
      <c r="E553" s="150">
        <v>45093</v>
      </c>
      <c r="F553" s="9">
        <v>200</v>
      </c>
      <c r="G553" s="9">
        <v>4.8</v>
      </c>
      <c r="H553" s="9">
        <f>IF(MONTH(Call_Table_Data[[#This Row],[Date of Call]])&lt;=6,YEAR(Call_Table_Data[[#This Row],[Date of Call]]),YEAR(Call_Table_Data[[#This Row],[Date of Call]])+1)</f>
        <v>2023</v>
      </c>
      <c r="I553" s="9" t="str">
        <f>TEXT(Call_Table_Data[[#This Row],[Date of Call]],"DDDD")</f>
        <v>Friday</v>
      </c>
      <c r="J553" s="9" t="str" cm="1">
        <f t="array" ref="J553">_xlfn.IFS(Call_Table_Data[[#This Row],[Duration]]&lt;=10,"Under 10 Mins",Call_Table_Data[[#This Row],[Duration]]&lt;=30,"10 to 30 Mins",Call_Table_Data[[#This Row],[Duration]]&lt;=60,"30 to 60 Mins",Call_Table_Data[[#This Row],[Duration]]&lt;=120,"1 to 2 Hours",TRUE,"More Than 2 Hours")</f>
        <v>More Than 2 Hours</v>
      </c>
      <c r="K553" s="9">
        <f>ROUND(Call_Table_Data[[#This Row],[Satisfaction Rating]],0)</f>
        <v>5</v>
      </c>
    </row>
    <row r="554" spans="1:11" x14ac:dyDescent="0.3">
      <c r="A554" s="9" t="s">
        <v>2180</v>
      </c>
      <c r="B554" s="9" t="s">
        <v>1620</v>
      </c>
      <c r="C554" s="9">
        <v>132</v>
      </c>
      <c r="D554" s="149" t="s">
        <v>1630</v>
      </c>
      <c r="E554" s="150">
        <v>45094</v>
      </c>
      <c r="F554" s="9">
        <v>50</v>
      </c>
      <c r="G554" s="9">
        <v>4.2</v>
      </c>
      <c r="H554" s="9">
        <f>IF(MONTH(Call_Table_Data[[#This Row],[Date of Call]])&lt;=6,YEAR(Call_Table_Data[[#This Row],[Date of Call]]),YEAR(Call_Table_Data[[#This Row],[Date of Call]])+1)</f>
        <v>2023</v>
      </c>
      <c r="I554" s="9" t="str">
        <f>TEXT(Call_Table_Data[[#This Row],[Date of Call]],"DDDD")</f>
        <v>Saturday</v>
      </c>
      <c r="J554" s="9" t="str" cm="1">
        <f t="array" ref="J554">_xlfn.IFS(Call_Table_Data[[#This Row],[Duration]]&lt;=10,"Under 10 Mins",Call_Table_Data[[#This Row],[Duration]]&lt;=30,"10 to 30 Mins",Call_Table_Data[[#This Row],[Duration]]&lt;=60,"30 to 60 Mins",Call_Table_Data[[#This Row],[Duration]]&lt;=120,"1 to 2 Hours",TRUE,"More Than 2 Hours")</f>
        <v>More Than 2 Hours</v>
      </c>
      <c r="K554" s="9">
        <f>ROUND(Call_Table_Data[[#This Row],[Satisfaction Rating]],0)</f>
        <v>4</v>
      </c>
    </row>
    <row r="555" spans="1:11" x14ac:dyDescent="0.3">
      <c r="A555" s="9" t="s">
        <v>2181</v>
      </c>
      <c r="B555" s="9" t="s">
        <v>1610</v>
      </c>
      <c r="C555" s="9">
        <v>106</v>
      </c>
      <c r="D555" s="149" t="s">
        <v>1626</v>
      </c>
      <c r="E555" s="150">
        <v>45094</v>
      </c>
      <c r="F555" s="9">
        <v>112</v>
      </c>
      <c r="G555" s="9">
        <v>3.7</v>
      </c>
      <c r="H555" s="9">
        <f>IF(MONTH(Call_Table_Data[[#This Row],[Date of Call]])&lt;=6,YEAR(Call_Table_Data[[#This Row],[Date of Call]]),YEAR(Call_Table_Data[[#This Row],[Date of Call]])+1)</f>
        <v>2023</v>
      </c>
      <c r="I555" s="9" t="str">
        <f>TEXT(Call_Table_Data[[#This Row],[Date of Call]],"DDDD")</f>
        <v>Saturday</v>
      </c>
      <c r="J555" s="9" t="str" cm="1">
        <f t="array" ref="J555">_xlfn.IFS(Call_Table_Data[[#This Row],[Duration]]&lt;=10,"Under 10 Mins",Call_Table_Data[[#This Row],[Duration]]&lt;=30,"10 to 30 Mins",Call_Table_Data[[#This Row],[Duration]]&lt;=60,"30 to 60 Mins",Call_Table_Data[[#This Row],[Duration]]&lt;=120,"1 to 2 Hours",TRUE,"More Than 2 Hours")</f>
        <v>1 to 2 Hours</v>
      </c>
      <c r="K555" s="9">
        <f>ROUND(Call_Table_Data[[#This Row],[Satisfaction Rating]],0)</f>
        <v>4</v>
      </c>
    </row>
    <row r="556" spans="1:11" x14ac:dyDescent="0.3">
      <c r="A556" s="9" t="s">
        <v>2182</v>
      </c>
      <c r="B556" s="9" t="s">
        <v>1682</v>
      </c>
      <c r="C556" s="9">
        <v>107</v>
      </c>
      <c r="D556" s="149" t="s">
        <v>1630</v>
      </c>
      <c r="E556" s="150">
        <v>45095</v>
      </c>
      <c r="F556" s="9">
        <v>39</v>
      </c>
      <c r="G556" s="9">
        <v>4.8</v>
      </c>
      <c r="H556" s="9">
        <f>IF(MONTH(Call_Table_Data[[#This Row],[Date of Call]])&lt;=6,YEAR(Call_Table_Data[[#This Row],[Date of Call]]),YEAR(Call_Table_Data[[#This Row],[Date of Call]])+1)</f>
        <v>2023</v>
      </c>
      <c r="I556" s="9" t="str">
        <f>TEXT(Call_Table_Data[[#This Row],[Date of Call]],"DDDD")</f>
        <v>Sunday</v>
      </c>
      <c r="J556" s="9" t="str" cm="1">
        <f t="array" ref="J556">_xlfn.IFS(Call_Table_Data[[#This Row],[Duration]]&lt;=10,"Under 10 Mins",Call_Table_Data[[#This Row],[Duration]]&lt;=30,"10 to 30 Mins",Call_Table_Data[[#This Row],[Duration]]&lt;=60,"30 to 60 Mins",Call_Table_Data[[#This Row],[Duration]]&lt;=120,"1 to 2 Hours",TRUE,"More Than 2 Hours")</f>
        <v>1 to 2 Hours</v>
      </c>
      <c r="K556" s="9">
        <f>ROUND(Call_Table_Data[[#This Row],[Satisfaction Rating]],0)</f>
        <v>5</v>
      </c>
    </row>
    <row r="557" spans="1:11" x14ac:dyDescent="0.3">
      <c r="A557" s="9" t="s">
        <v>2183</v>
      </c>
      <c r="B557" s="9" t="s">
        <v>1629</v>
      </c>
      <c r="C557" s="9">
        <v>85</v>
      </c>
      <c r="D557" s="149" t="s">
        <v>1626</v>
      </c>
      <c r="E557" s="150">
        <v>45095</v>
      </c>
      <c r="F557" s="9">
        <v>38</v>
      </c>
      <c r="G557" s="9">
        <v>4.8</v>
      </c>
      <c r="H557" s="9">
        <f>IF(MONTH(Call_Table_Data[[#This Row],[Date of Call]])&lt;=6,YEAR(Call_Table_Data[[#This Row],[Date of Call]]),YEAR(Call_Table_Data[[#This Row],[Date of Call]])+1)</f>
        <v>2023</v>
      </c>
      <c r="I557" s="9" t="str">
        <f>TEXT(Call_Table_Data[[#This Row],[Date of Call]],"DDDD")</f>
        <v>Sunday</v>
      </c>
      <c r="J557" s="9" t="str" cm="1">
        <f t="array" ref="J557">_xlfn.IFS(Call_Table_Data[[#This Row],[Duration]]&lt;=10,"Under 10 Mins",Call_Table_Data[[#This Row],[Duration]]&lt;=30,"10 to 30 Mins",Call_Table_Data[[#This Row],[Duration]]&lt;=60,"30 to 60 Mins",Call_Table_Data[[#This Row],[Duration]]&lt;=120,"1 to 2 Hours",TRUE,"More Than 2 Hours")</f>
        <v>1 to 2 Hours</v>
      </c>
      <c r="K557" s="9">
        <f>ROUND(Call_Table_Data[[#This Row],[Satisfaction Rating]],0)</f>
        <v>5</v>
      </c>
    </row>
    <row r="558" spans="1:11" x14ac:dyDescent="0.3">
      <c r="A558" s="9" t="s">
        <v>2184</v>
      </c>
      <c r="B558" s="9" t="s">
        <v>1624</v>
      </c>
      <c r="C558" s="9">
        <v>49</v>
      </c>
      <c r="D558" s="149" t="s">
        <v>1630</v>
      </c>
      <c r="E558" s="150">
        <v>45096</v>
      </c>
      <c r="F558" s="9">
        <v>84</v>
      </c>
      <c r="G558" s="9">
        <v>2.9</v>
      </c>
      <c r="H558" s="9">
        <f>IF(MONTH(Call_Table_Data[[#This Row],[Date of Call]])&lt;=6,YEAR(Call_Table_Data[[#This Row],[Date of Call]]),YEAR(Call_Table_Data[[#This Row],[Date of Call]])+1)</f>
        <v>2023</v>
      </c>
      <c r="I558" s="9" t="str">
        <f>TEXT(Call_Table_Data[[#This Row],[Date of Call]],"DDDD")</f>
        <v>Monday</v>
      </c>
      <c r="J558" s="9" t="str" cm="1">
        <f t="array" ref="J558">_xlfn.IFS(Call_Table_Data[[#This Row],[Duration]]&lt;=10,"Under 10 Mins",Call_Table_Data[[#This Row],[Duration]]&lt;=30,"10 to 30 Mins",Call_Table_Data[[#This Row],[Duration]]&lt;=60,"30 to 60 Mins",Call_Table_Data[[#This Row],[Duration]]&lt;=120,"1 to 2 Hours",TRUE,"More Than 2 Hours")</f>
        <v>30 to 60 Mins</v>
      </c>
      <c r="K558" s="9">
        <f>ROUND(Call_Table_Data[[#This Row],[Satisfaction Rating]],0)</f>
        <v>3</v>
      </c>
    </row>
    <row r="559" spans="1:11" x14ac:dyDescent="0.3">
      <c r="A559" s="9" t="s">
        <v>2185</v>
      </c>
      <c r="B559" s="9" t="s">
        <v>1635</v>
      </c>
      <c r="C559" s="9">
        <v>117</v>
      </c>
      <c r="D559" s="149" t="s">
        <v>1621</v>
      </c>
      <c r="E559" s="150">
        <v>45097</v>
      </c>
      <c r="F559" s="9">
        <v>82</v>
      </c>
      <c r="G559" s="9">
        <v>3.5</v>
      </c>
      <c r="H559" s="9">
        <f>IF(MONTH(Call_Table_Data[[#This Row],[Date of Call]])&lt;=6,YEAR(Call_Table_Data[[#This Row],[Date of Call]]),YEAR(Call_Table_Data[[#This Row],[Date of Call]])+1)</f>
        <v>2023</v>
      </c>
      <c r="I559" s="9" t="str">
        <f>TEXT(Call_Table_Data[[#This Row],[Date of Call]],"DDDD")</f>
        <v>Tuesday</v>
      </c>
      <c r="J559" s="9" t="str" cm="1">
        <f t="array" ref="J559">_xlfn.IFS(Call_Table_Data[[#This Row],[Duration]]&lt;=10,"Under 10 Mins",Call_Table_Data[[#This Row],[Duration]]&lt;=30,"10 to 30 Mins",Call_Table_Data[[#This Row],[Duration]]&lt;=60,"30 to 60 Mins",Call_Table_Data[[#This Row],[Duration]]&lt;=120,"1 to 2 Hours",TRUE,"More Than 2 Hours")</f>
        <v>1 to 2 Hours</v>
      </c>
      <c r="K559" s="9">
        <f>ROUND(Call_Table_Data[[#This Row],[Satisfaction Rating]],0)</f>
        <v>4</v>
      </c>
    </row>
    <row r="560" spans="1:11" x14ac:dyDescent="0.3">
      <c r="A560" s="9" t="s">
        <v>2186</v>
      </c>
      <c r="B560" s="9" t="s">
        <v>1682</v>
      </c>
      <c r="C560" s="9">
        <v>136</v>
      </c>
      <c r="D560" s="149" t="s">
        <v>1626</v>
      </c>
      <c r="E560" s="150">
        <v>45097</v>
      </c>
      <c r="F560" s="9">
        <v>37</v>
      </c>
      <c r="G560" s="9">
        <v>0.9</v>
      </c>
      <c r="H560" s="9">
        <f>IF(MONTH(Call_Table_Data[[#This Row],[Date of Call]])&lt;=6,YEAR(Call_Table_Data[[#This Row],[Date of Call]]),YEAR(Call_Table_Data[[#This Row],[Date of Call]])+1)</f>
        <v>2023</v>
      </c>
      <c r="I560" s="9" t="str">
        <f>TEXT(Call_Table_Data[[#This Row],[Date of Call]],"DDDD")</f>
        <v>Tuesday</v>
      </c>
      <c r="J560" s="9" t="str" cm="1">
        <f t="array" ref="J560">_xlfn.IFS(Call_Table_Data[[#This Row],[Duration]]&lt;=10,"Under 10 Mins",Call_Table_Data[[#This Row],[Duration]]&lt;=30,"10 to 30 Mins",Call_Table_Data[[#This Row],[Duration]]&lt;=60,"30 to 60 Mins",Call_Table_Data[[#This Row],[Duration]]&lt;=120,"1 to 2 Hours",TRUE,"More Than 2 Hours")</f>
        <v>More Than 2 Hours</v>
      </c>
      <c r="K560" s="9">
        <f>ROUND(Call_Table_Data[[#This Row],[Satisfaction Rating]],0)</f>
        <v>1</v>
      </c>
    </row>
    <row r="561" spans="1:11" x14ac:dyDescent="0.3">
      <c r="A561" s="9" t="s">
        <v>2187</v>
      </c>
      <c r="B561" s="9" t="s">
        <v>1615</v>
      </c>
      <c r="C561" s="9">
        <v>130</v>
      </c>
      <c r="D561" s="149" t="s">
        <v>1616</v>
      </c>
      <c r="E561" s="150">
        <v>45098</v>
      </c>
      <c r="F561" s="9">
        <v>87</v>
      </c>
      <c r="G561" s="9">
        <v>3.4</v>
      </c>
      <c r="H561" s="9">
        <f>IF(MONTH(Call_Table_Data[[#This Row],[Date of Call]])&lt;=6,YEAR(Call_Table_Data[[#This Row],[Date of Call]]),YEAR(Call_Table_Data[[#This Row],[Date of Call]])+1)</f>
        <v>2023</v>
      </c>
      <c r="I561" s="9" t="str">
        <f>TEXT(Call_Table_Data[[#This Row],[Date of Call]],"DDDD")</f>
        <v>Wednesday</v>
      </c>
      <c r="J561" s="9" t="str" cm="1">
        <f t="array" ref="J561">_xlfn.IFS(Call_Table_Data[[#This Row],[Duration]]&lt;=10,"Under 10 Mins",Call_Table_Data[[#This Row],[Duration]]&lt;=30,"10 to 30 Mins",Call_Table_Data[[#This Row],[Duration]]&lt;=60,"30 to 60 Mins",Call_Table_Data[[#This Row],[Duration]]&lt;=120,"1 to 2 Hours",TRUE,"More Than 2 Hours")</f>
        <v>More Than 2 Hours</v>
      </c>
      <c r="K561" s="9">
        <f>ROUND(Call_Table_Data[[#This Row],[Satisfaction Rating]],0)</f>
        <v>3</v>
      </c>
    </row>
    <row r="562" spans="1:11" x14ac:dyDescent="0.3">
      <c r="A562" s="9" t="s">
        <v>2188</v>
      </c>
      <c r="B562" s="9" t="s">
        <v>1615</v>
      </c>
      <c r="C562" s="9">
        <v>73</v>
      </c>
      <c r="D562" s="149" t="s">
        <v>1616</v>
      </c>
      <c r="E562" s="150">
        <v>45098</v>
      </c>
      <c r="F562" s="9">
        <v>75</v>
      </c>
      <c r="G562" s="9">
        <v>2.7</v>
      </c>
      <c r="H562" s="9">
        <f>IF(MONTH(Call_Table_Data[[#This Row],[Date of Call]])&lt;=6,YEAR(Call_Table_Data[[#This Row],[Date of Call]]),YEAR(Call_Table_Data[[#This Row],[Date of Call]])+1)</f>
        <v>2023</v>
      </c>
      <c r="I562" s="9" t="str">
        <f>TEXT(Call_Table_Data[[#This Row],[Date of Call]],"DDDD")</f>
        <v>Wednesday</v>
      </c>
      <c r="J562" s="9" t="str" cm="1">
        <f t="array" ref="J562">_xlfn.IFS(Call_Table_Data[[#This Row],[Duration]]&lt;=10,"Under 10 Mins",Call_Table_Data[[#This Row],[Duration]]&lt;=30,"10 to 30 Mins",Call_Table_Data[[#This Row],[Duration]]&lt;=60,"30 to 60 Mins",Call_Table_Data[[#This Row],[Duration]]&lt;=120,"1 to 2 Hours",TRUE,"More Than 2 Hours")</f>
        <v>1 to 2 Hours</v>
      </c>
      <c r="K562" s="9">
        <f>ROUND(Call_Table_Data[[#This Row],[Satisfaction Rating]],0)</f>
        <v>3</v>
      </c>
    </row>
    <row r="563" spans="1:11" x14ac:dyDescent="0.3">
      <c r="A563" s="9" t="s">
        <v>2189</v>
      </c>
      <c r="B563" s="9" t="s">
        <v>1624</v>
      </c>
      <c r="C563" s="9">
        <v>80</v>
      </c>
      <c r="D563" s="149" t="s">
        <v>1630</v>
      </c>
      <c r="E563" s="150">
        <v>45098</v>
      </c>
      <c r="F563" s="9">
        <v>32</v>
      </c>
      <c r="G563" s="9">
        <v>4.7</v>
      </c>
      <c r="H563" s="9">
        <f>IF(MONTH(Call_Table_Data[[#This Row],[Date of Call]])&lt;=6,YEAR(Call_Table_Data[[#This Row],[Date of Call]]),YEAR(Call_Table_Data[[#This Row],[Date of Call]])+1)</f>
        <v>2023</v>
      </c>
      <c r="I563" s="9" t="str">
        <f>TEXT(Call_Table_Data[[#This Row],[Date of Call]],"DDDD")</f>
        <v>Wednesday</v>
      </c>
      <c r="J563" s="9" t="str" cm="1">
        <f t="array" ref="J563">_xlfn.IFS(Call_Table_Data[[#This Row],[Duration]]&lt;=10,"Under 10 Mins",Call_Table_Data[[#This Row],[Duration]]&lt;=30,"10 to 30 Mins",Call_Table_Data[[#This Row],[Duration]]&lt;=60,"30 to 60 Mins",Call_Table_Data[[#This Row],[Duration]]&lt;=120,"1 to 2 Hours",TRUE,"More Than 2 Hours")</f>
        <v>1 to 2 Hours</v>
      </c>
      <c r="K563" s="9">
        <f>ROUND(Call_Table_Data[[#This Row],[Satisfaction Rating]],0)</f>
        <v>5</v>
      </c>
    </row>
    <row r="564" spans="1:11" x14ac:dyDescent="0.3">
      <c r="A564" s="9" t="s">
        <v>2190</v>
      </c>
      <c r="B564" s="9" t="s">
        <v>1662</v>
      </c>
      <c r="C564" s="9">
        <v>44</v>
      </c>
      <c r="D564" s="149" t="s">
        <v>1621</v>
      </c>
      <c r="E564" s="150">
        <v>45098</v>
      </c>
      <c r="F564" s="9">
        <v>33</v>
      </c>
      <c r="G564" s="9">
        <v>3</v>
      </c>
      <c r="H564" s="9">
        <f>IF(MONTH(Call_Table_Data[[#This Row],[Date of Call]])&lt;=6,YEAR(Call_Table_Data[[#This Row],[Date of Call]]),YEAR(Call_Table_Data[[#This Row],[Date of Call]])+1)</f>
        <v>2023</v>
      </c>
      <c r="I564" s="9" t="str">
        <f>TEXT(Call_Table_Data[[#This Row],[Date of Call]],"DDDD")</f>
        <v>Wednesday</v>
      </c>
      <c r="J564" s="9" t="str" cm="1">
        <f t="array" ref="J564">_xlfn.IFS(Call_Table_Data[[#This Row],[Duration]]&lt;=10,"Under 10 Mins",Call_Table_Data[[#This Row],[Duration]]&lt;=30,"10 to 30 Mins",Call_Table_Data[[#This Row],[Duration]]&lt;=60,"30 to 60 Mins",Call_Table_Data[[#This Row],[Duration]]&lt;=120,"1 to 2 Hours",TRUE,"More Than 2 Hours")</f>
        <v>30 to 60 Mins</v>
      </c>
      <c r="K564" s="9">
        <f>ROUND(Call_Table_Data[[#This Row],[Satisfaction Rating]],0)</f>
        <v>3</v>
      </c>
    </row>
    <row r="565" spans="1:11" x14ac:dyDescent="0.3">
      <c r="A565" s="9" t="s">
        <v>2191</v>
      </c>
      <c r="B565" s="9" t="s">
        <v>1662</v>
      </c>
      <c r="C565" s="9">
        <v>102</v>
      </c>
      <c r="D565" s="149" t="s">
        <v>1611</v>
      </c>
      <c r="E565" s="150">
        <v>45098</v>
      </c>
      <c r="F565" s="9">
        <v>76</v>
      </c>
      <c r="G565" s="9">
        <v>4.2</v>
      </c>
      <c r="H565" s="9">
        <f>IF(MONTH(Call_Table_Data[[#This Row],[Date of Call]])&lt;=6,YEAR(Call_Table_Data[[#This Row],[Date of Call]]),YEAR(Call_Table_Data[[#This Row],[Date of Call]])+1)</f>
        <v>2023</v>
      </c>
      <c r="I565" s="9" t="str">
        <f>TEXT(Call_Table_Data[[#This Row],[Date of Call]],"DDDD")</f>
        <v>Wednesday</v>
      </c>
      <c r="J565" s="9" t="str" cm="1">
        <f t="array" ref="J565">_xlfn.IFS(Call_Table_Data[[#This Row],[Duration]]&lt;=10,"Under 10 Mins",Call_Table_Data[[#This Row],[Duration]]&lt;=30,"10 to 30 Mins",Call_Table_Data[[#This Row],[Duration]]&lt;=60,"30 to 60 Mins",Call_Table_Data[[#This Row],[Duration]]&lt;=120,"1 to 2 Hours",TRUE,"More Than 2 Hours")</f>
        <v>1 to 2 Hours</v>
      </c>
      <c r="K565" s="9">
        <f>ROUND(Call_Table_Data[[#This Row],[Satisfaction Rating]],0)</f>
        <v>4</v>
      </c>
    </row>
    <row r="566" spans="1:11" x14ac:dyDescent="0.3">
      <c r="A566" s="9" t="s">
        <v>2192</v>
      </c>
      <c r="B566" s="9" t="s">
        <v>1649</v>
      </c>
      <c r="C566" s="9">
        <v>74</v>
      </c>
      <c r="D566" s="149" t="s">
        <v>1611</v>
      </c>
      <c r="E566" s="150">
        <v>45098</v>
      </c>
      <c r="F566" s="9">
        <v>117</v>
      </c>
      <c r="G566" s="9">
        <v>4.8</v>
      </c>
      <c r="H566" s="9">
        <f>IF(MONTH(Call_Table_Data[[#This Row],[Date of Call]])&lt;=6,YEAR(Call_Table_Data[[#This Row],[Date of Call]]),YEAR(Call_Table_Data[[#This Row],[Date of Call]])+1)</f>
        <v>2023</v>
      </c>
      <c r="I566" s="9" t="str">
        <f>TEXT(Call_Table_Data[[#This Row],[Date of Call]],"DDDD")</f>
        <v>Wednesday</v>
      </c>
      <c r="J566" s="9" t="str" cm="1">
        <f t="array" ref="J566">_xlfn.IFS(Call_Table_Data[[#This Row],[Duration]]&lt;=10,"Under 10 Mins",Call_Table_Data[[#This Row],[Duration]]&lt;=30,"10 to 30 Mins",Call_Table_Data[[#This Row],[Duration]]&lt;=60,"30 to 60 Mins",Call_Table_Data[[#This Row],[Duration]]&lt;=120,"1 to 2 Hours",TRUE,"More Than 2 Hours")</f>
        <v>1 to 2 Hours</v>
      </c>
      <c r="K566" s="9">
        <f>ROUND(Call_Table_Data[[#This Row],[Satisfaction Rating]],0)</f>
        <v>5</v>
      </c>
    </row>
    <row r="567" spans="1:11" x14ac:dyDescent="0.3">
      <c r="A567" s="9" t="s">
        <v>2193</v>
      </c>
      <c r="B567" s="9" t="s">
        <v>1624</v>
      </c>
      <c r="C567" s="9">
        <v>52</v>
      </c>
      <c r="D567" s="149" t="s">
        <v>1621</v>
      </c>
      <c r="E567" s="150">
        <v>45100</v>
      </c>
      <c r="F567" s="9">
        <v>70</v>
      </c>
      <c r="G567" s="9">
        <v>4.0999999999999996</v>
      </c>
      <c r="H567" s="9">
        <f>IF(MONTH(Call_Table_Data[[#This Row],[Date of Call]])&lt;=6,YEAR(Call_Table_Data[[#This Row],[Date of Call]]),YEAR(Call_Table_Data[[#This Row],[Date of Call]])+1)</f>
        <v>2023</v>
      </c>
      <c r="I567" s="9" t="str">
        <f>TEXT(Call_Table_Data[[#This Row],[Date of Call]],"DDDD")</f>
        <v>Friday</v>
      </c>
      <c r="J567" s="9" t="str" cm="1">
        <f t="array" ref="J567">_xlfn.IFS(Call_Table_Data[[#This Row],[Duration]]&lt;=10,"Under 10 Mins",Call_Table_Data[[#This Row],[Duration]]&lt;=30,"10 to 30 Mins",Call_Table_Data[[#This Row],[Duration]]&lt;=60,"30 to 60 Mins",Call_Table_Data[[#This Row],[Duration]]&lt;=120,"1 to 2 Hours",TRUE,"More Than 2 Hours")</f>
        <v>30 to 60 Mins</v>
      </c>
      <c r="K567" s="9">
        <f>ROUND(Call_Table_Data[[#This Row],[Satisfaction Rating]],0)</f>
        <v>4</v>
      </c>
    </row>
    <row r="568" spans="1:11" x14ac:dyDescent="0.3">
      <c r="A568" s="9" t="s">
        <v>2194</v>
      </c>
      <c r="B568" s="9" t="s">
        <v>1624</v>
      </c>
      <c r="C568" s="9">
        <v>74</v>
      </c>
      <c r="D568" s="149" t="s">
        <v>1616</v>
      </c>
      <c r="E568" s="150">
        <v>45100</v>
      </c>
      <c r="F568" s="9">
        <v>37</v>
      </c>
      <c r="G568" s="9">
        <v>2.7</v>
      </c>
      <c r="H568" s="9">
        <f>IF(MONTH(Call_Table_Data[[#This Row],[Date of Call]])&lt;=6,YEAR(Call_Table_Data[[#This Row],[Date of Call]]),YEAR(Call_Table_Data[[#This Row],[Date of Call]])+1)</f>
        <v>2023</v>
      </c>
      <c r="I568" s="9" t="str">
        <f>TEXT(Call_Table_Data[[#This Row],[Date of Call]],"DDDD")</f>
        <v>Friday</v>
      </c>
      <c r="J568" s="9" t="str" cm="1">
        <f t="array" ref="J568">_xlfn.IFS(Call_Table_Data[[#This Row],[Duration]]&lt;=10,"Under 10 Mins",Call_Table_Data[[#This Row],[Duration]]&lt;=30,"10 to 30 Mins",Call_Table_Data[[#This Row],[Duration]]&lt;=60,"30 to 60 Mins",Call_Table_Data[[#This Row],[Duration]]&lt;=120,"1 to 2 Hours",TRUE,"More Than 2 Hours")</f>
        <v>1 to 2 Hours</v>
      </c>
      <c r="K568" s="9">
        <f>ROUND(Call_Table_Data[[#This Row],[Satisfaction Rating]],0)</f>
        <v>3</v>
      </c>
    </row>
    <row r="569" spans="1:11" x14ac:dyDescent="0.3">
      <c r="A569" s="9" t="s">
        <v>2195</v>
      </c>
      <c r="B569" s="9" t="s">
        <v>1615</v>
      </c>
      <c r="C569" s="9">
        <v>96</v>
      </c>
      <c r="D569" s="149" t="s">
        <v>1611</v>
      </c>
      <c r="E569" s="150">
        <v>45100</v>
      </c>
      <c r="F569" s="9">
        <v>46</v>
      </c>
      <c r="G569" s="9">
        <v>2.9</v>
      </c>
      <c r="H569" s="9">
        <f>IF(MONTH(Call_Table_Data[[#This Row],[Date of Call]])&lt;=6,YEAR(Call_Table_Data[[#This Row],[Date of Call]]),YEAR(Call_Table_Data[[#This Row],[Date of Call]])+1)</f>
        <v>2023</v>
      </c>
      <c r="I569" s="9" t="str">
        <f>TEXT(Call_Table_Data[[#This Row],[Date of Call]],"DDDD")</f>
        <v>Friday</v>
      </c>
      <c r="J569" s="9" t="str" cm="1">
        <f t="array" ref="J569">_xlfn.IFS(Call_Table_Data[[#This Row],[Duration]]&lt;=10,"Under 10 Mins",Call_Table_Data[[#This Row],[Duration]]&lt;=30,"10 to 30 Mins",Call_Table_Data[[#This Row],[Duration]]&lt;=60,"30 to 60 Mins",Call_Table_Data[[#This Row],[Duration]]&lt;=120,"1 to 2 Hours",TRUE,"More Than 2 Hours")</f>
        <v>1 to 2 Hours</v>
      </c>
      <c r="K569" s="9">
        <f>ROUND(Call_Table_Data[[#This Row],[Satisfaction Rating]],0)</f>
        <v>3</v>
      </c>
    </row>
    <row r="570" spans="1:11" x14ac:dyDescent="0.3">
      <c r="A570" s="9" t="s">
        <v>2196</v>
      </c>
      <c r="B570" s="9" t="s">
        <v>1633</v>
      </c>
      <c r="C570" s="9">
        <v>104</v>
      </c>
      <c r="D570" s="149" t="s">
        <v>1630</v>
      </c>
      <c r="E570" s="150">
        <v>45100</v>
      </c>
      <c r="F570" s="9">
        <v>136</v>
      </c>
      <c r="G570" s="9">
        <v>5</v>
      </c>
      <c r="H570" s="9">
        <f>IF(MONTH(Call_Table_Data[[#This Row],[Date of Call]])&lt;=6,YEAR(Call_Table_Data[[#This Row],[Date of Call]]),YEAR(Call_Table_Data[[#This Row],[Date of Call]])+1)</f>
        <v>2023</v>
      </c>
      <c r="I570" s="9" t="str">
        <f>TEXT(Call_Table_Data[[#This Row],[Date of Call]],"DDDD")</f>
        <v>Friday</v>
      </c>
      <c r="J570" s="9" t="str" cm="1">
        <f t="array" ref="J570">_xlfn.IFS(Call_Table_Data[[#This Row],[Duration]]&lt;=10,"Under 10 Mins",Call_Table_Data[[#This Row],[Duration]]&lt;=30,"10 to 30 Mins",Call_Table_Data[[#This Row],[Duration]]&lt;=60,"30 to 60 Mins",Call_Table_Data[[#This Row],[Duration]]&lt;=120,"1 to 2 Hours",TRUE,"More Than 2 Hours")</f>
        <v>1 to 2 Hours</v>
      </c>
      <c r="K570" s="9">
        <f>ROUND(Call_Table_Data[[#This Row],[Satisfaction Rating]],0)</f>
        <v>5</v>
      </c>
    </row>
    <row r="571" spans="1:11" x14ac:dyDescent="0.3">
      <c r="A571" s="9" t="s">
        <v>2197</v>
      </c>
      <c r="B571" s="9" t="s">
        <v>1615</v>
      </c>
      <c r="C571" s="9">
        <v>123</v>
      </c>
      <c r="D571" s="149" t="s">
        <v>1611</v>
      </c>
      <c r="E571" s="150">
        <v>45101</v>
      </c>
      <c r="F571" s="9">
        <v>44</v>
      </c>
      <c r="G571" s="9">
        <v>4.5999999999999996</v>
      </c>
      <c r="H571" s="9">
        <f>IF(MONTH(Call_Table_Data[[#This Row],[Date of Call]])&lt;=6,YEAR(Call_Table_Data[[#This Row],[Date of Call]]),YEAR(Call_Table_Data[[#This Row],[Date of Call]])+1)</f>
        <v>2023</v>
      </c>
      <c r="I571" s="9" t="str">
        <f>TEXT(Call_Table_Data[[#This Row],[Date of Call]],"DDDD")</f>
        <v>Saturday</v>
      </c>
      <c r="J571" s="9" t="str" cm="1">
        <f t="array" ref="J571">_xlfn.IFS(Call_Table_Data[[#This Row],[Duration]]&lt;=10,"Under 10 Mins",Call_Table_Data[[#This Row],[Duration]]&lt;=30,"10 to 30 Mins",Call_Table_Data[[#This Row],[Duration]]&lt;=60,"30 to 60 Mins",Call_Table_Data[[#This Row],[Duration]]&lt;=120,"1 to 2 Hours",TRUE,"More Than 2 Hours")</f>
        <v>More Than 2 Hours</v>
      </c>
      <c r="K571" s="9">
        <f>ROUND(Call_Table_Data[[#This Row],[Satisfaction Rating]],0)</f>
        <v>5</v>
      </c>
    </row>
    <row r="572" spans="1:11" x14ac:dyDescent="0.3">
      <c r="A572" s="9" t="s">
        <v>2198</v>
      </c>
      <c r="B572" s="9" t="s">
        <v>1641</v>
      </c>
      <c r="C572" s="9">
        <v>100</v>
      </c>
      <c r="D572" s="149" t="s">
        <v>1626</v>
      </c>
      <c r="E572" s="150">
        <v>45101</v>
      </c>
      <c r="F572" s="9">
        <v>69</v>
      </c>
      <c r="G572" s="9">
        <v>3</v>
      </c>
      <c r="H572" s="9">
        <f>IF(MONTH(Call_Table_Data[[#This Row],[Date of Call]])&lt;=6,YEAR(Call_Table_Data[[#This Row],[Date of Call]]),YEAR(Call_Table_Data[[#This Row],[Date of Call]])+1)</f>
        <v>2023</v>
      </c>
      <c r="I572" s="9" t="str">
        <f>TEXT(Call_Table_Data[[#This Row],[Date of Call]],"DDDD")</f>
        <v>Saturday</v>
      </c>
      <c r="J572" s="9" t="str" cm="1">
        <f t="array" ref="J572">_xlfn.IFS(Call_Table_Data[[#This Row],[Duration]]&lt;=10,"Under 10 Mins",Call_Table_Data[[#This Row],[Duration]]&lt;=30,"10 to 30 Mins",Call_Table_Data[[#This Row],[Duration]]&lt;=60,"30 to 60 Mins",Call_Table_Data[[#This Row],[Duration]]&lt;=120,"1 to 2 Hours",TRUE,"More Than 2 Hours")</f>
        <v>1 to 2 Hours</v>
      </c>
      <c r="K572" s="9">
        <f>ROUND(Call_Table_Data[[#This Row],[Satisfaction Rating]],0)</f>
        <v>3</v>
      </c>
    </row>
    <row r="573" spans="1:11" x14ac:dyDescent="0.3">
      <c r="A573" s="9" t="s">
        <v>2199</v>
      </c>
      <c r="B573" s="9" t="s">
        <v>1633</v>
      </c>
      <c r="C573" s="9">
        <v>35</v>
      </c>
      <c r="D573" s="149" t="s">
        <v>1621</v>
      </c>
      <c r="E573" s="150">
        <v>45102</v>
      </c>
      <c r="F573" s="9">
        <v>86</v>
      </c>
      <c r="G573" s="9">
        <v>4.5999999999999996</v>
      </c>
      <c r="H573" s="9">
        <f>IF(MONTH(Call_Table_Data[[#This Row],[Date of Call]])&lt;=6,YEAR(Call_Table_Data[[#This Row],[Date of Call]]),YEAR(Call_Table_Data[[#This Row],[Date of Call]])+1)</f>
        <v>2023</v>
      </c>
      <c r="I573" s="9" t="str">
        <f>TEXT(Call_Table_Data[[#This Row],[Date of Call]],"DDDD")</f>
        <v>Sunday</v>
      </c>
      <c r="J573" s="9" t="str" cm="1">
        <f t="array" ref="J573">_xlfn.IFS(Call_Table_Data[[#This Row],[Duration]]&lt;=10,"Under 10 Mins",Call_Table_Data[[#This Row],[Duration]]&lt;=30,"10 to 30 Mins",Call_Table_Data[[#This Row],[Duration]]&lt;=60,"30 to 60 Mins",Call_Table_Data[[#This Row],[Duration]]&lt;=120,"1 to 2 Hours",TRUE,"More Than 2 Hours")</f>
        <v>30 to 60 Mins</v>
      </c>
      <c r="K573" s="9">
        <f>ROUND(Call_Table_Data[[#This Row],[Satisfaction Rating]],0)</f>
        <v>5</v>
      </c>
    </row>
    <row r="574" spans="1:11" x14ac:dyDescent="0.3">
      <c r="A574" s="9" t="s">
        <v>2200</v>
      </c>
      <c r="B574" s="9" t="s">
        <v>1624</v>
      </c>
      <c r="C574" s="9">
        <v>123</v>
      </c>
      <c r="D574" s="149" t="s">
        <v>1630</v>
      </c>
      <c r="E574" s="150">
        <v>45102</v>
      </c>
      <c r="F574" s="9">
        <v>68</v>
      </c>
      <c r="G574" s="9">
        <v>4.5</v>
      </c>
      <c r="H574" s="9">
        <f>IF(MONTH(Call_Table_Data[[#This Row],[Date of Call]])&lt;=6,YEAR(Call_Table_Data[[#This Row],[Date of Call]]),YEAR(Call_Table_Data[[#This Row],[Date of Call]])+1)</f>
        <v>2023</v>
      </c>
      <c r="I574" s="9" t="str">
        <f>TEXT(Call_Table_Data[[#This Row],[Date of Call]],"DDDD")</f>
        <v>Sunday</v>
      </c>
      <c r="J574" s="9" t="str" cm="1">
        <f t="array" ref="J574">_xlfn.IFS(Call_Table_Data[[#This Row],[Duration]]&lt;=10,"Under 10 Mins",Call_Table_Data[[#This Row],[Duration]]&lt;=30,"10 to 30 Mins",Call_Table_Data[[#This Row],[Duration]]&lt;=60,"30 to 60 Mins",Call_Table_Data[[#This Row],[Duration]]&lt;=120,"1 to 2 Hours",TRUE,"More Than 2 Hours")</f>
        <v>More Than 2 Hours</v>
      </c>
      <c r="K574" s="9">
        <f>ROUND(Call_Table_Data[[#This Row],[Satisfaction Rating]],0)</f>
        <v>5</v>
      </c>
    </row>
    <row r="575" spans="1:11" x14ac:dyDescent="0.3">
      <c r="A575" s="9" t="s">
        <v>2201</v>
      </c>
      <c r="B575" s="9" t="s">
        <v>1635</v>
      </c>
      <c r="C575" s="9">
        <v>133</v>
      </c>
      <c r="D575" s="149" t="s">
        <v>1621</v>
      </c>
      <c r="E575" s="150">
        <v>45103</v>
      </c>
      <c r="F575" s="9">
        <v>21</v>
      </c>
      <c r="G575" s="9">
        <v>3.7</v>
      </c>
      <c r="H575" s="9">
        <f>IF(MONTH(Call_Table_Data[[#This Row],[Date of Call]])&lt;=6,YEAR(Call_Table_Data[[#This Row],[Date of Call]]),YEAR(Call_Table_Data[[#This Row],[Date of Call]])+1)</f>
        <v>2023</v>
      </c>
      <c r="I575" s="9" t="str">
        <f>TEXT(Call_Table_Data[[#This Row],[Date of Call]],"DDDD")</f>
        <v>Monday</v>
      </c>
      <c r="J575" s="9" t="str" cm="1">
        <f t="array" ref="J575">_xlfn.IFS(Call_Table_Data[[#This Row],[Duration]]&lt;=10,"Under 10 Mins",Call_Table_Data[[#This Row],[Duration]]&lt;=30,"10 to 30 Mins",Call_Table_Data[[#This Row],[Duration]]&lt;=60,"30 to 60 Mins",Call_Table_Data[[#This Row],[Duration]]&lt;=120,"1 to 2 Hours",TRUE,"More Than 2 Hours")</f>
        <v>More Than 2 Hours</v>
      </c>
      <c r="K575" s="9">
        <f>ROUND(Call_Table_Data[[#This Row],[Satisfaction Rating]],0)</f>
        <v>4</v>
      </c>
    </row>
    <row r="576" spans="1:11" x14ac:dyDescent="0.3">
      <c r="A576" s="9" t="s">
        <v>2202</v>
      </c>
      <c r="B576" s="9" t="s">
        <v>1615</v>
      </c>
      <c r="C576" s="9">
        <v>126</v>
      </c>
      <c r="D576" s="149" t="s">
        <v>1616</v>
      </c>
      <c r="E576" s="150">
        <v>45103</v>
      </c>
      <c r="F576" s="9">
        <v>190</v>
      </c>
      <c r="G576" s="9">
        <v>2.4</v>
      </c>
      <c r="H576" s="9">
        <f>IF(MONTH(Call_Table_Data[[#This Row],[Date of Call]])&lt;=6,YEAR(Call_Table_Data[[#This Row],[Date of Call]]),YEAR(Call_Table_Data[[#This Row],[Date of Call]])+1)</f>
        <v>2023</v>
      </c>
      <c r="I576" s="9" t="str">
        <f>TEXT(Call_Table_Data[[#This Row],[Date of Call]],"DDDD")</f>
        <v>Monday</v>
      </c>
      <c r="J576" s="9" t="str" cm="1">
        <f t="array" ref="J576">_xlfn.IFS(Call_Table_Data[[#This Row],[Duration]]&lt;=10,"Under 10 Mins",Call_Table_Data[[#This Row],[Duration]]&lt;=30,"10 to 30 Mins",Call_Table_Data[[#This Row],[Duration]]&lt;=60,"30 to 60 Mins",Call_Table_Data[[#This Row],[Duration]]&lt;=120,"1 to 2 Hours",TRUE,"More Than 2 Hours")</f>
        <v>More Than 2 Hours</v>
      </c>
      <c r="K576" s="9">
        <f>ROUND(Call_Table_Data[[#This Row],[Satisfaction Rating]],0)</f>
        <v>2</v>
      </c>
    </row>
    <row r="577" spans="1:11" x14ac:dyDescent="0.3">
      <c r="A577" s="9" t="s">
        <v>2203</v>
      </c>
      <c r="B577" s="9" t="s">
        <v>1624</v>
      </c>
      <c r="C577" s="9">
        <v>39</v>
      </c>
      <c r="D577" s="149" t="s">
        <v>1611</v>
      </c>
      <c r="E577" s="150">
        <v>45103</v>
      </c>
      <c r="F577" s="9">
        <v>176</v>
      </c>
      <c r="G577" s="9">
        <v>4.3</v>
      </c>
      <c r="H577" s="9">
        <f>IF(MONTH(Call_Table_Data[[#This Row],[Date of Call]])&lt;=6,YEAR(Call_Table_Data[[#This Row],[Date of Call]]),YEAR(Call_Table_Data[[#This Row],[Date of Call]])+1)</f>
        <v>2023</v>
      </c>
      <c r="I577" s="9" t="str">
        <f>TEXT(Call_Table_Data[[#This Row],[Date of Call]],"DDDD")</f>
        <v>Monday</v>
      </c>
      <c r="J577" s="9" t="str" cm="1">
        <f t="array" ref="J577">_xlfn.IFS(Call_Table_Data[[#This Row],[Duration]]&lt;=10,"Under 10 Mins",Call_Table_Data[[#This Row],[Duration]]&lt;=30,"10 to 30 Mins",Call_Table_Data[[#This Row],[Duration]]&lt;=60,"30 to 60 Mins",Call_Table_Data[[#This Row],[Duration]]&lt;=120,"1 to 2 Hours",TRUE,"More Than 2 Hours")</f>
        <v>30 to 60 Mins</v>
      </c>
      <c r="K577" s="9">
        <f>ROUND(Call_Table_Data[[#This Row],[Satisfaction Rating]],0)</f>
        <v>4</v>
      </c>
    </row>
    <row r="578" spans="1:11" x14ac:dyDescent="0.3">
      <c r="A578" s="9" t="s">
        <v>2204</v>
      </c>
      <c r="B578" s="9" t="s">
        <v>1649</v>
      </c>
      <c r="C578" s="9">
        <v>31</v>
      </c>
      <c r="D578" s="149" t="s">
        <v>1630</v>
      </c>
      <c r="E578" s="150">
        <v>45103</v>
      </c>
      <c r="F578" s="9">
        <v>172</v>
      </c>
      <c r="G578" s="9">
        <v>3.9</v>
      </c>
      <c r="H578" s="9">
        <f>IF(MONTH(Call_Table_Data[[#This Row],[Date of Call]])&lt;=6,YEAR(Call_Table_Data[[#This Row],[Date of Call]]),YEAR(Call_Table_Data[[#This Row],[Date of Call]])+1)</f>
        <v>2023</v>
      </c>
      <c r="I578" s="9" t="str">
        <f>TEXT(Call_Table_Data[[#This Row],[Date of Call]],"DDDD")</f>
        <v>Monday</v>
      </c>
      <c r="J578" s="9" t="str" cm="1">
        <f t="array" ref="J578">_xlfn.IFS(Call_Table_Data[[#This Row],[Duration]]&lt;=10,"Under 10 Mins",Call_Table_Data[[#This Row],[Duration]]&lt;=30,"10 to 30 Mins",Call_Table_Data[[#This Row],[Duration]]&lt;=60,"30 to 60 Mins",Call_Table_Data[[#This Row],[Duration]]&lt;=120,"1 to 2 Hours",TRUE,"More Than 2 Hours")</f>
        <v>30 to 60 Mins</v>
      </c>
      <c r="K578" s="9">
        <f>ROUND(Call_Table_Data[[#This Row],[Satisfaction Rating]],0)</f>
        <v>4</v>
      </c>
    </row>
    <row r="579" spans="1:11" x14ac:dyDescent="0.3">
      <c r="A579" s="9" t="s">
        <v>2205</v>
      </c>
      <c r="B579" s="9" t="s">
        <v>1620</v>
      </c>
      <c r="C579" s="9">
        <v>25</v>
      </c>
      <c r="D579" s="149" t="s">
        <v>1621</v>
      </c>
      <c r="E579" s="150">
        <v>45103</v>
      </c>
      <c r="F579" s="9">
        <v>84</v>
      </c>
      <c r="G579" s="9">
        <v>4.5</v>
      </c>
      <c r="H579" s="9">
        <f>IF(MONTH(Call_Table_Data[[#This Row],[Date of Call]])&lt;=6,YEAR(Call_Table_Data[[#This Row],[Date of Call]]),YEAR(Call_Table_Data[[#This Row],[Date of Call]])+1)</f>
        <v>2023</v>
      </c>
      <c r="I579" s="9" t="str">
        <f>TEXT(Call_Table_Data[[#This Row],[Date of Call]],"DDDD")</f>
        <v>Monday</v>
      </c>
      <c r="J579" s="9" t="str" cm="1">
        <f t="array" ref="J579">_xlfn.IFS(Call_Table_Data[[#This Row],[Duration]]&lt;=10,"Under 10 Mins",Call_Table_Data[[#This Row],[Duration]]&lt;=30,"10 to 30 Mins",Call_Table_Data[[#This Row],[Duration]]&lt;=60,"30 to 60 Mins",Call_Table_Data[[#This Row],[Duration]]&lt;=120,"1 to 2 Hours",TRUE,"More Than 2 Hours")</f>
        <v>10 to 30 Mins</v>
      </c>
      <c r="K579" s="9">
        <f>ROUND(Call_Table_Data[[#This Row],[Satisfaction Rating]],0)</f>
        <v>5</v>
      </c>
    </row>
    <row r="580" spans="1:11" x14ac:dyDescent="0.3">
      <c r="A580" s="9" t="s">
        <v>2206</v>
      </c>
      <c r="B580" s="9" t="s">
        <v>1613</v>
      </c>
      <c r="C580" s="9">
        <v>132</v>
      </c>
      <c r="D580" s="149" t="s">
        <v>1626</v>
      </c>
      <c r="E580" s="150">
        <v>45104</v>
      </c>
      <c r="F580" s="9">
        <v>42</v>
      </c>
      <c r="G580" s="9">
        <v>5</v>
      </c>
      <c r="H580" s="9">
        <f>IF(MONTH(Call_Table_Data[[#This Row],[Date of Call]])&lt;=6,YEAR(Call_Table_Data[[#This Row],[Date of Call]]),YEAR(Call_Table_Data[[#This Row],[Date of Call]])+1)</f>
        <v>2023</v>
      </c>
      <c r="I580" s="9" t="str">
        <f>TEXT(Call_Table_Data[[#This Row],[Date of Call]],"DDDD")</f>
        <v>Tuesday</v>
      </c>
      <c r="J580" s="9" t="str" cm="1">
        <f t="array" ref="J580">_xlfn.IFS(Call_Table_Data[[#This Row],[Duration]]&lt;=10,"Under 10 Mins",Call_Table_Data[[#This Row],[Duration]]&lt;=30,"10 to 30 Mins",Call_Table_Data[[#This Row],[Duration]]&lt;=60,"30 to 60 Mins",Call_Table_Data[[#This Row],[Duration]]&lt;=120,"1 to 2 Hours",TRUE,"More Than 2 Hours")</f>
        <v>More Than 2 Hours</v>
      </c>
      <c r="K580" s="9">
        <f>ROUND(Call_Table_Data[[#This Row],[Satisfaction Rating]],0)</f>
        <v>5</v>
      </c>
    </row>
    <row r="581" spans="1:11" x14ac:dyDescent="0.3">
      <c r="A581" s="9" t="s">
        <v>2207</v>
      </c>
      <c r="B581" s="9" t="s">
        <v>1633</v>
      </c>
      <c r="C581" s="9">
        <v>63</v>
      </c>
      <c r="D581" s="149" t="s">
        <v>1616</v>
      </c>
      <c r="E581" s="150">
        <v>45104</v>
      </c>
      <c r="F581" s="9">
        <v>70</v>
      </c>
      <c r="G581" s="9">
        <v>1.6</v>
      </c>
      <c r="H581" s="9">
        <f>IF(MONTH(Call_Table_Data[[#This Row],[Date of Call]])&lt;=6,YEAR(Call_Table_Data[[#This Row],[Date of Call]]),YEAR(Call_Table_Data[[#This Row],[Date of Call]])+1)</f>
        <v>2023</v>
      </c>
      <c r="I581" s="9" t="str">
        <f>TEXT(Call_Table_Data[[#This Row],[Date of Call]],"DDDD")</f>
        <v>Tuesday</v>
      </c>
      <c r="J581" s="9" t="str" cm="1">
        <f t="array" ref="J581">_xlfn.IFS(Call_Table_Data[[#This Row],[Duration]]&lt;=10,"Under 10 Mins",Call_Table_Data[[#This Row],[Duration]]&lt;=30,"10 to 30 Mins",Call_Table_Data[[#This Row],[Duration]]&lt;=60,"30 to 60 Mins",Call_Table_Data[[#This Row],[Duration]]&lt;=120,"1 to 2 Hours",TRUE,"More Than 2 Hours")</f>
        <v>1 to 2 Hours</v>
      </c>
      <c r="K581" s="9">
        <f>ROUND(Call_Table_Data[[#This Row],[Satisfaction Rating]],0)</f>
        <v>2</v>
      </c>
    </row>
    <row r="582" spans="1:11" x14ac:dyDescent="0.3">
      <c r="A582" s="9" t="s">
        <v>2208</v>
      </c>
      <c r="B582" s="9" t="s">
        <v>1641</v>
      </c>
      <c r="C582" s="9">
        <v>135</v>
      </c>
      <c r="D582" s="149" t="s">
        <v>1626</v>
      </c>
      <c r="E582" s="150">
        <v>45104</v>
      </c>
      <c r="F582" s="9">
        <v>60</v>
      </c>
      <c r="G582" s="9">
        <v>4.3</v>
      </c>
      <c r="H582" s="9">
        <f>IF(MONTH(Call_Table_Data[[#This Row],[Date of Call]])&lt;=6,YEAR(Call_Table_Data[[#This Row],[Date of Call]]),YEAR(Call_Table_Data[[#This Row],[Date of Call]])+1)</f>
        <v>2023</v>
      </c>
      <c r="I582" s="9" t="str">
        <f>TEXT(Call_Table_Data[[#This Row],[Date of Call]],"DDDD")</f>
        <v>Tuesday</v>
      </c>
      <c r="J582" s="9" t="str" cm="1">
        <f t="array" ref="J582">_xlfn.IFS(Call_Table_Data[[#This Row],[Duration]]&lt;=10,"Under 10 Mins",Call_Table_Data[[#This Row],[Duration]]&lt;=30,"10 to 30 Mins",Call_Table_Data[[#This Row],[Duration]]&lt;=60,"30 to 60 Mins",Call_Table_Data[[#This Row],[Duration]]&lt;=120,"1 to 2 Hours",TRUE,"More Than 2 Hours")</f>
        <v>More Than 2 Hours</v>
      </c>
      <c r="K582" s="9">
        <f>ROUND(Call_Table_Data[[#This Row],[Satisfaction Rating]],0)</f>
        <v>4</v>
      </c>
    </row>
    <row r="583" spans="1:11" x14ac:dyDescent="0.3">
      <c r="A583" s="9" t="s">
        <v>2209</v>
      </c>
      <c r="B583" s="9" t="s">
        <v>1629</v>
      </c>
      <c r="C583" s="9">
        <v>101</v>
      </c>
      <c r="D583" s="149" t="s">
        <v>1616</v>
      </c>
      <c r="E583" s="150">
        <v>45104</v>
      </c>
      <c r="F583" s="9">
        <v>84</v>
      </c>
      <c r="G583" s="9">
        <v>3.5</v>
      </c>
      <c r="H583" s="9">
        <f>IF(MONTH(Call_Table_Data[[#This Row],[Date of Call]])&lt;=6,YEAR(Call_Table_Data[[#This Row],[Date of Call]]),YEAR(Call_Table_Data[[#This Row],[Date of Call]])+1)</f>
        <v>2023</v>
      </c>
      <c r="I583" s="9" t="str">
        <f>TEXT(Call_Table_Data[[#This Row],[Date of Call]],"DDDD")</f>
        <v>Tuesday</v>
      </c>
      <c r="J583" s="9" t="str" cm="1">
        <f t="array" ref="J583">_xlfn.IFS(Call_Table_Data[[#This Row],[Duration]]&lt;=10,"Under 10 Mins",Call_Table_Data[[#This Row],[Duration]]&lt;=30,"10 to 30 Mins",Call_Table_Data[[#This Row],[Duration]]&lt;=60,"30 to 60 Mins",Call_Table_Data[[#This Row],[Duration]]&lt;=120,"1 to 2 Hours",TRUE,"More Than 2 Hours")</f>
        <v>1 to 2 Hours</v>
      </c>
      <c r="K583" s="9">
        <f>ROUND(Call_Table_Data[[#This Row],[Satisfaction Rating]],0)</f>
        <v>4</v>
      </c>
    </row>
    <row r="584" spans="1:11" x14ac:dyDescent="0.3">
      <c r="A584" s="9" t="s">
        <v>2210</v>
      </c>
      <c r="B584" s="9" t="s">
        <v>1635</v>
      </c>
      <c r="C584" s="9">
        <v>80</v>
      </c>
      <c r="D584" s="149" t="s">
        <v>1611</v>
      </c>
      <c r="E584" s="150">
        <v>45105</v>
      </c>
      <c r="F584" s="9">
        <v>68</v>
      </c>
      <c r="G584" s="9">
        <v>3.1</v>
      </c>
      <c r="H584" s="9">
        <f>IF(MONTH(Call_Table_Data[[#This Row],[Date of Call]])&lt;=6,YEAR(Call_Table_Data[[#This Row],[Date of Call]]),YEAR(Call_Table_Data[[#This Row],[Date of Call]])+1)</f>
        <v>2023</v>
      </c>
      <c r="I584" s="9" t="str">
        <f>TEXT(Call_Table_Data[[#This Row],[Date of Call]],"DDDD")</f>
        <v>Wednesday</v>
      </c>
      <c r="J584" s="9" t="str" cm="1">
        <f t="array" ref="J584">_xlfn.IFS(Call_Table_Data[[#This Row],[Duration]]&lt;=10,"Under 10 Mins",Call_Table_Data[[#This Row],[Duration]]&lt;=30,"10 to 30 Mins",Call_Table_Data[[#This Row],[Duration]]&lt;=60,"30 to 60 Mins",Call_Table_Data[[#This Row],[Duration]]&lt;=120,"1 to 2 Hours",TRUE,"More Than 2 Hours")</f>
        <v>1 to 2 Hours</v>
      </c>
      <c r="K584" s="9">
        <f>ROUND(Call_Table_Data[[#This Row],[Satisfaction Rating]],0)</f>
        <v>3</v>
      </c>
    </row>
    <row r="585" spans="1:11" x14ac:dyDescent="0.3">
      <c r="A585" s="9" t="s">
        <v>2211</v>
      </c>
      <c r="B585" s="9" t="s">
        <v>1662</v>
      </c>
      <c r="C585" s="9">
        <v>28</v>
      </c>
      <c r="D585" s="149" t="s">
        <v>1611</v>
      </c>
      <c r="E585" s="150">
        <v>45105</v>
      </c>
      <c r="F585" s="9">
        <v>44</v>
      </c>
      <c r="G585" s="9">
        <v>2.9</v>
      </c>
      <c r="H585" s="9">
        <f>IF(MONTH(Call_Table_Data[[#This Row],[Date of Call]])&lt;=6,YEAR(Call_Table_Data[[#This Row],[Date of Call]]),YEAR(Call_Table_Data[[#This Row],[Date of Call]])+1)</f>
        <v>2023</v>
      </c>
      <c r="I585" s="9" t="str">
        <f>TEXT(Call_Table_Data[[#This Row],[Date of Call]],"DDDD")</f>
        <v>Wednesday</v>
      </c>
      <c r="J585" s="9" t="str" cm="1">
        <f t="array" ref="J585">_xlfn.IFS(Call_Table_Data[[#This Row],[Duration]]&lt;=10,"Under 10 Mins",Call_Table_Data[[#This Row],[Duration]]&lt;=30,"10 to 30 Mins",Call_Table_Data[[#This Row],[Duration]]&lt;=60,"30 to 60 Mins",Call_Table_Data[[#This Row],[Duration]]&lt;=120,"1 to 2 Hours",TRUE,"More Than 2 Hours")</f>
        <v>10 to 30 Mins</v>
      </c>
      <c r="K585" s="9">
        <f>ROUND(Call_Table_Data[[#This Row],[Satisfaction Rating]],0)</f>
        <v>3</v>
      </c>
    </row>
    <row r="586" spans="1:11" x14ac:dyDescent="0.3">
      <c r="A586" s="9" t="s">
        <v>2212</v>
      </c>
      <c r="B586" s="9" t="s">
        <v>1629</v>
      </c>
      <c r="C586" s="9">
        <v>102</v>
      </c>
      <c r="D586" s="149" t="s">
        <v>1626</v>
      </c>
      <c r="E586" s="150">
        <v>45106</v>
      </c>
      <c r="F586" s="9">
        <v>99</v>
      </c>
      <c r="G586" s="9">
        <v>3.2</v>
      </c>
      <c r="H586" s="9">
        <f>IF(MONTH(Call_Table_Data[[#This Row],[Date of Call]])&lt;=6,YEAR(Call_Table_Data[[#This Row],[Date of Call]]),YEAR(Call_Table_Data[[#This Row],[Date of Call]])+1)</f>
        <v>2023</v>
      </c>
      <c r="I586" s="9" t="str">
        <f>TEXT(Call_Table_Data[[#This Row],[Date of Call]],"DDDD")</f>
        <v>Thursday</v>
      </c>
      <c r="J586" s="9" t="str" cm="1">
        <f t="array" ref="J586">_xlfn.IFS(Call_Table_Data[[#This Row],[Duration]]&lt;=10,"Under 10 Mins",Call_Table_Data[[#This Row],[Duration]]&lt;=30,"10 to 30 Mins",Call_Table_Data[[#This Row],[Duration]]&lt;=60,"30 to 60 Mins",Call_Table_Data[[#This Row],[Duration]]&lt;=120,"1 to 2 Hours",TRUE,"More Than 2 Hours")</f>
        <v>1 to 2 Hours</v>
      </c>
      <c r="K586" s="9">
        <f>ROUND(Call_Table_Data[[#This Row],[Satisfaction Rating]],0)</f>
        <v>3</v>
      </c>
    </row>
    <row r="587" spans="1:11" x14ac:dyDescent="0.3">
      <c r="A587" s="9" t="s">
        <v>2213</v>
      </c>
      <c r="B587" s="9" t="s">
        <v>1633</v>
      </c>
      <c r="C587" s="9">
        <v>60</v>
      </c>
      <c r="D587" s="149" t="s">
        <v>1626</v>
      </c>
      <c r="E587" s="150">
        <v>45107</v>
      </c>
      <c r="F587" s="9">
        <v>66</v>
      </c>
      <c r="G587" s="9">
        <v>3.2</v>
      </c>
      <c r="H587" s="9">
        <f>IF(MONTH(Call_Table_Data[[#This Row],[Date of Call]])&lt;=6,YEAR(Call_Table_Data[[#This Row],[Date of Call]]),YEAR(Call_Table_Data[[#This Row],[Date of Call]])+1)</f>
        <v>2023</v>
      </c>
      <c r="I587" s="9" t="str">
        <f>TEXT(Call_Table_Data[[#This Row],[Date of Call]],"DDDD")</f>
        <v>Friday</v>
      </c>
      <c r="J587" s="9" t="str" cm="1">
        <f t="array" ref="J587">_xlfn.IFS(Call_Table_Data[[#This Row],[Duration]]&lt;=10,"Under 10 Mins",Call_Table_Data[[#This Row],[Duration]]&lt;=30,"10 to 30 Mins",Call_Table_Data[[#This Row],[Duration]]&lt;=60,"30 to 60 Mins",Call_Table_Data[[#This Row],[Duration]]&lt;=120,"1 to 2 Hours",TRUE,"More Than 2 Hours")</f>
        <v>30 to 60 Mins</v>
      </c>
      <c r="K587" s="9">
        <f>ROUND(Call_Table_Data[[#This Row],[Satisfaction Rating]],0)</f>
        <v>3</v>
      </c>
    </row>
    <row r="588" spans="1:11" x14ac:dyDescent="0.3">
      <c r="A588" s="9" t="s">
        <v>2214</v>
      </c>
      <c r="B588" s="9" t="s">
        <v>1618</v>
      </c>
      <c r="C588" s="9">
        <v>103</v>
      </c>
      <c r="D588" s="149" t="s">
        <v>1626</v>
      </c>
      <c r="E588" s="150">
        <v>45107</v>
      </c>
      <c r="F588" s="9">
        <v>102</v>
      </c>
      <c r="G588" s="9">
        <v>4.5</v>
      </c>
      <c r="H588" s="9">
        <f>IF(MONTH(Call_Table_Data[[#This Row],[Date of Call]])&lt;=6,YEAR(Call_Table_Data[[#This Row],[Date of Call]]),YEAR(Call_Table_Data[[#This Row],[Date of Call]])+1)</f>
        <v>2023</v>
      </c>
      <c r="I588" s="9" t="str">
        <f>TEXT(Call_Table_Data[[#This Row],[Date of Call]],"DDDD")</f>
        <v>Friday</v>
      </c>
      <c r="J588" s="9" t="str" cm="1">
        <f t="array" ref="J588">_xlfn.IFS(Call_Table_Data[[#This Row],[Duration]]&lt;=10,"Under 10 Mins",Call_Table_Data[[#This Row],[Duration]]&lt;=30,"10 to 30 Mins",Call_Table_Data[[#This Row],[Duration]]&lt;=60,"30 to 60 Mins",Call_Table_Data[[#This Row],[Duration]]&lt;=120,"1 to 2 Hours",TRUE,"More Than 2 Hours")</f>
        <v>1 to 2 Hours</v>
      </c>
      <c r="K588" s="9">
        <f>ROUND(Call_Table_Data[[#This Row],[Satisfaction Rating]],0)</f>
        <v>5</v>
      </c>
    </row>
    <row r="589" spans="1:11" x14ac:dyDescent="0.3">
      <c r="A589" s="9" t="s">
        <v>2215</v>
      </c>
      <c r="B589" s="9" t="s">
        <v>1635</v>
      </c>
      <c r="C589" s="9">
        <v>90</v>
      </c>
      <c r="D589" s="149" t="s">
        <v>1611</v>
      </c>
      <c r="E589" s="150">
        <v>45108</v>
      </c>
      <c r="F589" s="9">
        <v>129</v>
      </c>
      <c r="G589" s="9">
        <v>3.9</v>
      </c>
      <c r="H589" s="9">
        <f>IF(MONTH(Call_Table_Data[[#This Row],[Date of Call]])&lt;=6,YEAR(Call_Table_Data[[#This Row],[Date of Call]]),YEAR(Call_Table_Data[[#This Row],[Date of Call]])+1)</f>
        <v>2024</v>
      </c>
      <c r="I589" s="9" t="str">
        <f>TEXT(Call_Table_Data[[#This Row],[Date of Call]],"DDDD")</f>
        <v>Saturday</v>
      </c>
      <c r="J589" s="9" t="str" cm="1">
        <f t="array" ref="J589">_xlfn.IFS(Call_Table_Data[[#This Row],[Duration]]&lt;=10,"Under 10 Mins",Call_Table_Data[[#This Row],[Duration]]&lt;=30,"10 to 30 Mins",Call_Table_Data[[#This Row],[Duration]]&lt;=60,"30 to 60 Mins",Call_Table_Data[[#This Row],[Duration]]&lt;=120,"1 to 2 Hours",TRUE,"More Than 2 Hours")</f>
        <v>1 to 2 Hours</v>
      </c>
      <c r="K589" s="9">
        <f>ROUND(Call_Table_Data[[#This Row],[Satisfaction Rating]],0)</f>
        <v>4</v>
      </c>
    </row>
    <row r="590" spans="1:11" x14ac:dyDescent="0.3">
      <c r="A590" s="9" t="s">
        <v>2216</v>
      </c>
      <c r="B590" s="9" t="s">
        <v>1652</v>
      </c>
      <c r="C590" s="9">
        <v>88</v>
      </c>
      <c r="D590" s="149" t="s">
        <v>1626</v>
      </c>
      <c r="E590" s="150">
        <v>45108</v>
      </c>
      <c r="F590" s="9">
        <v>80</v>
      </c>
      <c r="G590" s="9">
        <v>4.2</v>
      </c>
      <c r="H590" s="9">
        <f>IF(MONTH(Call_Table_Data[[#This Row],[Date of Call]])&lt;=6,YEAR(Call_Table_Data[[#This Row],[Date of Call]]),YEAR(Call_Table_Data[[#This Row],[Date of Call]])+1)</f>
        <v>2024</v>
      </c>
      <c r="I590" s="9" t="str">
        <f>TEXT(Call_Table_Data[[#This Row],[Date of Call]],"DDDD")</f>
        <v>Saturday</v>
      </c>
      <c r="J590" s="9" t="str" cm="1">
        <f t="array" ref="J590">_xlfn.IFS(Call_Table_Data[[#This Row],[Duration]]&lt;=10,"Under 10 Mins",Call_Table_Data[[#This Row],[Duration]]&lt;=30,"10 to 30 Mins",Call_Table_Data[[#This Row],[Duration]]&lt;=60,"30 to 60 Mins",Call_Table_Data[[#This Row],[Duration]]&lt;=120,"1 to 2 Hours",TRUE,"More Than 2 Hours")</f>
        <v>1 to 2 Hours</v>
      </c>
      <c r="K590" s="9">
        <f>ROUND(Call_Table_Data[[#This Row],[Satisfaction Rating]],0)</f>
        <v>4</v>
      </c>
    </row>
    <row r="591" spans="1:11" x14ac:dyDescent="0.3">
      <c r="A591" s="9" t="s">
        <v>2217</v>
      </c>
      <c r="B591" s="9" t="s">
        <v>1618</v>
      </c>
      <c r="C591" s="9">
        <v>37</v>
      </c>
      <c r="D591" s="149" t="s">
        <v>1626</v>
      </c>
      <c r="E591" s="150">
        <v>45108</v>
      </c>
      <c r="F591" s="9">
        <v>54</v>
      </c>
      <c r="G591" s="9">
        <v>1.8</v>
      </c>
      <c r="H591" s="9">
        <f>IF(MONTH(Call_Table_Data[[#This Row],[Date of Call]])&lt;=6,YEAR(Call_Table_Data[[#This Row],[Date of Call]]),YEAR(Call_Table_Data[[#This Row],[Date of Call]])+1)</f>
        <v>2024</v>
      </c>
      <c r="I591" s="9" t="str">
        <f>TEXT(Call_Table_Data[[#This Row],[Date of Call]],"DDDD")</f>
        <v>Saturday</v>
      </c>
      <c r="J591" s="9" t="str" cm="1">
        <f t="array" ref="J591">_xlfn.IFS(Call_Table_Data[[#This Row],[Duration]]&lt;=10,"Under 10 Mins",Call_Table_Data[[#This Row],[Duration]]&lt;=30,"10 to 30 Mins",Call_Table_Data[[#This Row],[Duration]]&lt;=60,"30 to 60 Mins",Call_Table_Data[[#This Row],[Duration]]&lt;=120,"1 to 2 Hours",TRUE,"More Than 2 Hours")</f>
        <v>30 to 60 Mins</v>
      </c>
      <c r="K591" s="9">
        <f>ROUND(Call_Table_Data[[#This Row],[Satisfaction Rating]],0)</f>
        <v>2</v>
      </c>
    </row>
    <row r="592" spans="1:11" x14ac:dyDescent="0.3">
      <c r="A592" s="9" t="s">
        <v>2218</v>
      </c>
      <c r="B592" s="9" t="s">
        <v>1662</v>
      </c>
      <c r="C592" s="9">
        <v>142</v>
      </c>
      <c r="D592" s="149" t="s">
        <v>1611</v>
      </c>
      <c r="E592" s="150">
        <v>45108</v>
      </c>
      <c r="F592" s="9">
        <v>116</v>
      </c>
      <c r="G592" s="9">
        <v>4.2</v>
      </c>
      <c r="H592" s="9">
        <f>IF(MONTH(Call_Table_Data[[#This Row],[Date of Call]])&lt;=6,YEAR(Call_Table_Data[[#This Row],[Date of Call]]),YEAR(Call_Table_Data[[#This Row],[Date of Call]])+1)</f>
        <v>2024</v>
      </c>
      <c r="I592" s="9" t="str">
        <f>TEXT(Call_Table_Data[[#This Row],[Date of Call]],"DDDD")</f>
        <v>Saturday</v>
      </c>
      <c r="J592" s="9" t="str" cm="1">
        <f t="array" ref="J592">_xlfn.IFS(Call_Table_Data[[#This Row],[Duration]]&lt;=10,"Under 10 Mins",Call_Table_Data[[#This Row],[Duration]]&lt;=30,"10 to 30 Mins",Call_Table_Data[[#This Row],[Duration]]&lt;=60,"30 to 60 Mins",Call_Table_Data[[#This Row],[Duration]]&lt;=120,"1 to 2 Hours",TRUE,"More Than 2 Hours")</f>
        <v>More Than 2 Hours</v>
      </c>
      <c r="K592" s="9">
        <f>ROUND(Call_Table_Data[[#This Row],[Satisfaction Rating]],0)</f>
        <v>4</v>
      </c>
    </row>
    <row r="593" spans="1:11" x14ac:dyDescent="0.3">
      <c r="A593" s="9" t="s">
        <v>2219</v>
      </c>
      <c r="B593" s="9" t="s">
        <v>1662</v>
      </c>
      <c r="C593" s="9">
        <v>153</v>
      </c>
      <c r="D593" s="149" t="s">
        <v>1621</v>
      </c>
      <c r="E593" s="150">
        <v>45108</v>
      </c>
      <c r="F593" s="9">
        <v>102</v>
      </c>
      <c r="G593" s="9">
        <v>3.1</v>
      </c>
      <c r="H593" s="9">
        <f>IF(MONTH(Call_Table_Data[[#This Row],[Date of Call]])&lt;=6,YEAR(Call_Table_Data[[#This Row],[Date of Call]]),YEAR(Call_Table_Data[[#This Row],[Date of Call]])+1)</f>
        <v>2024</v>
      </c>
      <c r="I593" s="9" t="str">
        <f>TEXT(Call_Table_Data[[#This Row],[Date of Call]],"DDDD")</f>
        <v>Saturday</v>
      </c>
      <c r="J593" s="9" t="str" cm="1">
        <f t="array" ref="J593">_xlfn.IFS(Call_Table_Data[[#This Row],[Duration]]&lt;=10,"Under 10 Mins",Call_Table_Data[[#This Row],[Duration]]&lt;=30,"10 to 30 Mins",Call_Table_Data[[#This Row],[Duration]]&lt;=60,"30 to 60 Mins",Call_Table_Data[[#This Row],[Duration]]&lt;=120,"1 to 2 Hours",TRUE,"More Than 2 Hours")</f>
        <v>More Than 2 Hours</v>
      </c>
      <c r="K593" s="9">
        <f>ROUND(Call_Table_Data[[#This Row],[Satisfaction Rating]],0)</f>
        <v>3</v>
      </c>
    </row>
    <row r="594" spans="1:11" x14ac:dyDescent="0.3">
      <c r="A594" s="9" t="s">
        <v>2220</v>
      </c>
      <c r="B594" s="9" t="s">
        <v>1644</v>
      </c>
      <c r="C594" s="9">
        <v>128</v>
      </c>
      <c r="D594" s="149" t="s">
        <v>1616</v>
      </c>
      <c r="E594" s="150">
        <v>45108</v>
      </c>
      <c r="F594" s="9">
        <v>140</v>
      </c>
      <c r="G594" s="9">
        <v>4.3</v>
      </c>
      <c r="H594" s="9">
        <f>IF(MONTH(Call_Table_Data[[#This Row],[Date of Call]])&lt;=6,YEAR(Call_Table_Data[[#This Row],[Date of Call]]),YEAR(Call_Table_Data[[#This Row],[Date of Call]])+1)</f>
        <v>2024</v>
      </c>
      <c r="I594" s="9" t="str">
        <f>TEXT(Call_Table_Data[[#This Row],[Date of Call]],"DDDD")</f>
        <v>Saturday</v>
      </c>
      <c r="J594" s="9" t="str" cm="1">
        <f t="array" ref="J594">_xlfn.IFS(Call_Table_Data[[#This Row],[Duration]]&lt;=10,"Under 10 Mins",Call_Table_Data[[#This Row],[Duration]]&lt;=30,"10 to 30 Mins",Call_Table_Data[[#This Row],[Duration]]&lt;=60,"30 to 60 Mins",Call_Table_Data[[#This Row],[Duration]]&lt;=120,"1 to 2 Hours",TRUE,"More Than 2 Hours")</f>
        <v>More Than 2 Hours</v>
      </c>
      <c r="K594" s="9">
        <f>ROUND(Call_Table_Data[[#This Row],[Satisfaction Rating]],0)</f>
        <v>4</v>
      </c>
    </row>
    <row r="595" spans="1:11" x14ac:dyDescent="0.3">
      <c r="A595" s="9" t="s">
        <v>2221</v>
      </c>
      <c r="B595" s="9" t="s">
        <v>1633</v>
      </c>
      <c r="C595" s="9">
        <v>110</v>
      </c>
      <c r="D595" s="149" t="s">
        <v>1616</v>
      </c>
      <c r="E595" s="150">
        <v>45109</v>
      </c>
      <c r="F595" s="9">
        <v>104</v>
      </c>
      <c r="G595" s="9">
        <v>4.4000000000000004</v>
      </c>
      <c r="H595" s="9">
        <f>IF(MONTH(Call_Table_Data[[#This Row],[Date of Call]])&lt;=6,YEAR(Call_Table_Data[[#This Row],[Date of Call]]),YEAR(Call_Table_Data[[#This Row],[Date of Call]])+1)</f>
        <v>2024</v>
      </c>
      <c r="I595" s="9" t="str">
        <f>TEXT(Call_Table_Data[[#This Row],[Date of Call]],"DDDD")</f>
        <v>Sunday</v>
      </c>
      <c r="J595" s="9" t="str" cm="1">
        <f t="array" ref="J595">_xlfn.IFS(Call_Table_Data[[#This Row],[Duration]]&lt;=10,"Under 10 Mins",Call_Table_Data[[#This Row],[Duration]]&lt;=30,"10 to 30 Mins",Call_Table_Data[[#This Row],[Duration]]&lt;=60,"30 to 60 Mins",Call_Table_Data[[#This Row],[Duration]]&lt;=120,"1 to 2 Hours",TRUE,"More Than 2 Hours")</f>
        <v>1 to 2 Hours</v>
      </c>
      <c r="K595" s="9">
        <f>ROUND(Call_Table_Data[[#This Row],[Satisfaction Rating]],0)</f>
        <v>4</v>
      </c>
    </row>
    <row r="596" spans="1:11" x14ac:dyDescent="0.3">
      <c r="A596" s="9" t="s">
        <v>2222</v>
      </c>
      <c r="B596" s="9" t="s">
        <v>1644</v>
      </c>
      <c r="C596" s="9">
        <v>139</v>
      </c>
      <c r="D596" s="149" t="s">
        <v>1626</v>
      </c>
      <c r="E596" s="150">
        <v>45109</v>
      </c>
      <c r="F596" s="9">
        <v>81</v>
      </c>
      <c r="G596" s="9">
        <v>4.4000000000000004</v>
      </c>
      <c r="H596" s="9">
        <f>IF(MONTH(Call_Table_Data[[#This Row],[Date of Call]])&lt;=6,YEAR(Call_Table_Data[[#This Row],[Date of Call]]),YEAR(Call_Table_Data[[#This Row],[Date of Call]])+1)</f>
        <v>2024</v>
      </c>
      <c r="I596" s="9" t="str">
        <f>TEXT(Call_Table_Data[[#This Row],[Date of Call]],"DDDD")</f>
        <v>Sunday</v>
      </c>
      <c r="J596" s="9" t="str" cm="1">
        <f t="array" ref="J596">_xlfn.IFS(Call_Table_Data[[#This Row],[Duration]]&lt;=10,"Under 10 Mins",Call_Table_Data[[#This Row],[Duration]]&lt;=30,"10 to 30 Mins",Call_Table_Data[[#This Row],[Duration]]&lt;=60,"30 to 60 Mins",Call_Table_Data[[#This Row],[Duration]]&lt;=120,"1 to 2 Hours",TRUE,"More Than 2 Hours")</f>
        <v>More Than 2 Hours</v>
      </c>
      <c r="K596" s="9">
        <f>ROUND(Call_Table_Data[[#This Row],[Satisfaction Rating]],0)</f>
        <v>4</v>
      </c>
    </row>
    <row r="597" spans="1:11" x14ac:dyDescent="0.3">
      <c r="A597" s="9" t="s">
        <v>2223</v>
      </c>
      <c r="B597" s="9" t="s">
        <v>1629</v>
      </c>
      <c r="C597" s="9">
        <v>109</v>
      </c>
      <c r="D597" s="149" t="s">
        <v>1630</v>
      </c>
      <c r="E597" s="150">
        <v>45111</v>
      </c>
      <c r="F597" s="9">
        <v>140</v>
      </c>
      <c r="G597" s="9">
        <v>2.4</v>
      </c>
      <c r="H597" s="9">
        <f>IF(MONTH(Call_Table_Data[[#This Row],[Date of Call]])&lt;=6,YEAR(Call_Table_Data[[#This Row],[Date of Call]]),YEAR(Call_Table_Data[[#This Row],[Date of Call]])+1)</f>
        <v>2024</v>
      </c>
      <c r="I597" s="9" t="str">
        <f>TEXT(Call_Table_Data[[#This Row],[Date of Call]],"DDDD")</f>
        <v>Tuesday</v>
      </c>
      <c r="J597" s="9" t="str" cm="1">
        <f t="array" ref="J597">_xlfn.IFS(Call_Table_Data[[#This Row],[Duration]]&lt;=10,"Under 10 Mins",Call_Table_Data[[#This Row],[Duration]]&lt;=30,"10 to 30 Mins",Call_Table_Data[[#This Row],[Duration]]&lt;=60,"30 to 60 Mins",Call_Table_Data[[#This Row],[Duration]]&lt;=120,"1 to 2 Hours",TRUE,"More Than 2 Hours")</f>
        <v>1 to 2 Hours</v>
      </c>
      <c r="K597" s="9">
        <f>ROUND(Call_Table_Data[[#This Row],[Satisfaction Rating]],0)</f>
        <v>2</v>
      </c>
    </row>
    <row r="598" spans="1:11" x14ac:dyDescent="0.3">
      <c r="A598" s="9" t="s">
        <v>2224</v>
      </c>
      <c r="B598" s="9" t="s">
        <v>1613</v>
      </c>
      <c r="C598" s="9">
        <v>57</v>
      </c>
      <c r="D598" s="149" t="s">
        <v>1611</v>
      </c>
      <c r="E598" s="150">
        <v>45112</v>
      </c>
      <c r="F598" s="9">
        <v>120</v>
      </c>
      <c r="G598" s="9">
        <v>3.5</v>
      </c>
      <c r="H598" s="9">
        <f>IF(MONTH(Call_Table_Data[[#This Row],[Date of Call]])&lt;=6,YEAR(Call_Table_Data[[#This Row],[Date of Call]]),YEAR(Call_Table_Data[[#This Row],[Date of Call]])+1)</f>
        <v>2024</v>
      </c>
      <c r="I598" s="9" t="str">
        <f>TEXT(Call_Table_Data[[#This Row],[Date of Call]],"DDDD")</f>
        <v>Wednesday</v>
      </c>
      <c r="J598" s="9" t="str" cm="1">
        <f t="array" ref="J598">_xlfn.IFS(Call_Table_Data[[#This Row],[Duration]]&lt;=10,"Under 10 Mins",Call_Table_Data[[#This Row],[Duration]]&lt;=30,"10 to 30 Mins",Call_Table_Data[[#This Row],[Duration]]&lt;=60,"30 to 60 Mins",Call_Table_Data[[#This Row],[Duration]]&lt;=120,"1 to 2 Hours",TRUE,"More Than 2 Hours")</f>
        <v>30 to 60 Mins</v>
      </c>
      <c r="K598" s="9">
        <f>ROUND(Call_Table_Data[[#This Row],[Satisfaction Rating]],0)</f>
        <v>4</v>
      </c>
    </row>
    <row r="599" spans="1:11" x14ac:dyDescent="0.3">
      <c r="A599" s="9" t="s">
        <v>2225</v>
      </c>
      <c r="B599" s="9" t="s">
        <v>1629</v>
      </c>
      <c r="C599" s="9">
        <v>68</v>
      </c>
      <c r="D599" s="149" t="s">
        <v>1626</v>
      </c>
      <c r="E599" s="150">
        <v>45112</v>
      </c>
      <c r="F599" s="9">
        <v>41</v>
      </c>
      <c r="G599" s="9">
        <v>3.1</v>
      </c>
      <c r="H599" s="9">
        <f>IF(MONTH(Call_Table_Data[[#This Row],[Date of Call]])&lt;=6,YEAR(Call_Table_Data[[#This Row],[Date of Call]]),YEAR(Call_Table_Data[[#This Row],[Date of Call]])+1)</f>
        <v>2024</v>
      </c>
      <c r="I599" s="9" t="str">
        <f>TEXT(Call_Table_Data[[#This Row],[Date of Call]],"DDDD")</f>
        <v>Wednesday</v>
      </c>
      <c r="J599" s="9" t="str" cm="1">
        <f t="array" ref="J599">_xlfn.IFS(Call_Table_Data[[#This Row],[Duration]]&lt;=10,"Under 10 Mins",Call_Table_Data[[#This Row],[Duration]]&lt;=30,"10 to 30 Mins",Call_Table_Data[[#This Row],[Duration]]&lt;=60,"30 to 60 Mins",Call_Table_Data[[#This Row],[Duration]]&lt;=120,"1 to 2 Hours",TRUE,"More Than 2 Hours")</f>
        <v>1 to 2 Hours</v>
      </c>
      <c r="K599" s="9">
        <f>ROUND(Call_Table_Data[[#This Row],[Satisfaction Rating]],0)</f>
        <v>3</v>
      </c>
    </row>
    <row r="600" spans="1:11" x14ac:dyDescent="0.3">
      <c r="A600" s="9" t="s">
        <v>2226</v>
      </c>
      <c r="B600" s="9" t="s">
        <v>1620</v>
      </c>
      <c r="C600" s="9">
        <v>128</v>
      </c>
      <c r="D600" s="149" t="s">
        <v>1626</v>
      </c>
      <c r="E600" s="150">
        <v>45112</v>
      </c>
      <c r="F600" s="9">
        <v>116</v>
      </c>
      <c r="G600" s="9">
        <v>2.2999999999999998</v>
      </c>
      <c r="H600" s="9">
        <f>IF(MONTH(Call_Table_Data[[#This Row],[Date of Call]])&lt;=6,YEAR(Call_Table_Data[[#This Row],[Date of Call]]),YEAR(Call_Table_Data[[#This Row],[Date of Call]])+1)</f>
        <v>2024</v>
      </c>
      <c r="I600" s="9" t="str">
        <f>TEXT(Call_Table_Data[[#This Row],[Date of Call]],"DDDD")</f>
        <v>Wednesday</v>
      </c>
      <c r="J600" s="9" t="str" cm="1">
        <f t="array" ref="J600">_xlfn.IFS(Call_Table_Data[[#This Row],[Duration]]&lt;=10,"Under 10 Mins",Call_Table_Data[[#This Row],[Duration]]&lt;=30,"10 to 30 Mins",Call_Table_Data[[#This Row],[Duration]]&lt;=60,"30 to 60 Mins",Call_Table_Data[[#This Row],[Duration]]&lt;=120,"1 to 2 Hours",TRUE,"More Than 2 Hours")</f>
        <v>More Than 2 Hours</v>
      </c>
      <c r="K600" s="9">
        <f>ROUND(Call_Table_Data[[#This Row],[Satisfaction Rating]],0)</f>
        <v>2</v>
      </c>
    </row>
    <row r="601" spans="1:11" x14ac:dyDescent="0.3">
      <c r="A601" s="9" t="s">
        <v>2227</v>
      </c>
      <c r="B601" s="9" t="s">
        <v>1610</v>
      </c>
      <c r="C601" s="9">
        <v>102</v>
      </c>
      <c r="D601" s="149" t="s">
        <v>1611</v>
      </c>
      <c r="E601" s="150">
        <v>45113</v>
      </c>
      <c r="F601" s="9">
        <v>70</v>
      </c>
      <c r="G601" s="9">
        <v>2.8</v>
      </c>
      <c r="H601" s="9">
        <f>IF(MONTH(Call_Table_Data[[#This Row],[Date of Call]])&lt;=6,YEAR(Call_Table_Data[[#This Row],[Date of Call]]),YEAR(Call_Table_Data[[#This Row],[Date of Call]])+1)</f>
        <v>2024</v>
      </c>
      <c r="I601" s="9" t="str">
        <f>TEXT(Call_Table_Data[[#This Row],[Date of Call]],"DDDD")</f>
        <v>Thursday</v>
      </c>
      <c r="J601" s="9" t="str" cm="1">
        <f t="array" ref="J601">_xlfn.IFS(Call_Table_Data[[#This Row],[Duration]]&lt;=10,"Under 10 Mins",Call_Table_Data[[#This Row],[Duration]]&lt;=30,"10 to 30 Mins",Call_Table_Data[[#This Row],[Duration]]&lt;=60,"30 to 60 Mins",Call_Table_Data[[#This Row],[Duration]]&lt;=120,"1 to 2 Hours",TRUE,"More Than 2 Hours")</f>
        <v>1 to 2 Hours</v>
      </c>
      <c r="K601" s="9">
        <f>ROUND(Call_Table_Data[[#This Row],[Satisfaction Rating]],0)</f>
        <v>3</v>
      </c>
    </row>
    <row r="602" spans="1:11" x14ac:dyDescent="0.3">
      <c r="A602" s="9" t="s">
        <v>2228</v>
      </c>
      <c r="B602" s="9" t="s">
        <v>1644</v>
      </c>
      <c r="C602" s="9">
        <v>52</v>
      </c>
      <c r="D602" s="149" t="s">
        <v>1621</v>
      </c>
      <c r="E602" s="150">
        <v>45113</v>
      </c>
      <c r="F602" s="9">
        <v>42</v>
      </c>
      <c r="G602" s="9">
        <v>4.5</v>
      </c>
      <c r="H602" s="9">
        <f>IF(MONTH(Call_Table_Data[[#This Row],[Date of Call]])&lt;=6,YEAR(Call_Table_Data[[#This Row],[Date of Call]]),YEAR(Call_Table_Data[[#This Row],[Date of Call]])+1)</f>
        <v>2024</v>
      </c>
      <c r="I602" s="9" t="str">
        <f>TEXT(Call_Table_Data[[#This Row],[Date of Call]],"DDDD")</f>
        <v>Thursday</v>
      </c>
      <c r="J602" s="9" t="str" cm="1">
        <f t="array" ref="J602">_xlfn.IFS(Call_Table_Data[[#This Row],[Duration]]&lt;=10,"Under 10 Mins",Call_Table_Data[[#This Row],[Duration]]&lt;=30,"10 to 30 Mins",Call_Table_Data[[#This Row],[Duration]]&lt;=60,"30 to 60 Mins",Call_Table_Data[[#This Row],[Duration]]&lt;=120,"1 to 2 Hours",TRUE,"More Than 2 Hours")</f>
        <v>30 to 60 Mins</v>
      </c>
      <c r="K602" s="9">
        <f>ROUND(Call_Table_Data[[#This Row],[Satisfaction Rating]],0)</f>
        <v>5</v>
      </c>
    </row>
    <row r="603" spans="1:11" x14ac:dyDescent="0.3">
      <c r="A603" s="9" t="s">
        <v>2229</v>
      </c>
      <c r="B603" s="9" t="s">
        <v>1620</v>
      </c>
      <c r="C603" s="9">
        <v>55</v>
      </c>
      <c r="D603" s="149" t="s">
        <v>1616</v>
      </c>
      <c r="E603" s="150">
        <v>45114</v>
      </c>
      <c r="F603" s="9">
        <v>112</v>
      </c>
      <c r="G603" s="9">
        <v>4.5</v>
      </c>
      <c r="H603" s="9">
        <f>IF(MONTH(Call_Table_Data[[#This Row],[Date of Call]])&lt;=6,YEAR(Call_Table_Data[[#This Row],[Date of Call]]),YEAR(Call_Table_Data[[#This Row],[Date of Call]])+1)</f>
        <v>2024</v>
      </c>
      <c r="I603" s="9" t="str">
        <f>TEXT(Call_Table_Data[[#This Row],[Date of Call]],"DDDD")</f>
        <v>Friday</v>
      </c>
      <c r="J603" s="9" t="str" cm="1">
        <f t="array" ref="J603">_xlfn.IFS(Call_Table_Data[[#This Row],[Duration]]&lt;=10,"Under 10 Mins",Call_Table_Data[[#This Row],[Duration]]&lt;=30,"10 to 30 Mins",Call_Table_Data[[#This Row],[Duration]]&lt;=60,"30 to 60 Mins",Call_Table_Data[[#This Row],[Duration]]&lt;=120,"1 to 2 Hours",TRUE,"More Than 2 Hours")</f>
        <v>30 to 60 Mins</v>
      </c>
      <c r="K603" s="9">
        <f>ROUND(Call_Table_Data[[#This Row],[Satisfaction Rating]],0)</f>
        <v>5</v>
      </c>
    </row>
    <row r="604" spans="1:11" x14ac:dyDescent="0.3">
      <c r="A604" s="9" t="s">
        <v>2230</v>
      </c>
      <c r="B604" s="9" t="s">
        <v>1618</v>
      </c>
      <c r="C604" s="9">
        <v>107</v>
      </c>
      <c r="D604" s="149" t="s">
        <v>1626</v>
      </c>
      <c r="E604" s="150">
        <v>45114</v>
      </c>
      <c r="F604" s="9">
        <v>20</v>
      </c>
      <c r="G604" s="9">
        <v>4.5</v>
      </c>
      <c r="H604" s="9">
        <f>IF(MONTH(Call_Table_Data[[#This Row],[Date of Call]])&lt;=6,YEAR(Call_Table_Data[[#This Row],[Date of Call]]),YEAR(Call_Table_Data[[#This Row],[Date of Call]])+1)</f>
        <v>2024</v>
      </c>
      <c r="I604" s="9" t="str">
        <f>TEXT(Call_Table_Data[[#This Row],[Date of Call]],"DDDD")</f>
        <v>Friday</v>
      </c>
      <c r="J604" s="9" t="str" cm="1">
        <f t="array" ref="J604">_xlfn.IFS(Call_Table_Data[[#This Row],[Duration]]&lt;=10,"Under 10 Mins",Call_Table_Data[[#This Row],[Duration]]&lt;=30,"10 to 30 Mins",Call_Table_Data[[#This Row],[Duration]]&lt;=60,"30 to 60 Mins",Call_Table_Data[[#This Row],[Duration]]&lt;=120,"1 to 2 Hours",TRUE,"More Than 2 Hours")</f>
        <v>1 to 2 Hours</v>
      </c>
      <c r="K604" s="9">
        <f>ROUND(Call_Table_Data[[#This Row],[Satisfaction Rating]],0)</f>
        <v>5</v>
      </c>
    </row>
    <row r="605" spans="1:11" x14ac:dyDescent="0.3">
      <c r="A605" s="9" t="s">
        <v>2231</v>
      </c>
      <c r="B605" s="9" t="s">
        <v>1635</v>
      </c>
      <c r="C605" s="9">
        <v>88</v>
      </c>
      <c r="D605" s="149" t="s">
        <v>1621</v>
      </c>
      <c r="E605" s="150">
        <v>45115</v>
      </c>
      <c r="F605" s="9">
        <v>110</v>
      </c>
      <c r="G605" s="9">
        <v>4.8</v>
      </c>
      <c r="H605" s="9">
        <f>IF(MONTH(Call_Table_Data[[#This Row],[Date of Call]])&lt;=6,YEAR(Call_Table_Data[[#This Row],[Date of Call]]),YEAR(Call_Table_Data[[#This Row],[Date of Call]])+1)</f>
        <v>2024</v>
      </c>
      <c r="I605" s="9" t="str">
        <f>TEXT(Call_Table_Data[[#This Row],[Date of Call]],"DDDD")</f>
        <v>Saturday</v>
      </c>
      <c r="J605" s="9" t="str" cm="1">
        <f t="array" ref="J605">_xlfn.IFS(Call_Table_Data[[#This Row],[Duration]]&lt;=10,"Under 10 Mins",Call_Table_Data[[#This Row],[Duration]]&lt;=30,"10 to 30 Mins",Call_Table_Data[[#This Row],[Duration]]&lt;=60,"30 to 60 Mins",Call_Table_Data[[#This Row],[Duration]]&lt;=120,"1 to 2 Hours",TRUE,"More Than 2 Hours")</f>
        <v>1 to 2 Hours</v>
      </c>
      <c r="K605" s="9">
        <f>ROUND(Call_Table_Data[[#This Row],[Satisfaction Rating]],0)</f>
        <v>5</v>
      </c>
    </row>
    <row r="606" spans="1:11" x14ac:dyDescent="0.3">
      <c r="A606" s="9" t="s">
        <v>2232</v>
      </c>
      <c r="B606" s="9" t="s">
        <v>1624</v>
      </c>
      <c r="C606" s="9">
        <v>49</v>
      </c>
      <c r="D606" s="149" t="s">
        <v>1621</v>
      </c>
      <c r="E606" s="150">
        <v>45115</v>
      </c>
      <c r="F606" s="9">
        <v>39</v>
      </c>
      <c r="G606" s="9">
        <v>4.5999999999999996</v>
      </c>
      <c r="H606" s="9">
        <f>IF(MONTH(Call_Table_Data[[#This Row],[Date of Call]])&lt;=6,YEAR(Call_Table_Data[[#This Row],[Date of Call]]),YEAR(Call_Table_Data[[#This Row],[Date of Call]])+1)</f>
        <v>2024</v>
      </c>
      <c r="I606" s="9" t="str">
        <f>TEXT(Call_Table_Data[[#This Row],[Date of Call]],"DDDD")</f>
        <v>Saturday</v>
      </c>
      <c r="J606" s="9" t="str" cm="1">
        <f t="array" ref="J606">_xlfn.IFS(Call_Table_Data[[#This Row],[Duration]]&lt;=10,"Under 10 Mins",Call_Table_Data[[#This Row],[Duration]]&lt;=30,"10 to 30 Mins",Call_Table_Data[[#This Row],[Duration]]&lt;=60,"30 to 60 Mins",Call_Table_Data[[#This Row],[Duration]]&lt;=120,"1 to 2 Hours",TRUE,"More Than 2 Hours")</f>
        <v>30 to 60 Mins</v>
      </c>
      <c r="K606" s="9">
        <f>ROUND(Call_Table_Data[[#This Row],[Satisfaction Rating]],0)</f>
        <v>5</v>
      </c>
    </row>
    <row r="607" spans="1:11" x14ac:dyDescent="0.3">
      <c r="A607" s="9" t="s">
        <v>2233</v>
      </c>
      <c r="B607" s="9" t="s">
        <v>1635</v>
      </c>
      <c r="C607" s="9">
        <v>72</v>
      </c>
      <c r="D607" s="149" t="s">
        <v>1611</v>
      </c>
      <c r="E607" s="150">
        <v>45115</v>
      </c>
      <c r="F607" s="9">
        <v>76</v>
      </c>
      <c r="G607" s="9">
        <v>4.5</v>
      </c>
      <c r="H607" s="9">
        <f>IF(MONTH(Call_Table_Data[[#This Row],[Date of Call]])&lt;=6,YEAR(Call_Table_Data[[#This Row],[Date of Call]]),YEAR(Call_Table_Data[[#This Row],[Date of Call]])+1)</f>
        <v>2024</v>
      </c>
      <c r="I607" s="9" t="str">
        <f>TEXT(Call_Table_Data[[#This Row],[Date of Call]],"DDDD")</f>
        <v>Saturday</v>
      </c>
      <c r="J607" s="9" t="str" cm="1">
        <f t="array" ref="J607">_xlfn.IFS(Call_Table_Data[[#This Row],[Duration]]&lt;=10,"Under 10 Mins",Call_Table_Data[[#This Row],[Duration]]&lt;=30,"10 to 30 Mins",Call_Table_Data[[#This Row],[Duration]]&lt;=60,"30 to 60 Mins",Call_Table_Data[[#This Row],[Duration]]&lt;=120,"1 to 2 Hours",TRUE,"More Than 2 Hours")</f>
        <v>1 to 2 Hours</v>
      </c>
      <c r="K607" s="9">
        <f>ROUND(Call_Table_Data[[#This Row],[Satisfaction Rating]],0)</f>
        <v>5</v>
      </c>
    </row>
    <row r="608" spans="1:11" x14ac:dyDescent="0.3">
      <c r="A608" s="9" t="s">
        <v>2234</v>
      </c>
      <c r="B608" s="9" t="s">
        <v>1613</v>
      </c>
      <c r="C608" s="9">
        <v>50</v>
      </c>
      <c r="D608" s="149" t="s">
        <v>1611</v>
      </c>
      <c r="E608" s="150">
        <v>45115</v>
      </c>
      <c r="F608" s="9">
        <v>40</v>
      </c>
      <c r="G608" s="9">
        <v>5</v>
      </c>
      <c r="H608" s="9">
        <f>IF(MONTH(Call_Table_Data[[#This Row],[Date of Call]])&lt;=6,YEAR(Call_Table_Data[[#This Row],[Date of Call]]),YEAR(Call_Table_Data[[#This Row],[Date of Call]])+1)</f>
        <v>2024</v>
      </c>
      <c r="I608" s="9" t="str">
        <f>TEXT(Call_Table_Data[[#This Row],[Date of Call]],"DDDD")</f>
        <v>Saturday</v>
      </c>
      <c r="J608" s="9" t="str" cm="1">
        <f t="array" ref="J608">_xlfn.IFS(Call_Table_Data[[#This Row],[Duration]]&lt;=10,"Under 10 Mins",Call_Table_Data[[#This Row],[Duration]]&lt;=30,"10 to 30 Mins",Call_Table_Data[[#This Row],[Duration]]&lt;=60,"30 to 60 Mins",Call_Table_Data[[#This Row],[Duration]]&lt;=120,"1 to 2 Hours",TRUE,"More Than 2 Hours")</f>
        <v>30 to 60 Mins</v>
      </c>
      <c r="K608" s="9">
        <f>ROUND(Call_Table_Data[[#This Row],[Satisfaction Rating]],0)</f>
        <v>5</v>
      </c>
    </row>
    <row r="609" spans="1:11" x14ac:dyDescent="0.3">
      <c r="A609" s="9" t="s">
        <v>2235</v>
      </c>
      <c r="B609" s="9" t="s">
        <v>1635</v>
      </c>
      <c r="C609" s="9">
        <v>52</v>
      </c>
      <c r="D609" s="149" t="s">
        <v>1626</v>
      </c>
      <c r="E609" s="150">
        <v>45115</v>
      </c>
      <c r="F609" s="9">
        <v>42</v>
      </c>
      <c r="G609" s="9">
        <v>4.8</v>
      </c>
      <c r="H609" s="9">
        <f>IF(MONTH(Call_Table_Data[[#This Row],[Date of Call]])&lt;=6,YEAR(Call_Table_Data[[#This Row],[Date of Call]]),YEAR(Call_Table_Data[[#This Row],[Date of Call]])+1)</f>
        <v>2024</v>
      </c>
      <c r="I609" s="9" t="str">
        <f>TEXT(Call_Table_Data[[#This Row],[Date of Call]],"DDDD")</f>
        <v>Saturday</v>
      </c>
      <c r="J609" s="9" t="str" cm="1">
        <f t="array" ref="J609">_xlfn.IFS(Call_Table_Data[[#This Row],[Duration]]&lt;=10,"Under 10 Mins",Call_Table_Data[[#This Row],[Duration]]&lt;=30,"10 to 30 Mins",Call_Table_Data[[#This Row],[Duration]]&lt;=60,"30 to 60 Mins",Call_Table_Data[[#This Row],[Duration]]&lt;=120,"1 to 2 Hours",TRUE,"More Than 2 Hours")</f>
        <v>30 to 60 Mins</v>
      </c>
      <c r="K609" s="9">
        <f>ROUND(Call_Table_Data[[#This Row],[Satisfaction Rating]],0)</f>
        <v>5</v>
      </c>
    </row>
    <row r="610" spans="1:11" x14ac:dyDescent="0.3">
      <c r="A610" s="9" t="s">
        <v>2236</v>
      </c>
      <c r="B610" s="9" t="s">
        <v>1615</v>
      </c>
      <c r="C610" s="9">
        <v>85</v>
      </c>
      <c r="D610" s="149" t="s">
        <v>1630</v>
      </c>
      <c r="E610" s="150">
        <v>45116</v>
      </c>
      <c r="F610" s="9">
        <v>215</v>
      </c>
      <c r="G610" s="9">
        <v>3.5</v>
      </c>
      <c r="H610" s="9">
        <f>IF(MONTH(Call_Table_Data[[#This Row],[Date of Call]])&lt;=6,YEAR(Call_Table_Data[[#This Row],[Date of Call]]),YEAR(Call_Table_Data[[#This Row],[Date of Call]])+1)</f>
        <v>2024</v>
      </c>
      <c r="I610" s="9" t="str">
        <f>TEXT(Call_Table_Data[[#This Row],[Date of Call]],"DDDD")</f>
        <v>Sunday</v>
      </c>
      <c r="J610" s="9" t="str" cm="1">
        <f t="array" ref="J610">_xlfn.IFS(Call_Table_Data[[#This Row],[Duration]]&lt;=10,"Under 10 Mins",Call_Table_Data[[#This Row],[Duration]]&lt;=30,"10 to 30 Mins",Call_Table_Data[[#This Row],[Duration]]&lt;=60,"30 to 60 Mins",Call_Table_Data[[#This Row],[Duration]]&lt;=120,"1 to 2 Hours",TRUE,"More Than 2 Hours")</f>
        <v>1 to 2 Hours</v>
      </c>
      <c r="K610" s="9">
        <f>ROUND(Call_Table_Data[[#This Row],[Satisfaction Rating]],0)</f>
        <v>4</v>
      </c>
    </row>
    <row r="611" spans="1:11" x14ac:dyDescent="0.3">
      <c r="A611" s="9" t="s">
        <v>2237</v>
      </c>
      <c r="B611" s="9" t="s">
        <v>1641</v>
      </c>
      <c r="C611" s="9">
        <v>98</v>
      </c>
      <c r="D611" s="149" t="s">
        <v>1630</v>
      </c>
      <c r="E611" s="150">
        <v>45117</v>
      </c>
      <c r="F611" s="9">
        <v>130</v>
      </c>
      <c r="G611" s="9">
        <v>3.4</v>
      </c>
      <c r="H611" s="9">
        <f>IF(MONTH(Call_Table_Data[[#This Row],[Date of Call]])&lt;=6,YEAR(Call_Table_Data[[#This Row],[Date of Call]]),YEAR(Call_Table_Data[[#This Row],[Date of Call]])+1)</f>
        <v>2024</v>
      </c>
      <c r="I611" s="9" t="str">
        <f>TEXT(Call_Table_Data[[#This Row],[Date of Call]],"DDDD")</f>
        <v>Monday</v>
      </c>
      <c r="J611" s="9" t="str" cm="1">
        <f t="array" ref="J611">_xlfn.IFS(Call_Table_Data[[#This Row],[Duration]]&lt;=10,"Under 10 Mins",Call_Table_Data[[#This Row],[Duration]]&lt;=30,"10 to 30 Mins",Call_Table_Data[[#This Row],[Duration]]&lt;=60,"30 to 60 Mins",Call_Table_Data[[#This Row],[Duration]]&lt;=120,"1 to 2 Hours",TRUE,"More Than 2 Hours")</f>
        <v>1 to 2 Hours</v>
      </c>
      <c r="K611" s="9">
        <f>ROUND(Call_Table_Data[[#This Row],[Satisfaction Rating]],0)</f>
        <v>3</v>
      </c>
    </row>
    <row r="612" spans="1:11" x14ac:dyDescent="0.3">
      <c r="A612" s="9" t="s">
        <v>2238</v>
      </c>
      <c r="B612" s="9" t="s">
        <v>1649</v>
      </c>
      <c r="C612" s="9">
        <v>52</v>
      </c>
      <c r="D612" s="149" t="s">
        <v>1630</v>
      </c>
      <c r="E612" s="150">
        <v>45117</v>
      </c>
      <c r="F612" s="9">
        <v>190</v>
      </c>
      <c r="G612" s="9">
        <v>3.3</v>
      </c>
      <c r="H612" s="9">
        <f>IF(MONTH(Call_Table_Data[[#This Row],[Date of Call]])&lt;=6,YEAR(Call_Table_Data[[#This Row],[Date of Call]]),YEAR(Call_Table_Data[[#This Row],[Date of Call]])+1)</f>
        <v>2024</v>
      </c>
      <c r="I612" s="9" t="str">
        <f>TEXT(Call_Table_Data[[#This Row],[Date of Call]],"DDDD")</f>
        <v>Monday</v>
      </c>
      <c r="J612" s="9" t="str" cm="1">
        <f t="array" ref="J612">_xlfn.IFS(Call_Table_Data[[#This Row],[Duration]]&lt;=10,"Under 10 Mins",Call_Table_Data[[#This Row],[Duration]]&lt;=30,"10 to 30 Mins",Call_Table_Data[[#This Row],[Duration]]&lt;=60,"30 to 60 Mins",Call_Table_Data[[#This Row],[Duration]]&lt;=120,"1 to 2 Hours",TRUE,"More Than 2 Hours")</f>
        <v>30 to 60 Mins</v>
      </c>
      <c r="K612" s="9">
        <f>ROUND(Call_Table_Data[[#This Row],[Satisfaction Rating]],0)</f>
        <v>3</v>
      </c>
    </row>
    <row r="613" spans="1:11" x14ac:dyDescent="0.3">
      <c r="A613" s="9" t="s">
        <v>2239</v>
      </c>
      <c r="B613" s="9" t="s">
        <v>1620</v>
      </c>
      <c r="C613" s="9">
        <v>154</v>
      </c>
      <c r="D613" s="149" t="s">
        <v>1621</v>
      </c>
      <c r="E613" s="150">
        <v>45117</v>
      </c>
      <c r="F613" s="9">
        <v>164</v>
      </c>
      <c r="G613" s="9">
        <v>4.9000000000000004</v>
      </c>
      <c r="H613" s="9">
        <f>IF(MONTH(Call_Table_Data[[#This Row],[Date of Call]])&lt;=6,YEAR(Call_Table_Data[[#This Row],[Date of Call]]),YEAR(Call_Table_Data[[#This Row],[Date of Call]])+1)</f>
        <v>2024</v>
      </c>
      <c r="I613" s="9" t="str">
        <f>TEXT(Call_Table_Data[[#This Row],[Date of Call]],"DDDD")</f>
        <v>Monday</v>
      </c>
      <c r="J613" s="9" t="str" cm="1">
        <f t="array" ref="J613">_xlfn.IFS(Call_Table_Data[[#This Row],[Duration]]&lt;=10,"Under 10 Mins",Call_Table_Data[[#This Row],[Duration]]&lt;=30,"10 to 30 Mins",Call_Table_Data[[#This Row],[Duration]]&lt;=60,"30 to 60 Mins",Call_Table_Data[[#This Row],[Duration]]&lt;=120,"1 to 2 Hours",TRUE,"More Than 2 Hours")</f>
        <v>More Than 2 Hours</v>
      </c>
      <c r="K613" s="9">
        <f>ROUND(Call_Table_Data[[#This Row],[Satisfaction Rating]],0)</f>
        <v>5</v>
      </c>
    </row>
    <row r="614" spans="1:11" x14ac:dyDescent="0.3">
      <c r="A614" s="9" t="s">
        <v>2240</v>
      </c>
      <c r="B614" s="9" t="s">
        <v>1682</v>
      </c>
      <c r="C614" s="9">
        <v>131</v>
      </c>
      <c r="D614" s="149" t="s">
        <v>1616</v>
      </c>
      <c r="E614" s="150">
        <v>45118</v>
      </c>
      <c r="F614" s="9">
        <v>76</v>
      </c>
      <c r="G614" s="9">
        <v>4.5</v>
      </c>
      <c r="H614" s="9">
        <f>IF(MONTH(Call_Table_Data[[#This Row],[Date of Call]])&lt;=6,YEAR(Call_Table_Data[[#This Row],[Date of Call]]),YEAR(Call_Table_Data[[#This Row],[Date of Call]])+1)</f>
        <v>2024</v>
      </c>
      <c r="I614" s="9" t="str">
        <f>TEXT(Call_Table_Data[[#This Row],[Date of Call]],"DDDD")</f>
        <v>Tuesday</v>
      </c>
      <c r="J614" s="9" t="str" cm="1">
        <f t="array" ref="J614">_xlfn.IFS(Call_Table_Data[[#This Row],[Duration]]&lt;=10,"Under 10 Mins",Call_Table_Data[[#This Row],[Duration]]&lt;=30,"10 to 30 Mins",Call_Table_Data[[#This Row],[Duration]]&lt;=60,"30 to 60 Mins",Call_Table_Data[[#This Row],[Duration]]&lt;=120,"1 to 2 Hours",TRUE,"More Than 2 Hours")</f>
        <v>More Than 2 Hours</v>
      </c>
      <c r="K614" s="9">
        <f>ROUND(Call_Table_Data[[#This Row],[Satisfaction Rating]],0)</f>
        <v>5</v>
      </c>
    </row>
    <row r="615" spans="1:11" x14ac:dyDescent="0.3">
      <c r="A615" s="9" t="s">
        <v>2241</v>
      </c>
      <c r="B615" s="9" t="s">
        <v>1615</v>
      </c>
      <c r="C615" s="9">
        <v>73</v>
      </c>
      <c r="D615" s="149" t="s">
        <v>1616</v>
      </c>
      <c r="E615" s="150">
        <v>45119</v>
      </c>
      <c r="F615" s="9">
        <v>87</v>
      </c>
      <c r="G615" s="9">
        <v>4.8</v>
      </c>
      <c r="H615" s="9">
        <f>IF(MONTH(Call_Table_Data[[#This Row],[Date of Call]])&lt;=6,YEAR(Call_Table_Data[[#This Row],[Date of Call]]),YEAR(Call_Table_Data[[#This Row],[Date of Call]])+1)</f>
        <v>2024</v>
      </c>
      <c r="I615" s="9" t="str">
        <f>TEXT(Call_Table_Data[[#This Row],[Date of Call]],"DDDD")</f>
        <v>Wednesday</v>
      </c>
      <c r="J615" s="9" t="str" cm="1">
        <f t="array" ref="J615">_xlfn.IFS(Call_Table_Data[[#This Row],[Duration]]&lt;=10,"Under 10 Mins",Call_Table_Data[[#This Row],[Duration]]&lt;=30,"10 to 30 Mins",Call_Table_Data[[#This Row],[Duration]]&lt;=60,"30 to 60 Mins",Call_Table_Data[[#This Row],[Duration]]&lt;=120,"1 to 2 Hours",TRUE,"More Than 2 Hours")</f>
        <v>1 to 2 Hours</v>
      </c>
      <c r="K615" s="9">
        <f>ROUND(Call_Table_Data[[#This Row],[Satisfaction Rating]],0)</f>
        <v>5</v>
      </c>
    </row>
    <row r="616" spans="1:11" x14ac:dyDescent="0.3">
      <c r="A616" s="9" t="s">
        <v>2242</v>
      </c>
      <c r="B616" s="9" t="s">
        <v>1633</v>
      </c>
      <c r="C616" s="9">
        <v>45</v>
      </c>
      <c r="D616" s="149" t="s">
        <v>1630</v>
      </c>
      <c r="E616" s="150">
        <v>45119</v>
      </c>
      <c r="F616" s="9">
        <v>84</v>
      </c>
      <c r="G616" s="9">
        <v>4.8</v>
      </c>
      <c r="H616" s="9">
        <f>IF(MONTH(Call_Table_Data[[#This Row],[Date of Call]])&lt;=6,YEAR(Call_Table_Data[[#This Row],[Date of Call]]),YEAR(Call_Table_Data[[#This Row],[Date of Call]])+1)</f>
        <v>2024</v>
      </c>
      <c r="I616" s="9" t="str">
        <f>TEXT(Call_Table_Data[[#This Row],[Date of Call]],"DDDD")</f>
        <v>Wednesday</v>
      </c>
      <c r="J616" s="9" t="str" cm="1">
        <f t="array" ref="J616">_xlfn.IFS(Call_Table_Data[[#This Row],[Duration]]&lt;=10,"Under 10 Mins",Call_Table_Data[[#This Row],[Duration]]&lt;=30,"10 to 30 Mins",Call_Table_Data[[#This Row],[Duration]]&lt;=60,"30 to 60 Mins",Call_Table_Data[[#This Row],[Duration]]&lt;=120,"1 to 2 Hours",TRUE,"More Than 2 Hours")</f>
        <v>30 to 60 Mins</v>
      </c>
      <c r="K616" s="9">
        <f>ROUND(Call_Table_Data[[#This Row],[Satisfaction Rating]],0)</f>
        <v>5</v>
      </c>
    </row>
    <row r="617" spans="1:11" x14ac:dyDescent="0.3">
      <c r="A617" s="9" t="s">
        <v>2243</v>
      </c>
      <c r="B617" s="9" t="s">
        <v>1644</v>
      </c>
      <c r="C617" s="9">
        <v>114</v>
      </c>
      <c r="D617" s="149" t="s">
        <v>1626</v>
      </c>
      <c r="E617" s="150">
        <v>45119</v>
      </c>
      <c r="F617" s="9">
        <v>114</v>
      </c>
      <c r="G617" s="9">
        <v>3.9</v>
      </c>
      <c r="H617" s="9">
        <f>IF(MONTH(Call_Table_Data[[#This Row],[Date of Call]])&lt;=6,YEAR(Call_Table_Data[[#This Row],[Date of Call]]),YEAR(Call_Table_Data[[#This Row],[Date of Call]])+1)</f>
        <v>2024</v>
      </c>
      <c r="I617" s="9" t="str">
        <f>TEXT(Call_Table_Data[[#This Row],[Date of Call]],"DDDD")</f>
        <v>Wednesday</v>
      </c>
      <c r="J617" s="9" t="str" cm="1">
        <f t="array" ref="J617">_xlfn.IFS(Call_Table_Data[[#This Row],[Duration]]&lt;=10,"Under 10 Mins",Call_Table_Data[[#This Row],[Duration]]&lt;=30,"10 to 30 Mins",Call_Table_Data[[#This Row],[Duration]]&lt;=60,"30 to 60 Mins",Call_Table_Data[[#This Row],[Duration]]&lt;=120,"1 to 2 Hours",TRUE,"More Than 2 Hours")</f>
        <v>1 to 2 Hours</v>
      </c>
      <c r="K617" s="9">
        <f>ROUND(Call_Table_Data[[#This Row],[Satisfaction Rating]],0)</f>
        <v>4</v>
      </c>
    </row>
    <row r="618" spans="1:11" x14ac:dyDescent="0.3">
      <c r="A618" s="9" t="s">
        <v>2244</v>
      </c>
      <c r="B618" s="9" t="s">
        <v>1641</v>
      </c>
      <c r="C618" s="9">
        <v>69</v>
      </c>
      <c r="D618" s="149" t="s">
        <v>1616</v>
      </c>
      <c r="E618" s="150">
        <v>45120</v>
      </c>
      <c r="F618" s="9">
        <v>56</v>
      </c>
      <c r="G618" s="9">
        <v>3.9</v>
      </c>
      <c r="H618" s="9">
        <f>IF(MONTH(Call_Table_Data[[#This Row],[Date of Call]])&lt;=6,YEAR(Call_Table_Data[[#This Row],[Date of Call]]),YEAR(Call_Table_Data[[#This Row],[Date of Call]])+1)</f>
        <v>2024</v>
      </c>
      <c r="I618" s="9" t="str">
        <f>TEXT(Call_Table_Data[[#This Row],[Date of Call]],"DDDD")</f>
        <v>Thursday</v>
      </c>
      <c r="J618" s="9" t="str" cm="1">
        <f t="array" ref="J618">_xlfn.IFS(Call_Table_Data[[#This Row],[Duration]]&lt;=10,"Under 10 Mins",Call_Table_Data[[#This Row],[Duration]]&lt;=30,"10 to 30 Mins",Call_Table_Data[[#This Row],[Duration]]&lt;=60,"30 to 60 Mins",Call_Table_Data[[#This Row],[Duration]]&lt;=120,"1 to 2 Hours",TRUE,"More Than 2 Hours")</f>
        <v>1 to 2 Hours</v>
      </c>
      <c r="K618" s="9">
        <f>ROUND(Call_Table_Data[[#This Row],[Satisfaction Rating]],0)</f>
        <v>4</v>
      </c>
    </row>
    <row r="619" spans="1:11" x14ac:dyDescent="0.3">
      <c r="A619" s="9" t="s">
        <v>2245</v>
      </c>
      <c r="B619" s="9" t="s">
        <v>1682</v>
      </c>
      <c r="C619" s="9">
        <v>33</v>
      </c>
      <c r="D619" s="149" t="s">
        <v>1621</v>
      </c>
      <c r="E619" s="150">
        <v>45120</v>
      </c>
      <c r="F619" s="9">
        <v>27</v>
      </c>
      <c r="G619" s="9">
        <v>3.7</v>
      </c>
      <c r="H619" s="9">
        <f>IF(MONTH(Call_Table_Data[[#This Row],[Date of Call]])&lt;=6,YEAR(Call_Table_Data[[#This Row],[Date of Call]]),YEAR(Call_Table_Data[[#This Row],[Date of Call]])+1)</f>
        <v>2024</v>
      </c>
      <c r="I619" s="9" t="str">
        <f>TEXT(Call_Table_Data[[#This Row],[Date of Call]],"DDDD")</f>
        <v>Thursday</v>
      </c>
      <c r="J619" s="9" t="str" cm="1">
        <f t="array" ref="J619">_xlfn.IFS(Call_Table_Data[[#This Row],[Duration]]&lt;=10,"Under 10 Mins",Call_Table_Data[[#This Row],[Duration]]&lt;=30,"10 to 30 Mins",Call_Table_Data[[#This Row],[Duration]]&lt;=60,"30 to 60 Mins",Call_Table_Data[[#This Row],[Duration]]&lt;=120,"1 to 2 Hours",TRUE,"More Than 2 Hours")</f>
        <v>30 to 60 Mins</v>
      </c>
      <c r="K619" s="9">
        <f>ROUND(Call_Table_Data[[#This Row],[Satisfaction Rating]],0)</f>
        <v>4</v>
      </c>
    </row>
    <row r="620" spans="1:11" x14ac:dyDescent="0.3">
      <c r="A620" s="9" t="s">
        <v>2246</v>
      </c>
      <c r="B620" s="9" t="s">
        <v>1613</v>
      </c>
      <c r="C620" s="9">
        <v>31</v>
      </c>
      <c r="D620" s="149" t="s">
        <v>1611</v>
      </c>
      <c r="E620" s="150">
        <v>45121</v>
      </c>
      <c r="F620" s="9">
        <v>84</v>
      </c>
      <c r="G620" s="9">
        <v>4.8</v>
      </c>
      <c r="H620" s="9">
        <f>IF(MONTH(Call_Table_Data[[#This Row],[Date of Call]])&lt;=6,YEAR(Call_Table_Data[[#This Row],[Date of Call]]),YEAR(Call_Table_Data[[#This Row],[Date of Call]])+1)</f>
        <v>2024</v>
      </c>
      <c r="I620" s="9" t="str">
        <f>TEXT(Call_Table_Data[[#This Row],[Date of Call]],"DDDD")</f>
        <v>Friday</v>
      </c>
      <c r="J620" s="9" t="str" cm="1">
        <f t="array" ref="J620">_xlfn.IFS(Call_Table_Data[[#This Row],[Duration]]&lt;=10,"Under 10 Mins",Call_Table_Data[[#This Row],[Duration]]&lt;=30,"10 to 30 Mins",Call_Table_Data[[#This Row],[Duration]]&lt;=60,"30 to 60 Mins",Call_Table_Data[[#This Row],[Duration]]&lt;=120,"1 to 2 Hours",TRUE,"More Than 2 Hours")</f>
        <v>30 to 60 Mins</v>
      </c>
      <c r="K620" s="9">
        <f>ROUND(Call_Table_Data[[#This Row],[Satisfaction Rating]],0)</f>
        <v>5</v>
      </c>
    </row>
    <row r="621" spans="1:11" x14ac:dyDescent="0.3">
      <c r="A621" s="9" t="s">
        <v>2247</v>
      </c>
      <c r="B621" s="9" t="s">
        <v>1633</v>
      </c>
      <c r="C621" s="9">
        <v>168</v>
      </c>
      <c r="D621" s="149" t="s">
        <v>1621</v>
      </c>
      <c r="E621" s="150">
        <v>45121</v>
      </c>
      <c r="F621" s="9">
        <v>72</v>
      </c>
      <c r="G621" s="9">
        <v>3.5</v>
      </c>
      <c r="H621" s="9">
        <f>IF(MONTH(Call_Table_Data[[#This Row],[Date of Call]])&lt;=6,YEAR(Call_Table_Data[[#This Row],[Date of Call]]),YEAR(Call_Table_Data[[#This Row],[Date of Call]])+1)</f>
        <v>2024</v>
      </c>
      <c r="I621" s="9" t="str">
        <f>TEXT(Call_Table_Data[[#This Row],[Date of Call]],"DDDD")</f>
        <v>Friday</v>
      </c>
      <c r="J621" s="9" t="str" cm="1">
        <f t="array" ref="J621">_xlfn.IFS(Call_Table_Data[[#This Row],[Duration]]&lt;=10,"Under 10 Mins",Call_Table_Data[[#This Row],[Duration]]&lt;=30,"10 to 30 Mins",Call_Table_Data[[#This Row],[Duration]]&lt;=60,"30 to 60 Mins",Call_Table_Data[[#This Row],[Duration]]&lt;=120,"1 to 2 Hours",TRUE,"More Than 2 Hours")</f>
        <v>More Than 2 Hours</v>
      </c>
      <c r="K621" s="9">
        <f>ROUND(Call_Table_Data[[#This Row],[Satisfaction Rating]],0)</f>
        <v>4</v>
      </c>
    </row>
    <row r="622" spans="1:11" x14ac:dyDescent="0.3">
      <c r="A622" s="9" t="s">
        <v>2248</v>
      </c>
      <c r="B622" s="9" t="s">
        <v>1615</v>
      </c>
      <c r="C622" s="9">
        <v>111</v>
      </c>
      <c r="D622" s="149" t="s">
        <v>1626</v>
      </c>
      <c r="E622" s="150">
        <v>45122</v>
      </c>
      <c r="F622" s="9">
        <v>126</v>
      </c>
      <c r="G622" s="9">
        <v>4.2</v>
      </c>
      <c r="H622" s="9">
        <f>IF(MONTH(Call_Table_Data[[#This Row],[Date of Call]])&lt;=6,YEAR(Call_Table_Data[[#This Row],[Date of Call]]),YEAR(Call_Table_Data[[#This Row],[Date of Call]])+1)</f>
        <v>2024</v>
      </c>
      <c r="I622" s="9" t="str">
        <f>TEXT(Call_Table_Data[[#This Row],[Date of Call]],"DDDD")</f>
        <v>Saturday</v>
      </c>
      <c r="J622" s="9" t="str" cm="1">
        <f t="array" ref="J622">_xlfn.IFS(Call_Table_Data[[#This Row],[Duration]]&lt;=10,"Under 10 Mins",Call_Table_Data[[#This Row],[Duration]]&lt;=30,"10 to 30 Mins",Call_Table_Data[[#This Row],[Duration]]&lt;=60,"30 to 60 Mins",Call_Table_Data[[#This Row],[Duration]]&lt;=120,"1 to 2 Hours",TRUE,"More Than 2 Hours")</f>
        <v>1 to 2 Hours</v>
      </c>
      <c r="K622" s="9">
        <f>ROUND(Call_Table_Data[[#This Row],[Satisfaction Rating]],0)</f>
        <v>4</v>
      </c>
    </row>
    <row r="623" spans="1:11" x14ac:dyDescent="0.3">
      <c r="A623" s="9" t="s">
        <v>2249</v>
      </c>
      <c r="B623" s="9" t="s">
        <v>1613</v>
      </c>
      <c r="C623" s="9">
        <v>80</v>
      </c>
      <c r="D623" s="149" t="s">
        <v>1621</v>
      </c>
      <c r="E623" s="150">
        <v>45123</v>
      </c>
      <c r="F623" s="9">
        <v>88</v>
      </c>
      <c r="G623" s="9">
        <v>4.9000000000000004</v>
      </c>
      <c r="H623" s="9">
        <f>IF(MONTH(Call_Table_Data[[#This Row],[Date of Call]])&lt;=6,YEAR(Call_Table_Data[[#This Row],[Date of Call]]),YEAR(Call_Table_Data[[#This Row],[Date of Call]])+1)</f>
        <v>2024</v>
      </c>
      <c r="I623" s="9" t="str">
        <f>TEXT(Call_Table_Data[[#This Row],[Date of Call]],"DDDD")</f>
        <v>Sunday</v>
      </c>
      <c r="J623" s="9" t="str" cm="1">
        <f t="array" ref="J623">_xlfn.IFS(Call_Table_Data[[#This Row],[Duration]]&lt;=10,"Under 10 Mins",Call_Table_Data[[#This Row],[Duration]]&lt;=30,"10 to 30 Mins",Call_Table_Data[[#This Row],[Duration]]&lt;=60,"30 to 60 Mins",Call_Table_Data[[#This Row],[Duration]]&lt;=120,"1 to 2 Hours",TRUE,"More Than 2 Hours")</f>
        <v>1 to 2 Hours</v>
      </c>
      <c r="K623" s="9">
        <f>ROUND(Call_Table_Data[[#This Row],[Satisfaction Rating]],0)</f>
        <v>5</v>
      </c>
    </row>
    <row r="624" spans="1:11" x14ac:dyDescent="0.3">
      <c r="A624" s="9" t="s">
        <v>2250</v>
      </c>
      <c r="B624" s="9" t="s">
        <v>1610</v>
      </c>
      <c r="C624" s="9">
        <v>37</v>
      </c>
      <c r="D624" s="149" t="s">
        <v>1621</v>
      </c>
      <c r="E624" s="150">
        <v>45123</v>
      </c>
      <c r="F624" s="9">
        <v>124</v>
      </c>
      <c r="G624" s="9">
        <v>4.5999999999999996</v>
      </c>
      <c r="H624" s="9">
        <f>IF(MONTH(Call_Table_Data[[#This Row],[Date of Call]])&lt;=6,YEAR(Call_Table_Data[[#This Row],[Date of Call]]),YEAR(Call_Table_Data[[#This Row],[Date of Call]])+1)</f>
        <v>2024</v>
      </c>
      <c r="I624" s="9" t="str">
        <f>TEXT(Call_Table_Data[[#This Row],[Date of Call]],"DDDD")</f>
        <v>Sunday</v>
      </c>
      <c r="J624" s="9" t="str" cm="1">
        <f t="array" ref="J624">_xlfn.IFS(Call_Table_Data[[#This Row],[Duration]]&lt;=10,"Under 10 Mins",Call_Table_Data[[#This Row],[Duration]]&lt;=30,"10 to 30 Mins",Call_Table_Data[[#This Row],[Duration]]&lt;=60,"30 to 60 Mins",Call_Table_Data[[#This Row],[Duration]]&lt;=120,"1 to 2 Hours",TRUE,"More Than 2 Hours")</f>
        <v>30 to 60 Mins</v>
      </c>
      <c r="K624" s="9">
        <f>ROUND(Call_Table_Data[[#This Row],[Satisfaction Rating]],0)</f>
        <v>5</v>
      </c>
    </row>
    <row r="625" spans="1:11" x14ac:dyDescent="0.3">
      <c r="A625" s="9" t="s">
        <v>2251</v>
      </c>
      <c r="B625" s="9" t="s">
        <v>1662</v>
      </c>
      <c r="C625" s="9">
        <v>137</v>
      </c>
      <c r="D625" s="149" t="s">
        <v>1621</v>
      </c>
      <c r="E625" s="150">
        <v>45124</v>
      </c>
      <c r="F625" s="9">
        <v>84</v>
      </c>
      <c r="G625" s="9">
        <v>2.6</v>
      </c>
      <c r="H625" s="9">
        <f>IF(MONTH(Call_Table_Data[[#This Row],[Date of Call]])&lt;=6,YEAR(Call_Table_Data[[#This Row],[Date of Call]]),YEAR(Call_Table_Data[[#This Row],[Date of Call]])+1)</f>
        <v>2024</v>
      </c>
      <c r="I625" s="9" t="str">
        <f>TEXT(Call_Table_Data[[#This Row],[Date of Call]],"DDDD")</f>
        <v>Monday</v>
      </c>
      <c r="J625" s="9" t="str" cm="1">
        <f t="array" ref="J625">_xlfn.IFS(Call_Table_Data[[#This Row],[Duration]]&lt;=10,"Under 10 Mins",Call_Table_Data[[#This Row],[Duration]]&lt;=30,"10 to 30 Mins",Call_Table_Data[[#This Row],[Duration]]&lt;=60,"30 to 60 Mins",Call_Table_Data[[#This Row],[Duration]]&lt;=120,"1 to 2 Hours",TRUE,"More Than 2 Hours")</f>
        <v>More Than 2 Hours</v>
      </c>
      <c r="K625" s="9">
        <f>ROUND(Call_Table_Data[[#This Row],[Satisfaction Rating]],0)</f>
        <v>3</v>
      </c>
    </row>
    <row r="626" spans="1:11" x14ac:dyDescent="0.3">
      <c r="A626" s="9" t="s">
        <v>2252</v>
      </c>
      <c r="B626" s="9" t="s">
        <v>1641</v>
      </c>
      <c r="C626" s="9">
        <v>123</v>
      </c>
      <c r="D626" s="149" t="s">
        <v>1626</v>
      </c>
      <c r="E626" s="150">
        <v>45124</v>
      </c>
      <c r="F626" s="9">
        <v>80</v>
      </c>
      <c r="G626" s="9">
        <v>2.7</v>
      </c>
      <c r="H626" s="9">
        <f>IF(MONTH(Call_Table_Data[[#This Row],[Date of Call]])&lt;=6,YEAR(Call_Table_Data[[#This Row],[Date of Call]]),YEAR(Call_Table_Data[[#This Row],[Date of Call]])+1)</f>
        <v>2024</v>
      </c>
      <c r="I626" s="9" t="str">
        <f>TEXT(Call_Table_Data[[#This Row],[Date of Call]],"DDDD")</f>
        <v>Monday</v>
      </c>
      <c r="J626" s="9" t="str" cm="1">
        <f t="array" ref="J626">_xlfn.IFS(Call_Table_Data[[#This Row],[Duration]]&lt;=10,"Under 10 Mins",Call_Table_Data[[#This Row],[Duration]]&lt;=30,"10 to 30 Mins",Call_Table_Data[[#This Row],[Duration]]&lt;=60,"30 to 60 Mins",Call_Table_Data[[#This Row],[Duration]]&lt;=120,"1 to 2 Hours",TRUE,"More Than 2 Hours")</f>
        <v>More Than 2 Hours</v>
      </c>
      <c r="K626" s="9">
        <f>ROUND(Call_Table_Data[[#This Row],[Satisfaction Rating]],0)</f>
        <v>3</v>
      </c>
    </row>
    <row r="627" spans="1:11" x14ac:dyDescent="0.3">
      <c r="A627" s="9" t="s">
        <v>2253</v>
      </c>
      <c r="B627" s="9" t="s">
        <v>1652</v>
      </c>
      <c r="C627" s="9">
        <v>105</v>
      </c>
      <c r="D627" s="149" t="s">
        <v>1626</v>
      </c>
      <c r="E627" s="150">
        <v>45125</v>
      </c>
      <c r="F627" s="9">
        <v>176</v>
      </c>
      <c r="G627" s="9">
        <v>4.7</v>
      </c>
      <c r="H627" s="9">
        <f>IF(MONTH(Call_Table_Data[[#This Row],[Date of Call]])&lt;=6,YEAR(Call_Table_Data[[#This Row],[Date of Call]]),YEAR(Call_Table_Data[[#This Row],[Date of Call]])+1)</f>
        <v>2024</v>
      </c>
      <c r="I627" s="9" t="str">
        <f>TEXT(Call_Table_Data[[#This Row],[Date of Call]],"DDDD")</f>
        <v>Tuesday</v>
      </c>
      <c r="J627" s="9" t="str" cm="1">
        <f t="array" ref="J627">_xlfn.IFS(Call_Table_Data[[#This Row],[Duration]]&lt;=10,"Under 10 Mins",Call_Table_Data[[#This Row],[Duration]]&lt;=30,"10 to 30 Mins",Call_Table_Data[[#This Row],[Duration]]&lt;=60,"30 to 60 Mins",Call_Table_Data[[#This Row],[Duration]]&lt;=120,"1 to 2 Hours",TRUE,"More Than 2 Hours")</f>
        <v>1 to 2 Hours</v>
      </c>
      <c r="K627" s="9">
        <f>ROUND(Call_Table_Data[[#This Row],[Satisfaction Rating]],0)</f>
        <v>5</v>
      </c>
    </row>
    <row r="628" spans="1:11" x14ac:dyDescent="0.3">
      <c r="A628" s="9" t="s">
        <v>2254</v>
      </c>
      <c r="B628" s="9" t="s">
        <v>1610</v>
      </c>
      <c r="C628" s="9">
        <v>76</v>
      </c>
      <c r="D628" s="149" t="s">
        <v>1630</v>
      </c>
      <c r="E628" s="150">
        <v>45126</v>
      </c>
      <c r="F628" s="9">
        <v>84</v>
      </c>
      <c r="G628" s="9">
        <v>3.9</v>
      </c>
      <c r="H628" s="9">
        <f>IF(MONTH(Call_Table_Data[[#This Row],[Date of Call]])&lt;=6,YEAR(Call_Table_Data[[#This Row],[Date of Call]]),YEAR(Call_Table_Data[[#This Row],[Date of Call]])+1)</f>
        <v>2024</v>
      </c>
      <c r="I628" s="9" t="str">
        <f>TEXT(Call_Table_Data[[#This Row],[Date of Call]],"DDDD")</f>
        <v>Wednesday</v>
      </c>
      <c r="J628" s="9" t="str" cm="1">
        <f t="array" ref="J628">_xlfn.IFS(Call_Table_Data[[#This Row],[Duration]]&lt;=10,"Under 10 Mins",Call_Table_Data[[#This Row],[Duration]]&lt;=30,"10 to 30 Mins",Call_Table_Data[[#This Row],[Duration]]&lt;=60,"30 to 60 Mins",Call_Table_Data[[#This Row],[Duration]]&lt;=120,"1 to 2 Hours",TRUE,"More Than 2 Hours")</f>
        <v>1 to 2 Hours</v>
      </c>
      <c r="K628" s="9">
        <f>ROUND(Call_Table_Data[[#This Row],[Satisfaction Rating]],0)</f>
        <v>4</v>
      </c>
    </row>
    <row r="629" spans="1:11" x14ac:dyDescent="0.3">
      <c r="A629" s="9" t="s">
        <v>2255</v>
      </c>
      <c r="B629" s="9" t="s">
        <v>1613</v>
      </c>
      <c r="C629" s="9">
        <v>144</v>
      </c>
      <c r="D629" s="149" t="s">
        <v>1630</v>
      </c>
      <c r="E629" s="150">
        <v>45126</v>
      </c>
      <c r="F629" s="9">
        <v>164</v>
      </c>
      <c r="G629" s="9">
        <v>2.8</v>
      </c>
      <c r="H629" s="9">
        <f>IF(MONTH(Call_Table_Data[[#This Row],[Date of Call]])&lt;=6,YEAR(Call_Table_Data[[#This Row],[Date of Call]]),YEAR(Call_Table_Data[[#This Row],[Date of Call]])+1)</f>
        <v>2024</v>
      </c>
      <c r="I629" s="9" t="str">
        <f>TEXT(Call_Table_Data[[#This Row],[Date of Call]],"DDDD")</f>
        <v>Wednesday</v>
      </c>
      <c r="J629" s="9" t="str" cm="1">
        <f t="array" ref="J629">_xlfn.IFS(Call_Table_Data[[#This Row],[Duration]]&lt;=10,"Under 10 Mins",Call_Table_Data[[#This Row],[Duration]]&lt;=30,"10 to 30 Mins",Call_Table_Data[[#This Row],[Duration]]&lt;=60,"30 to 60 Mins",Call_Table_Data[[#This Row],[Duration]]&lt;=120,"1 to 2 Hours",TRUE,"More Than 2 Hours")</f>
        <v>More Than 2 Hours</v>
      </c>
      <c r="K629" s="9">
        <f>ROUND(Call_Table_Data[[#This Row],[Satisfaction Rating]],0)</f>
        <v>3</v>
      </c>
    </row>
    <row r="630" spans="1:11" x14ac:dyDescent="0.3">
      <c r="A630" s="9" t="s">
        <v>2256</v>
      </c>
      <c r="B630" s="9" t="s">
        <v>1682</v>
      </c>
      <c r="C630" s="9">
        <v>109</v>
      </c>
      <c r="D630" s="149" t="s">
        <v>1611</v>
      </c>
      <c r="E630" s="150">
        <v>45126</v>
      </c>
      <c r="F630" s="9">
        <v>132</v>
      </c>
      <c r="G630" s="9">
        <v>3.1</v>
      </c>
      <c r="H630" s="9">
        <f>IF(MONTH(Call_Table_Data[[#This Row],[Date of Call]])&lt;=6,YEAR(Call_Table_Data[[#This Row],[Date of Call]]),YEAR(Call_Table_Data[[#This Row],[Date of Call]])+1)</f>
        <v>2024</v>
      </c>
      <c r="I630" s="9" t="str">
        <f>TEXT(Call_Table_Data[[#This Row],[Date of Call]],"DDDD")</f>
        <v>Wednesday</v>
      </c>
      <c r="J630" s="9" t="str" cm="1">
        <f t="array" ref="J630">_xlfn.IFS(Call_Table_Data[[#This Row],[Duration]]&lt;=10,"Under 10 Mins",Call_Table_Data[[#This Row],[Duration]]&lt;=30,"10 to 30 Mins",Call_Table_Data[[#This Row],[Duration]]&lt;=60,"30 to 60 Mins",Call_Table_Data[[#This Row],[Duration]]&lt;=120,"1 to 2 Hours",TRUE,"More Than 2 Hours")</f>
        <v>1 to 2 Hours</v>
      </c>
      <c r="K630" s="9">
        <f>ROUND(Call_Table_Data[[#This Row],[Satisfaction Rating]],0)</f>
        <v>3</v>
      </c>
    </row>
    <row r="631" spans="1:11" x14ac:dyDescent="0.3">
      <c r="A631" s="9" t="s">
        <v>2257</v>
      </c>
      <c r="B631" s="9" t="s">
        <v>1641</v>
      </c>
      <c r="C631" s="9">
        <v>172</v>
      </c>
      <c r="D631" s="149" t="s">
        <v>1621</v>
      </c>
      <c r="E631" s="150">
        <v>45127</v>
      </c>
      <c r="F631" s="9">
        <v>27</v>
      </c>
      <c r="G631" s="9">
        <v>4.2</v>
      </c>
      <c r="H631" s="9">
        <f>IF(MONTH(Call_Table_Data[[#This Row],[Date of Call]])&lt;=6,YEAR(Call_Table_Data[[#This Row],[Date of Call]]),YEAR(Call_Table_Data[[#This Row],[Date of Call]])+1)</f>
        <v>2024</v>
      </c>
      <c r="I631" s="9" t="str">
        <f>TEXT(Call_Table_Data[[#This Row],[Date of Call]],"DDDD")</f>
        <v>Thursday</v>
      </c>
      <c r="J631" s="9" t="str" cm="1">
        <f t="array" ref="J631">_xlfn.IFS(Call_Table_Data[[#This Row],[Duration]]&lt;=10,"Under 10 Mins",Call_Table_Data[[#This Row],[Duration]]&lt;=30,"10 to 30 Mins",Call_Table_Data[[#This Row],[Duration]]&lt;=60,"30 to 60 Mins",Call_Table_Data[[#This Row],[Duration]]&lt;=120,"1 to 2 Hours",TRUE,"More Than 2 Hours")</f>
        <v>More Than 2 Hours</v>
      </c>
      <c r="K631" s="9">
        <f>ROUND(Call_Table_Data[[#This Row],[Satisfaction Rating]],0)</f>
        <v>4</v>
      </c>
    </row>
    <row r="632" spans="1:11" x14ac:dyDescent="0.3">
      <c r="A632" s="9" t="s">
        <v>2258</v>
      </c>
      <c r="B632" s="9" t="s">
        <v>1613</v>
      </c>
      <c r="C632" s="9">
        <v>56</v>
      </c>
      <c r="D632" s="149" t="s">
        <v>1626</v>
      </c>
      <c r="E632" s="150">
        <v>45127</v>
      </c>
      <c r="F632" s="9">
        <v>27</v>
      </c>
      <c r="G632" s="9">
        <v>4.3</v>
      </c>
      <c r="H632" s="9">
        <f>IF(MONTH(Call_Table_Data[[#This Row],[Date of Call]])&lt;=6,YEAR(Call_Table_Data[[#This Row],[Date of Call]]),YEAR(Call_Table_Data[[#This Row],[Date of Call]])+1)</f>
        <v>2024</v>
      </c>
      <c r="I632" s="9" t="str">
        <f>TEXT(Call_Table_Data[[#This Row],[Date of Call]],"DDDD")</f>
        <v>Thursday</v>
      </c>
      <c r="J632" s="9" t="str" cm="1">
        <f t="array" ref="J632">_xlfn.IFS(Call_Table_Data[[#This Row],[Duration]]&lt;=10,"Under 10 Mins",Call_Table_Data[[#This Row],[Duration]]&lt;=30,"10 to 30 Mins",Call_Table_Data[[#This Row],[Duration]]&lt;=60,"30 to 60 Mins",Call_Table_Data[[#This Row],[Duration]]&lt;=120,"1 to 2 Hours",TRUE,"More Than 2 Hours")</f>
        <v>30 to 60 Mins</v>
      </c>
      <c r="K632" s="9">
        <f>ROUND(Call_Table_Data[[#This Row],[Satisfaction Rating]],0)</f>
        <v>4</v>
      </c>
    </row>
    <row r="633" spans="1:11" x14ac:dyDescent="0.3">
      <c r="A633" s="9" t="s">
        <v>2259</v>
      </c>
      <c r="B633" s="9" t="s">
        <v>1613</v>
      </c>
      <c r="C633" s="9">
        <v>121</v>
      </c>
      <c r="D633" s="149" t="s">
        <v>1616</v>
      </c>
      <c r="E633" s="150">
        <v>45127</v>
      </c>
      <c r="F633" s="9">
        <v>20</v>
      </c>
      <c r="G633" s="9">
        <v>2.7</v>
      </c>
      <c r="H633" s="9">
        <f>IF(MONTH(Call_Table_Data[[#This Row],[Date of Call]])&lt;=6,YEAR(Call_Table_Data[[#This Row],[Date of Call]]),YEAR(Call_Table_Data[[#This Row],[Date of Call]])+1)</f>
        <v>2024</v>
      </c>
      <c r="I633" s="9" t="str">
        <f>TEXT(Call_Table_Data[[#This Row],[Date of Call]],"DDDD")</f>
        <v>Thursday</v>
      </c>
      <c r="J633" s="9" t="str" cm="1">
        <f t="array" ref="J633">_xlfn.IFS(Call_Table_Data[[#This Row],[Duration]]&lt;=10,"Under 10 Mins",Call_Table_Data[[#This Row],[Duration]]&lt;=30,"10 to 30 Mins",Call_Table_Data[[#This Row],[Duration]]&lt;=60,"30 to 60 Mins",Call_Table_Data[[#This Row],[Duration]]&lt;=120,"1 to 2 Hours",TRUE,"More Than 2 Hours")</f>
        <v>More Than 2 Hours</v>
      </c>
      <c r="K633" s="9">
        <f>ROUND(Call_Table_Data[[#This Row],[Satisfaction Rating]],0)</f>
        <v>3</v>
      </c>
    </row>
    <row r="634" spans="1:11" x14ac:dyDescent="0.3">
      <c r="A634" s="9" t="s">
        <v>2260</v>
      </c>
      <c r="B634" s="9" t="s">
        <v>1641</v>
      </c>
      <c r="C634" s="9">
        <v>41</v>
      </c>
      <c r="D634" s="149" t="s">
        <v>1626</v>
      </c>
      <c r="E634" s="150">
        <v>45128</v>
      </c>
      <c r="F634" s="9">
        <v>112</v>
      </c>
      <c r="G634" s="9">
        <v>2.2999999999999998</v>
      </c>
      <c r="H634" s="9">
        <f>IF(MONTH(Call_Table_Data[[#This Row],[Date of Call]])&lt;=6,YEAR(Call_Table_Data[[#This Row],[Date of Call]]),YEAR(Call_Table_Data[[#This Row],[Date of Call]])+1)</f>
        <v>2024</v>
      </c>
      <c r="I634" s="9" t="str">
        <f>TEXT(Call_Table_Data[[#This Row],[Date of Call]],"DDDD")</f>
        <v>Friday</v>
      </c>
      <c r="J634" s="9" t="str" cm="1">
        <f t="array" ref="J634">_xlfn.IFS(Call_Table_Data[[#This Row],[Duration]]&lt;=10,"Under 10 Mins",Call_Table_Data[[#This Row],[Duration]]&lt;=30,"10 to 30 Mins",Call_Table_Data[[#This Row],[Duration]]&lt;=60,"30 to 60 Mins",Call_Table_Data[[#This Row],[Duration]]&lt;=120,"1 to 2 Hours",TRUE,"More Than 2 Hours")</f>
        <v>30 to 60 Mins</v>
      </c>
      <c r="K634" s="9">
        <f>ROUND(Call_Table_Data[[#This Row],[Satisfaction Rating]],0)</f>
        <v>2</v>
      </c>
    </row>
    <row r="635" spans="1:11" x14ac:dyDescent="0.3">
      <c r="A635" s="9" t="s">
        <v>2261</v>
      </c>
      <c r="B635" s="9" t="s">
        <v>1618</v>
      </c>
      <c r="C635" s="9">
        <v>60</v>
      </c>
      <c r="D635" s="149" t="s">
        <v>1621</v>
      </c>
      <c r="E635" s="150">
        <v>45128</v>
      </c>
      <c r="F635" s="9">
        <v>60</v>
      </c>
      <c r="G635" s="9">
        <v>2.2999999999999998</v>
      </c>
      <c r="H635" s="9">
        <f>IF(MONTH(Call_Table_Data[[#This Row],[Date of Call]])&lt;=6,YEAR(Call_Table_Data[[#This Row],[Date of Call]]),YEAR(Call_Table_Data[[#This Row],[Date of Call]])+1)</f>
        <v>2024</v>
      </c>
      <c r="I635" s="9" t="str">
        <f>TEXT(Call_Table_Data[[#This Row],[Date of Call]],"DDDD")</f>
        <v>Friday</v>
      </c>
      <c r="J635" s="9" t="str" cm="1">
        <f t="array" ref="J635">_xlfn.IFS(Call_Table_Data[[#This Row],[Duration]]&lt;=10,"Under 10 Mins",Call_Table_Data[[#This Row],[Duration]]&lt;=30,"10 to 30 Mins",Call_Table_Data[[#This Row],[Duration]]&lt;=60,"30 to 60 Mins",Call_Table_Data[[#This Row],[Duration]]&lt;=120,"1 to 2 Hours",TRUE,"More Than 2 Hours")</f>
        <v>30 to 60 Mins</v>
      </c>
      <c r="K635" s="9">
        <f>ROUND(Call_Table_Data[[#This Row],[Satisfaction Rating]],0)</f>
        <v>2</v>
      </c>
    </row>
    <row r="636" spans="1:11" x14ac:dyDescent="0.3">
      <c r="A636" s="9" t="s">
        <v>2262</v>
      </c>
      <c r="B636" s="9" t="s">
        <v>1618</v>
      </c>
      <c r="C636" s="9">
        <v>144</v>
      </c>
      <c r="D636" s="149" t="s">
        <v>1621</v>
      </c>
      <c r="E636" s="150">
        <v>45129</v>
      </c>
      <c r="F636" s="9">
        <v>102</v>
      </c>
      <c r="G636" s="9">
        <v>2.9</v>
      </c>
      <c r="H636" s="9">
        <f>IF(MONTH(Call_Table_Data[[#This Row],[Date of Call]])&lt;=6,YEAR(Call_Table_Data[[#This Row],[Date of Call]]),YEAR(Call_Table_Data[[#This Row],[Date of Call]])+1)</f>
        <v>2024</v>
      </c>
      <c r="I636" s="9" t="str">
        <f>TEXT(Call_Table_Data[[#This Row],[Date of Call]],"DDDD")</f>
        <v>Saturday</v>
      </c>
      <c r="J636" s="9" t="str" cm="1">
        <f t="array" ref="J636">_xlfn.IFS(Call_Table_Data[[#This Row],[Duration]]&lt;=10,"Under 10 Mins",Call_Table_Data[[#This Row],[Duration]]&lt;=30,"10 to 30 Mins",Call_Table_Data[[#This Row],[Duration]]&lt;=60,"30 to 60 Mins",Call_Table_Data[[#This Row],[Duration]]&lt;=120,"1 to 2 Hours",TRUE,"More Than 2 Hours")</f>
        <v>More Than 2 Hours</v>
      </c>
      <c r="K636" s="9">
        <f>ROUND(Call_Table_Data[[#This Row],[Satisfaction Rating]],0)</f>
        <v>3</v>
      </c>
    </row>
    <row r="637" spans="1:11" x14ac:dyDescent="0.3">
      <c r="A637" s="9" t="s">
        <v>2263</v>
      </c>
      <c r="B637" s="9" t="s">
        <v>1620</v>
      </c>
      <c r="C637" s="9">
        <v>67</v>
      </c>
      <c r="D637" s="149" t="s">
        <v>1621</v>
      </c>
      <c r="E637" s="150">
        <v>45129</v>
      </c>
      <c r="F637" s="9">
        <v>38</v>
      </c>
      <c r="G637" s="9">
        <v>4.2</v>
      </c>
      <c r="H637" s="9">
        <f>IF(MONTH(Call_Table_Data[[#This Row],[Date of Call]])&lt;=6,YEAR(Call_Table_Data[[#This Row],[Date of Call]]),YEAR(Call_Table_Data[[#This Row],[Date of Call]])+1)</f>
        <v>2024</v>
      </c>
      <c r="I637" s="9" t="str">
        <f>TEXT(Call_Table_Data[[#This Row],[Date of Call]],"DDDD")</f>
        <v>Saturday</v>
      </c>
      <c r="J637" s="9" t="str" cm="1">
        <f t="array" ref="J637">_xlfn.IFS(Call_Table_Data[[#This Row],[Duration]]&lt;=10,"Under 10 Mins",Call_Table_Data[[#This Row],[Duration]]&lt;=30,"10 to 30 Mins",Call_Table_Data[[#This Row],[Duration]]&lt;=60,"30 to 60 Mins",Call_Table_Data[[#This Row],[Duration]]&lt;=120,"1 to 2 Hours",TRUE,"More Than 2 Hours")</f>
        <v>1 to 2 Hours</v>
      </c>
      <c r="K637" s="9">
        <f>ROUND(Call_Table_Data[[#This Row],[Satisfaction Rating]],0)</f>
        <v>4</v>
      </c>
    </row>
    <row r="638" spans="1:11" x14ac:dyDescent="0.3">
      <c r="A638" s="9" t="s">
        <v>2264</v>
      </c>
      <c r="B638" s="9" t="s">
        <v>1641</v>
      </c>
      <c r="C638" s="9">
        <v>162</v>
      </c>
      <c r="D638" s="149" t="s">
        <v>1611</v>
      </c>
      <c r="E638" s="150">
        <v>45129</v>
      </c>
      <c r="F638" s="9">
        <v>82</v>
      </c>
      <c r="G638" s="9">
        <v>4.5999999999999996</v>
      </c>
      <c r="H638" s="9">
        <f>IF(MONTH(Call_Table_Data[[#This Row],[Date of Call]])&lt;=6,YEAR(Call_Table_Data[[#This Row],[Date of Call]]),YEAR(Call_Table_Data[[#This Row],[Date of Call]])+1)</f>
        <v>2024</v>
      </c>
      <c r="I638" s="9" t="str">
        <f>TEXT(Call_Table_Data[[#This Row],[Date of Call]],"DDDD")</f>
        <v>Saturday</v>
      </c>
      <c r="J638" s="9" t="str" cm="1">
        <f t="array" ref="J638">_xlfn.IFS(Call_Table_Data[[#This Row],[Duration]]&lt;=10,"Under 10 Mins",Call_Table_Data[[#This Row],[Duration]]&lt;=30,"10 to 30 Mins",Call_Table_Data[[#This Row],[Duration]]&lt;=60,"30 to 60 Mins",Call_Table_Data[[#This Row],[Duration]]&lt;=120,"1 to 2 Hours",TRUE,"More Than 2 Hours")</f>
        <v>More Than 2 Hours</v>
      </c>
      <c r="K638" s="9">
        <f>ROUND(Call_Table_Data[[#This Row],[Satisfaction Rating]],0)</f>
        <v>5</v>
      </c>
    </row>
    <row r="639" spans="1:11" x14ac:dyDescent="0.3">
      <c r="A639" s="9" t="s">
        <v>2265</v>
      </c>
      <c r="B639" s="9" t="s">
        <v>1618</v>
      </c>
      <c r="C639" s="9">
        <v>87</v>
      </c>
      <c r="D639" s="149" t="s">
        <v>1616</v>
      </c>
      <c r="E639" s="150">
        <v>45132</v>
      </c>
      <c r="F639" s="9">
        <v>125</v>
      </c>
      <c r="G639" s="9">
        <v>4.5</v>
      </c>
      <c r="H639" s="9">
        <f>IF(MONTH(Call_Table_Data[[#This Row],[Date of Call]])&lt;=6,YEAR(Call_Table_Data[[#This Row],[Date of Call]]),YEAR(Call_Table_Data[[#This Row],[Date of Call]])+1)</f>
        <v>2024</v>
      </c>
      <c r="I639" s="9" t="str">
        <f>TEXT(Call_Table_Data[[#This Row],[Date of Call]],"DDDD")</f>
        <v>Tuesday</v>
      </c>
      <c r="J639" s="9" t="str" cm="1">
        <f t="array" ref="J639">_xlfn.IFS(Call_Table_Data[[#This Row],[Duration]]&lt;=10,"Under 10 Mins",Call_Table_Data[[#This Row],[Duration]]&lt;=30,"10 to 30 Mins",Call_Table_Data[[#This Row],[Duration]]&lt;=60,"30 to 60 Mins",Call_Table_Data[[#This Row],[Duration]]&lt;=120,"1 to 2 Hours",TRUE,"More Than 2 Hours")</f>
        <v>1 to 2 Hours</v>
      </c>
      <c r="K639" s="9">
        <f>ROUND(Call_Table_Data[[#This Row],[Satisfaction Rating]],0)</f>
        <v>5</v>
      </c>
    </row>
    <row r="640" spans="1:11" x14ac:dyDescent="0.3">
      <c r="A640" s="9" t="s">
        <v>2266</v>
      </c>
      <c r="B640" s="9" t="s">
        <v>1649</v>
      </c>
      <c r="C640" s="9">
        <v>10</v>
      </c>
      <c r="D640" s="149" t="s">
        <v>1630</v>
      </c>
      <c r="E640" s="150">
        <v>45133</v>
      </c>
      <c r="F640" s="9">
        <v>72</v>
      </c>
      <c r="G640" s="9">
        <v>3.7</v>
      </c>
      <c r="H640" s="9">
        <f>IF(MONTH(Call_Table_Data[[#This Row],[Date of Call]])&lt;=6,YEAR(Call_Table_Data[[#This Row],[Date of Call]]),YEAR(Call_Table_Data[[#This Row],[Date of Call]])+1)</f>
        <v>2024</v>
      </c>
      <c r="I640" s="9" t="str">
        <f>TEXT(Call_Table_Data[[#This Row],[Date of Call]],"DDDD")</f>
        <v>Wednesday</v>
      </c>
      <c r="J640" s="9" t="str" cm="1">
        <f t="array" ref="J640">_xlfn.IFS(Call_Table_Data[[#This Row],[Duration]]&lt;=10,"Under 10 Mins",Call_Table_Data[[#This Row],[Duration]]&lt;=30,"10 to 30 Mins",Call_Table_Data[[#This Row],[Duration]]&lt;=60,"30 to 60 Mins",Call_Table_Data[[#This Row],[Duration]]&lt;=120,"1 to 2 Hours",TRUE,"More Than 2 Hours")</f>
        <v>Under 10 Mins</v>
      </c>
      <c r="K640" s="9">
        <f>ROUND(Call_Table_Data[[#This Row],[Satisfaction Rating]],0)</f>
        <v>4</v>
      </c>
    </row>
    <row r="641" spans="1:11" x14ac:dyDescent="0.3">
      <c r="A641" s="9" t="s">
        <v>2267</v>
      </c>
      <c r="B641" s="9" t="s">
        <v>1613</v>
      </c>
      <c r="C641" s="9">
        <v>138</v>
      </c>
      <c r="D641" s="149" t="s">
        <v>1630</v>
      </c>
      <c r="E641" s="150">
        <v>45133</v>
      </c>
      <c r="F641" s="9">
        <v>195</v>
      </c>
      <c r="G641" s="9">
        <v>4.0999999999999996</v>
      </c>
      <c r="H641" s="9">
        <f>IF(MONTH(Call_Table_Data[[#This Row],[Date of Call]])&lt;=6,YEAR(Call_Table_Data[[#This Row],[Date of Call]]),YEAR(Call_Table_Data[[#This Row],[Date of Call]])+1)</f>
        <v>2024</v>
      </c>
      <c r="I641" s="9" t="str">
        <f>TEXT(Call_Table_Data[[#This Row],[Date of Call]],"DDDD")</f>
        <v>Wednesday</v>
      </c>
      <c r="J641" s="9" t="str" cm="1">
        <f t="array" ref="J641">_xlfn.IFS(Call_Table_Data[[#This Row],[Duration]]&lt;=10,"Under 10 Mins",Call_Table_Data[[#This Row],[Duration]]&lt;=30,"10 to 30 Mins",Call_Table_Data[[#This Row],[Duration]]&lt;=60,"30 to 60 Mins",Call_Table_Data[[#This Row],[Duration]]&lt;=120,"1 to 2 Hours",TRUE,"More Than 2 Hours")</f>
        <v>More Than 2 Hours</v>
      </c>
      <c r="K641" s="9">
        <f>ROUND(Call_Table_Data[[#This Row],[Satisfaction Rating]],0)</f>
        <v>4</v>
      </c>
    </row>
    <row r="642" spans="1:11" x14ac:dyDescent="0.3">
      <c r="A642" s="9" t="s">
        <v>2268</v>
      </c>
      <c r="B642" s="9" t="s">
        <v>1641</v>
      </c>
      <c r="C642" s="9">
        <v>31</v>
      </c>
      <c r="D642" s="149" t="s">
        <v>1630</v>
      </c>
      <c r="E642" s="150">
        <v>45134</v>
      </c>
      <c r="F642" s="9">
        <v>160</v>
      </c>
      <c r="G642" s="9">
        <v>3.4</v>
      </c>
      <c r="H642" s="9">
        <f>IF(MONTH(Call_Table_Data[[#This Row],[Date of Call]])&lt;=6,YEAR(Call_Table_Data[[#This Row],[Date of Call]]),YEAR(Call_Table_Data[[#This Row],[Date of Call]])+1)</f>
        <v>2024</v>
      </c>
      <c r="I642" s="9" t="str">
        <f>TEXT(Call_Table_Data[[#This Row],[Date of Call]],"DDDD")</f>
        <v>Thursday</v>
      </c>
      <c r="J642" s="9" t="str" cm="1">
        <f t="array" ref="J642">_xlfn.IFS(Call_Table_Data[[#This Row],[Duration]]&lt;=10,"Under 10 Mins",Call_Table_Data[[#This Row],[Duration]]&lt;=30,"10 to 30 Mins",Call_Table_Data[[#This Row],[Duration]]&lt;=60,"30 to 60 Mins",Call_Table_Data[[#This Row],[Duration]]&lt;=120,"1 to 2 Hours",TRUE,"More Than 2 Hours")</f>
        <v>30 to 60 Mins</v>
      </c>
      <c r="K642" s="9">
        <f>ROUND(Call_Table_Data[[#This Row],[Satisfaction Rating]],0)</f>
        <v>3</v>
      </c>
    </row>
    <row r="643" spans="1:11" x14ac:dyDescent="0.3">
      <c r="A643" s="9" t="s">
        <v>2269</v>
      </c>
      <c r="B643" s="9" t="s">
        <v>1652</v>
      </c>
      <c r="C643" s="9">
        <v>75</v>
      </c>
      <c r="D643" s="149" t="s">
        <v>1611</v>
      </c>
      <c r="E643" s="150">
        <v>45134</v>
      </c>
      <c r="F643" s="9">
        <v>78</v>
      </c>
      <c r="G643" s="9">
        <v>3.3</v>
      </c>
      <c r="H643" s="9">
        <f>IF(MONTH(Call_Table_Data[[#This Row],[Date of Call]])&lt;=6,YEAR(Call_Table_Data[[#This Row],[Date of Call]]),YEAR(Call_Table_Data[[#This Row],[Date of Call]])+1)</f>
        <v>2024</v>
      </c>
      <c r="I643" s="9" t="str">
        <f>TEXT(Call_Table_Data[[#This Row],[Date of Call]],"DDDD")</f>
        <v>Thursday</v>
      </c>
      <c r="J643" s="9" t="str" cm="1">
        <f t="array" ref="J643">_xlfn.IFS(Call_Table_Data[[#This Row],[Duration]]&lt;=10,"Under 10 Mins",Call_Table_Data[[#This Row],[Duration]]&lt;=30,"10 to 30 Mins",Call_Table_Data[[#This Row],[Duration]]&lt;=60,"30 to 60 Mins",Call_Table_Data[[#This Row],[Duration]]&lt;=120,"1 to 2 Hours",TRUE,"More Than 2 Hours")</f>
        <v>1 to 2 Hours</v>
      </c>
      <c r="K643" s="9">
        <f>ROUND(Call_Table_Data[[#This Row],[Satisfaction Rating]],0)</f>
        <v>3</v>
      </c>
    </row>
    <row r="644" spans="1:11" x14ac:dyDescent="0.3">
      <c r="A644" s="9" t="s">
        <v>2270</v>
      </c>
      <c r="B644" s="9" t="s">
        <v>1610</v>
      </c>
      <c r="C644" s="9">
        <v>65</v>
      </c>
      <c r="D644" s="149" t="s">
        <v>1611</v>
      </c>
      <c r="E644" s="150">
        <v>45135</v>
      </c>
      <c r="F644" s="9">
        <v>70</v>
      </c>
      <c r="G644" s="9">
        <v>4.4000000000000004</v>
      </c>
      <c r="H644" s="9">
        <f>IF(MONTH(Call_Table_Data[[#This Row],[Date of Call]])&lt;=6,YEAR(Call_Table_Data[[#This Row],[Date of Call]]),YEAR(Call_Table_Data[[#This Row],[Date of Call]])+1)</f>
        <v>2024</v>
      </c>
      <c r="I644" s="9" t="str">
        <f>TEXT(Call_Table_Data[[#This Row],[Date of Call]],"DDDD")</f>
        <v>Friday</v>
      </c>
      <c r="J644" s="9" t="str" cm="1">
        <f t="array" ref="J644">_xlfn.IFS(Call_Table_Data[[#This Row],[Duration]]&lt;=10,"Under 10 Mins",Call_Table_Data[[#This Row],[Duration]]&lt;=30,"10 to 30 Mins",Call_Table_Data[[#This Row],[Duration]]&lt;=60,"30 to 60 Mins",Call_Table_Data[[#This Row],[Duration]]&lt;=120,"1 to 2 Hours",TRUE,"More Than 2 Hours")</f>
        <v>1 to 2 Hours</v>
      </c>
      <c r="K644" s="9">
        <f>ROUND(Call_Table_Data[[#This Row],[Satisfaction Rating]],0)</f>
        <v>4</v>
      </c>
    </row>
    <row r="645" spans="1:11" x14ac:dyDescent="0.3">
      <c r="A645" s="9" t="s">
        <v>2271</v>
      </c>
      <c r="B645" s="9" t="s">
        <v>1615</v>
      </c>
      <c r="C645" s="9">
        <v>106</v>
      </c>
      <c r="D645" s="149" t="s">
        <v>1626</v>
      </c>
      <c r="E645" s="150">
        <v>45135</v>
      </c>
      <c r="F645" s="9">
        <v>105</v>
      </c>
      <c r="G645" s="9">
        <v>4.2</v>
      </c>
      <c r="H645" s="9">
        <f>IF(MONTH(Call_Table_Data[[#This Row],[Date of Call]])&lt;=6,YEAR(Call_Table_Data[[#This Row],[Date of Call]]),YEAR(Call_Table_Data[[#This Row],[Date of Call]])+1)</f>
        <v>2024</v>
      </c>
      <c r="I645" s="9" t="str">
        <f>TEXT(Call_Table_Data[[#This Row],[Date of Call]],"DDDD")</f>
        <v>Friday</v>
      </c>
      <c r="J645" s="9" t="str" cm="1">
        <f t="array" ref="J645">_xlfn.IFS(Call_Table_Data[[#This Row],[Duration]]&lt;=10,"Under 10 Mins",Call_Table_Data[[#This Row],[Duration]]&lt;=30,"10 to 30 Mins",Call_Table_Data[[#This Row],[Duration]]&lt;=60,"30 to 60 Mins",Call_Table_Data[[#This Row],[Duration]]&lt;=120,"1 to 2 Hours",TRUE,"More Than 2 Hours")</f>
        <v>1 to 2 Hours</v>
      </c>
      <c r="K645" s="9">
        <f>ROUND(Call_Table_Data[[#This Row],[Satisfaction Rating]],0)</f>
        <v>4</v>
      </c>
    </row>
    <row r="646" spans="1:11" x14ac:dyDescent="0.3">
      <c r="A646" s="9" t="s">
        <v>2272</v>
      </c>
      <c r="B646" s="9" t="s">
        <v>1610</v>
      </c>
      <c r="C646" s="9">
        <v>107</v>
      </c>
      <c r="D646" s="149" t="s">
        <v>1626</v>
      </c>
      <c r="E646" s="150">
        <v>45136</v>
      </c>
      <c r="F646" s="9">
        <v>78</v>
      </c>
      <c r="G646" s="9">
        <v>3.4</v>
      </c>
      <c r="H646" s="9">
        <f>IF(MONTH(Call_Table_Data[[#This Row],[Date of Call]])&lt;=6,YEAR(Call_Table_Data[[#This Row],[Date of Call]]),YEAR(Call_Table_Data[[#This Row],[Date of Call]])+1)</f>
        <v>2024</v>
      </c>
      <c r="I646" s="9" t="str">
        <f>TEXT(Call_Table_Data[[#This Row],[Date of Call]],"DDDD")</f>
        <v>Saturday</v>
      </c>
      <c r="J646" s="9" t="str" cm="1">
        <f t="array" ref="J646">_xlfn.IFS(Call_Table_Data[[#This Row],[Duration]]&lt;=10,"Under 10 Mins",Call_Table_Data[[#This Row],[Duration]]&lt;=30,"10 to 30 Mins",Call_Table_Data[[#This Row],[Duration]]&lt;=60,"30 to 60 Mins",Call_Table_Data[[#This Row],[Duration]]&lt;=120,"1 to 2 Hours",TRUE,"More Than 2 Hours")</f>
        <v>1 to 2 Hours</v>
      </c>
      <c r="K646" s="9">
        <f>ROUND(Call_Table_Data[[#This Row],[Satisfaction Rating]],0)</f>
        <v>3</v>
      </c>
    </row>
    <row r="647" spans="1:11" x14ac:dyDescent="0.3">
      <c r="A647" s="9" t="s">
        <v>2273</v>
      </c>
      <c r="B647" s="9" t="s">
        <v>1662</v>
      </c>
      <c r="C647" s="9">
        <v>78</v>
      </c>
      <c r="D647" s="149" t="s">
        <v>1626</v>
      </c>
      <c r="E647" s="150">
        <v>45138</v>
      </c>
      <c r="F647" s="9">
        <v>205</v>
      </c>
      <c r="G647" s="9">
        <v>4.4000000000000004</v>
      </c>
      <c r="H647" s="9">
        <f>IF(MONTH(Call_Table_Data[[#This Row],[Date of Call]])&lt;=6,YEAR(Call_Table_Data[[#This Row],[Date of Call]]),YEAR(Call_Table_Data[[#This Row],[Date of Call]])+1)</f>
        <v>2024</v>
      </c>
      <c r="I647" s="9" t="str">
        <f>TEXT(Call_Table_Data[[#This Row],[Date of Call]],"DDDD")</f>
        <v>Monday</v>
      </c>
      <c r="J647" s="9" t="str" cm="1">
        <f t="array" ref="J647">_xlfn.IFS(Call_Table_Data[[#This Row],[Duration]]&lt;=10,"Under 10 Mins",Call_Table_Data[[#This Row],[Duration]]&lt;=30,"10 to 30 Mins",Call_Table_Data[[#This Row],[Duration]]&lt;=60,"30 to 60 Mins",Call_Table_Data[[#This Row],[Duration]]&lt;=120,"1 to 2 Hours",TRUE,"More Than 2 Hours")</f>
        <v>1 to 2 Hours</v>
      </c>
      <c r="K647" s="9">
        <f>ROUND(Call_Table_Data[[#This Row],[Satisfaction Rating]],0)</f>
        <v>4</v>
      </c>
    </row>
    <row r="648" spans="1:11" x14ac:dyDescent="0.3">
      <c r="A648" s="9" t="s">
        <v>2274</v>
      </c>
      <c r="B648" s="9" t="s">
        <v>1635</v>
      </c>
      <c r="C648" s="9">
        <v>122</v>
      </c>
      <c r="D648" s="149" t="s">
        <v>1626</v>
      </c>
      <c r="E648" s="150">
        <v>45138</v>
      </c>
      <c r="F648" s="9">
        <v>78</v>
      </c>
      <c r="G648" s="9">
        <v>2.7</v>
      </c>
      <c r="H648" s="9">
        <f>IF(MONTH(Call_Table_Data[[#This Row],[Date of Call]])&lt;=6,YEAR(Call_Table_Data[[#This Row],[Date of Call]]),YEAR(Call_Table_Data[[#This Row],[Date of Call]])+1)</f>
        <v>2024</v>
      </c>
      <c r="I648" s="9" t="str">
        <f>TEXT(Call_Table_Data[[#This Row],[Date of Call]],"DDDD")</f>
        <v>Monday</v>
      </c>
      <c r="J648" s="9" t="str" cm="1">
        <f t="array" ref="J648">_xlfn.IFS(Call_Table_Data[[#This Row],[Duration]]&lt;=10,"Under 10 Mins",Call_Table_Data[[#This Row],[Duration]]&lt;=30,"10 to 30 Mins",Call_Table_Data[[#This Row],[Duration]]&lt;=60,"30 to 60 Mins",Call_Table_Data[[#This Row],[Duration]]&lt;=120,"1 to 2 Hours",TRUE,"More Than 2 Hours")</f>
        <v>More Than 2 Hours</v>
      </c>
      <c r="K648" s="9">
        <f>ROUND(Call_Table_Data[[#This Row],[Satisfaction Rating]],0)</f>
        <v>3</v>
      </c>
    </row>
    <row r="649" spans="1:11" x14ac:dyDescent="0.3">
      <c r="A649" s="9" t="s">
        <v>2275</v>
      </c>
      <c r="B649" s="9" t="s">
        <v>1613</v>
      </c>
      <c r="C649" s="9">
        <v>58</v>
      </c>
      <c r="D649" s="149" t="s">
        <v>1630</v>
      </c>
      <c r="E649" s="150">
        <v>45138</v>
      </c>
      <c r="F649" s="9">
        <v>38</v>
      </c>
      <c r="G649" s="9">
        <v>4.5</v>
      </c>
      <c r="H649" s="9">
        <f>IF(MONTH(Call_Table_Data[[#This Row],[Date of Call]])&lt;=6,YEAR(Call_Table_Data[[#This Row],[Date of Call]]),YEAR(Call_Table_Data[[#This Row],[Date of Call]])+1)</f>
        <v>2024</v>
      </c>
      <c r="I649" s="9" t="str">
        <f>TEXT(Call_Table_Data[[#This Row],[Date of Call]],"DDDD")</f>
        <v>Monday</v>
      </c>
      <c r="J649" s="9" t="str" cm="1">
        <f t="array" ref="J649">_xlfn.IFS(Call_Table_Data[[#This Row],[Duration]]&lt;=10,"Under 10 Mins",Call_Table_Data[[#This Row],[Duration]]&lt;=30,"10 to 30 Mins",Call_Table_Data[[#This Row],[Duration]]&lt;=60,"30 to 60 Mins",Call_Table_Data[[#This Row],[Duration]]&lt;=120,"1 to 2 Hours",TRUE,"More Than 2 Hours")</f>
        <v>30 to 60 Mins</v>
      </c>
      <c r="K649" s="9">
        <f>ROUND(Call_Table_Data[[#This Row],[Satisfaction Rating]],0)</f>
        <v>5</v>
      </c>
    </row>
    <row r="650" spans="1:11" x14ac:dyDescent="0.3">
      <c r="A650" s="9" t="s">
        <v>2276</v>
      </c>
      <c r="B650" s="9" t="s">
        <v>1662</v>
      </c>
      <c r="C650" s="9">
        <v>33</v>
      </c>
      <c r="D650" s="149" t="s">
        <v>1621</v>
      </c>
      <c r="E650" s="150">
        <v>45138</v>
      </c>
      <c r="F650" s="9">
        <v>92</v>
      </c>
      <c r="G650" s="9">
        <v>1.7</v>
      </c>
      <c r="H650" s="9">
        <f>IF(MONTH(Call_Table_Data[[#This Row],[Date of Call]])&lt;=6,YEAR(Call_Table_Data[[#This Row],[Date of Call]]),YEAR(Call_Table_Data[[#This Row],[Date of Call]])+1)</f>
        <v>2024</v>
      </c>
      <c r="I650" s="9" t="str">
        <f>TEXT(Call_Table_Data[[#This Row],[Date of Call]],"DDDD")</f>
        <v>Monday</v>
      </c>
      <c r="J650" s="9" t="str" cm="1">
        <f t="array" ref="J650">_xlfn.IFS(Call_Table_Data[[#This Row],[Duration]]&lt;=10,"Under 10 Mins",Call_Table_Data[[#This Row],[Duration]]&lt;=30,"10 to 30 Mins",Call_Table_Data[[#This Row],[Duration]]&lt;=60,"30 to 60 Mins",Call_Table_Data[[#This Row],[Duration]]&lt;=120,"1 to 2 Hours",TRUE,"More Than 2 Hours")</f>
        <v>30 to 60 Mins</v>
      </c>
      <c r="K650" s="9">
        <f>ROUND(Call_Table_Data[[#This Row],[Satisfaction Rating]],0)</f>
        <v>2</v>
      </c>
    </row>
    <row r="651" spans="1:11" x14ac:dyDescent="0.3">
      <c r="A651" s="9" t="s">
        <v>2277</v>
      </c>
      <c r="B651" s="9" t="s">
        <v>1682</v>
      </c>
      <c r="C651" s="9">
        <v>164</v>
      </c>
      <c r="D651" s="149" t="s">
        <v>1611</v>
      </c>
      <c r="E651" s="150">
        <v>45138</v>
      </c>
      <c r="F651" s="9">
        <v>36</v>
      </c>
      <c r="G651" s="9">
        <v>4.7</v>
      </c>
      <c r="H651" s="9">
        <f>IF(MONTH(Call_Table_Data[[#This Row],[Date of Call]])&lt;=6,YEAR(Call_Table_Data[[#This Row],[Date of Call]]),YEAR(Call_Table_Data[[#This Row],[Date of Call]])+1)</f>
        <v>2024</v>
      </c>
      <c r="I651" s="9" t="str">
        <f>TEXT(Call_Table_Data[[#This Row],[Date of Call]],"DDDD")</f>
        <v>Monday</v>
      </c>
      <c r="J651" s="9" t="str" cm="1">
        <f t="array" ref="J651">_xlfn.IFS(Call_Table_Data[[#This Row],[Duration]]&lt;=10,"Under 10 Mins",Call_Table_Data[[#This Row],[Duration]]&lt;=30,"10 to 30 Mins",Call_Table_Data[[#This Row],[Duration]]&lt;=60,"30 to 60 Mins",Call_Table_Data[[#This Row],[Duration]]&lt;=120,"1 to 2 Hours",TRUE,"More Than 2 Hours")</f>
        <v>More Than 2 Hours</v>
      </c>
      <c r="K651" s="9">
        <f>ROUND(Call_Table_Data[[#This Row],[Satisfaction Rating]],0)</f>
        <v>5</v>
      </c>
    </row>
    <row r="652" spans="1:11" x14ac:dyDescent="0.3">
      <c r="A652" s="9" t="s">
        <v>2278</v>
      </c>
      <c r="B652" s="9" t="s">
        <v>1652</v>
      </c>
      <c r="C652" s="9">
        <v>163</v>
      </c>
      <c r="D652" s="149" t="s">
        <v>1616</v>
      </c>
      <c r="E652" s="150">
        <v>45138</v>
      </c>
      <c r="F652" s="9">
        <v>76</v>
      </c>
      <c r="G652" s="9">
        <v>4.4000000000000004</v>
      </c>
      <c r="H652" s="9">
        <f>IF(MONTH(Call_Table_Data[[#This Row],[Date of Call]])&lt;=6,YEAR(Call_Table_Data[[#This Row],[Date of Call]]),YEAR(Call_Table_Data[[#This Row],[Date of Call]])+1)</f>
        <v>2024</v>
      </c>
      <c r="I652" s="9" t="str">
        <f>TEXT(Call_Table_Data[[#This Row],[Date of Call]],"DDDD")</f>
        <v>Monday</v>
      </c>
      <c r="J652" s="9" t="str" cm="1">
        <f t="array" ref="J652">_xlfn.IFS(Call_Table_Data[[#This Row],[Duration]]&lt;=10,"Under 10 Mins",Call_Table_Data[[#This Row],[Duration]]&lt;=30,"10 to 30 Mins",Call_Table_Data[[#This Row],[Duration]]&lt;=60,"30 to 60 Mins",Call_Table_Data[[#This Row],[Duration]]&lt;=120,"1 to 2 Hours",TRUE,"More Than 2 Hours")</f>
        <v>More Than 2 Hours</v>
      </c>
      <c r="K652" s="9">
        <f>ROUND(Call_Table_Data[[#This Row],[Satisfaction Rating]],0)</f>
        <v>4</v>
      </c>
    </row>
    <row r="653" spans="1:11" x14ac:dyDescent="0.3">
      <c r="A653" s="9" t="s">
        <v>2279</v>
      </c>
      <c r="B653" s="9" t="s">
        <v>1624</v>
      </c>
      <c r="C653" s="9">
        <v>71</v>
      </c>
      <c r="D653" s="149" t="s">
        <v>1611</v>
      </c>
      <c r="E653" s="150">
        <v>45140</v>
      </c>
      <c r="F653" s="9">
        <v>170</v>
      </c>
      <c r="G653" s="9">
        <v>3.5</v>
      </c>
      <c r="H653" s="9">
        <f>IF(MONTH(Call_Table_Data[[#This Row],[Date of Call]])&lt;=6,YEAR(Call_Table_Data[[#This Row],[Date of Call]]),YEAR(Call_Table_Data[[#This Row],[Date of Call]])+1)</f>
        <v>2024</v>
      </c>
      <c r="I653" s="9" t="str">
        <f>TEXT(Call_Table_Data[[#This Row],[Date of Call]],"DDDD")</f>
        <v>Wednesday</v>
      </c>
      <c r="J653" s="9" t="str" cm="1">
        <f t="array" ref="J653">_xlfn.IFS(Call_Table_Data[[#This Row],[Duration]]&lt;=10,"Under 10 Mins",Call_Table_Data[[#This Row],[Duration]]&lt;=30,"10 to 30 Mins",Call_Table_Data[[#This Row],[Duration]]&lt;=60,"30 to 60 Mins",Call_Table_Data[[#This Row],[Duration]]&lt;=120,"1 to 2 Hours",TRUE,"More Than 2 Hours")</f>
        <v>1 to 2 Hours</v>
      </c>
      <c r="K653" s="9">
        <f>ROUND(Call_Table_Data[[#This Row],[Satisfaction Rating]],0)</f>
        <v>4</v>
      </c>
    </row>
    <row r="654" spans="1:11" x14ac:dyDescent="0.3">
      <c r="A654" s="9" t="s">
        <v>2280</v>
      </c>
      <c r="B654" s="9" t="s">
        <v>1662</v>
      </c>
      <c r="C654" s="9">
        <v>103</v>
      </c>
      <c r="D654" s="149" t="s">
        <v>1630</v>
      </c>
      <c r="E654" s="150">
        <v>45141</v>
      </c>
      <c r="F654" s="9">
        <v>117</v>
      </c>
      <c r="G654" s="9">
        <v>4.7</v>
      </c>
      <c r="H654" s="9">
        <f>IF(MONTH(Call_Table_Data[[#This Row],[Date of Call]])&lt;=6,YEAR(Call_Table_Data[[#This Row],[Date of Call]]),YEAR(Call_Table_Data[[#This Row],[Date of Call]])+1)</f>
        <v>2024</v>
      </c>
      <c r="I654" s="9" t="str">
        <f>TEXT(Call_Table_Data[[#This Row],[Date of Call]],"DDDD")</f>
        <v>Thursday</v>
      </c>
      <c r="J654" s="9" t="str" cm="1">
        <f t="array" ref="J654">_xlfn.IFS(Call_Table_Data[[#This Row],[Duration]]&lt;=10,"Under 10 Mins",Call_Table_Data[[#This Row],[Duration]]&lt;=30,"10 to 30 Mins",Call_Table_Data[[#This Row],[Duration]]&lt;=60,"30 to 60 Mins",Call_Table_Data[[#This Row],[Duration]]&lt;=120,"1 to 2 Hours",TRUE,"More Than 2 Hours")</f>
        <v>1 to 2 Hours</v>
      </c>
      <c r="K654" s="9">
        <f>ROUND(Call_Table_Data[[#This Row],[Satisfaction Rating]],0)</f>
        <v>5</v>
      </c>
    </row>
    <row r="655" spans="1:11" x14ac:dyDescent="0.3">
      <c r="A655" s="9" t="s">
        <v>2281</v>
      </c>
      <c r="B655" s="9" t="s">
        <v>1644</v>
      </c>
      <c r="C655" s="9">
        <v>69</v>
      </c>
      <c r="D655" s="149" t="s">
        <v>1616</v>
      </c>
      <c r="E655" s="150">
        <v>45141</v>
      </c>
      <c r="F655" s="9">
        <v>20</v>
      </c>
      <c r="G655" s="9">
        <v>4.3</v>
      </c>
      <c r="H655" s="9">
        <f>IF(MONTH(Call_Table_Data[[#This Row],[Date of Call]])&lt;=6,YEAR(Call_Table_Data[[#This Row],[Date of Call]]),YEAR(Call_Table_Data[[#This Row],[Date of Call]])+1)</f>
        <v>2024</v>
      </c>
      <c r="I655" s="9" t="str">
        <f>TEXT(Call_Table_Data[[#This Row],[Date of Call]],"DDDD")</f>
        <v>Thursday</v>
      </c>
      <c r="J655" s="9" t="str" cm="1">
        <f t="array" ref="J655">_xlfn.IFS(Call_Table_Data[[#This Row],[Duration]]&lt;=10,"Under 10 Mins",Call_Table_Data[[#This Row],[Duration]]&lt;=30,"10 to 30 Mins",Call_Table_Data[[#This Row],[Duration]]&lt;=60,"30 to 60 Mins",Call_Table_Data[[#This Row],[Duration]]&lt;=120,"1 to 2 Hours",TRUE,"More Than 2 Hours")</f>
        <v>1 to 2 Hours</v>
      </c>
      <c r="K655" s="9">
        <f>ROUND(Call_Table_Data[[#This Row],[Satisfaction Rating]],0)</f>
        <v>4</v>
      </c>
    </row>
    <row r="656" spans="1:11" x14ac:dyDescent="0.3">
      <c r="A656" s="9" t="s">
        <v>2282</v>
      </c>
      <c r="B656" s="9" t="s">
        <v>1652</v>
      </c>
      <c r="C656" s="9">
        <v>111</v>
      </c>
      <c r="D656" s="149" t="s">
        <v>1630</v>
      </c>
      <c r="E656" s="150">
        <v>45141</v>
      </c>
      <c r="F656" s="9">
        <v>99</v>
      </c>
      <c r="G656" s="9">
        <v>4.0999999999999996</v>
      </c>
      <c r="H656" s="9">
        <f>IF(MONTH(Call_Table_Data[[#This Row],[Date of Call]])&lt;=6,YEAR(Call_Table_Data[[#This Row],[Date of Call]]),YEAR(Call_Table_Data[[#This Row],[Date of Call]])+1)</f>
        <v>2024</v>
      </c>
      <c r="I656" s="9" t="str">
        <f>TEXT(Call_Table_Data[[#This Row],[Date of Call]],"DDDD")</f>
        <v>Thursday</v>
      </c>
      <c r="J656" s="9" t="str" cm="1">
        <f t="array" ref="J656">_xlfn.IFS(Call_Table_Data[[#This Row],[Duration]]&lt;=10,"Under 10 Mins",Call_Table_Data[[#This Row],[Duration]]&lt;=30,"10 to 30 Mins",Call_Table_Data[[#This Row],[Duration]]&lt;=60,"30 to 60 Mins",Call_Table_Data[[#This Row],[Duration]]&lt;=120,"1 to 2 Hours",TRUE,"More Than 2 Hours")</f>
        <v>1 to 2 Hours</v>
      </c>
      <c r="K656" s="9">
        <f>ROUND(Call_Table_Data[[#This Row],[Satisfaction Rating]],0)</f>
        <v>4</v>
      </c>
    </row>
    <row r="657" spans="1:11" x14ac:dyDescent="0.3">
      <c r="A657" s="9" t="s">
        <v>2283</v>
      </c>
      <c r="B657" s="9" t="s">
        <v>1629</v>
      </c>
      <c r="C657" s="9">
        <v>97</v>
      </c>
      <c r="D657" s="149" t="s">
        <v>1616</v>
      </c>
      <c r="E657" s="150">
        <v>45142</v>
      </c>
      <c r="F657" s="9">
        <v>105</v>
      </c>
      <c r="G657" s="9">
        <v>2.9</v>
      </c>
      <c r="H657" s="9">
        <f>IF(MONTH(Call_Table_Data[[#This Row],[Date of Call]])&lt;=6,YEAR(Call_Table_Data[[#This Row],[Date of Call]]),YEAR(Call_Table_Data[[#This Row],[Date of Call]])+1)</f>
        <v>2024</v>
      </c>
      <c r="I657" s="9" t="str">
        <f>TEXT(Call_Table_Data[[#This Row],[Date of Call]],"DDDD")</f>
        <v>Friday</v>
      </c>
      <c r="J657" s="9" t="str" cm="1">
        <f t="array" ref="J657">_xlfn.IFS(Call_Table_Data[[#This Row],[Duration]]&lt;=10,"Under 10 Mins",Call_Table_Data[[#This Row],[Duration]]&lt;=30,"10 to 30 Mins",Call_Table_Data[[#This Row],[Duration]]&lt;=60,"30 to 60 Mins",Call_Table_Data[[#This Row],[Duration]]&lt;=120,"1 to 2 Hours",TRUE,"More Than 2 Hours")</f>
        <v>1 to 2 Hours</v>
      </c>
      <c r="K657" s="9">
        <f>ROUND(Call_Table_Data[[#This Row],[Satisfaction Rating]],0)</f>
        <v>3</v>
      </c>
    </row>
    <row r="658" spans="1:11" x14ac:dyDescent="0.3">
      <c r="A658" s="9" t="s">
        <v>2284</v>
      </c>
      <c r="B658" s="9" t="s">
        <v>1633</v>
      </c>
      <c r="C658" s="9">
        <v>144</v>
      </c>
      <c r="D658" s="149" t="s">
        <v>1626</v>
      </c>
      <c r="E658" s="150">
        <v>45142</v>
      </c>
      <c r="F658" s="9">
        <v>195</v>
      </c>
      <c r="G658" s="9">
        <v>3.4</v>
      </c>
      <c r="H658" s="9">
        <f>IF(MONTH(Call_Table_Data[[#This Row],[Date of Call]])&lt;=6,YEAR(Call_Table_Data[[#This Row],[Date of Call]]),YEAR(Call_Table_Data[[#This Row],[Date of Call]])+1)</f>
        <v>2024</v>
      </c>
      <c r="I658" s="9" t="str">
        <f>TEXT(Call_Table_Data[[#This Row],[Date of Call]],"DDDD")</f>
        <v>Friday</v>
      </c>
      <c r="J658" s="9" t="str" cm="1">
        <f t="array" ref="J658">_xlfn.IFS(Call_Table_Data[[#This Row],[Duration]]&lt;=10,"Under 10 Mins",Call_Table_Data[[#This Row],[Duration]]&lt;=30,"10 to 30 Mins",Call_Table_Data[[#This Row],[Duration]]&lt;=60,"30 to 60 Mins",Call_Table_Data[[#This Row],[Duration]]&lt;=120,"1 to 2 Hours",TRUE,"More Than 2 Hours")</f>
        <v>More Than 2 Hours</v>
      </c>
      <c r="K658" s="9">
        <f>ROUND(Call_Table_Data[[#This Row],[Satisfaction Rating]],0)</f>
        <v>3</v>
      </c>
    </row>
    <row r="659" spans="1:11" x14ac:dyDescent="0.3">
      <c r="A659" s="9" t="s">
        <v>2285</v>
      </c>
      <c r="B659" s="9" t="s">
        <v>1615</v>
      </c>
      <c r="C659" s="9">
        <v>56</v>
      </c>
      <c r="D659" s="149" t="s">
        <v>1616</v>
      </c>
      <c r="E659" s="150">
        <v>45143</v>
      </c>
      <c r="F659" s="9">
        <v>152</v>
      </c>
      <c r="G659" s="9">
        <v>4.5999999999999996</v>
      </c>
      <c r="H659" s="9">
        <f>IF(MONTH(Call_Table_Data[[#This Row],[Date of Call]])&lt;=6,YEAR(Call_Table_Data[[#This Row],[Date of Call]]),YEAR(Call_Table_Data[[#This Row],[Date of Call]])+1)</f>
        <v>2024</v>
      </c>
      <c r="I659" s="9" t="str">
        <f>TEXT(Call_Table_Data[[#This Row],[Date of Call]],"DDDD")</f>
        <v>Saturday</v>
      </c>
      <c r="J659" s="9" t="str" cm="1">
        <f t="array" ref="J659">_xlfn.IFS(Call_Table_Data[[#This Row],[Duration]]&lt;=10,"Under 10 Mins",Call_Table_Data[[#This Row],[Duration]]&lt;=30,"10 to 30 Mins",Call_Table_Data[[#This Row],[Duration]]&lt;=60,"30 to 60 Mins",Call_Table_Data[[#This Row],[Duration]]&lt;=120,"1 to 2 Hours",TRUE,"More Than 2 Hours")</f>
        <v>30 to 60 Mins</v>
      </c>
      <c r="K659" s="9">
        <f>ROUND(Call_Table_Data[[#This Row],[Satisfaction Rating]],0)</f>
        <v>5</v>
      </c>
    </row>
    <row r="660" spans="1:11" x14ac:dyDescent="0.3">
      <c r="A660" s="9" t="s">
        <v>2286</v>
      </c>
      <c r="B660" s="9" t="s">
        <v>1633</v>
      </c>
      <c r="C660" s="9">
        <v>132</v>
      </c>
      <c r="D660" s="149" t="s">
        <v>1626</v>
      </c>
      <c r="E660" s="150">
        <v>45144</v>
      </c>
      <c r="F660" s="9">
        <v>195</v>
      </c>
      <c r="G660" s="9">
        <v>4.9000000000000004</v>
      </c>
      <c r="H660" s="9">
        <f>IF(MONTH(Call_Table_Data[[#This Row],[Date of Call]])&lt;=6,YEAR(Call_Table_Data[[#This Row],[Date of Call]]),YEAR(Call_Table_Data[[#This Row],[Date of Call]])+1)</f>
        <v>2024</v>
      </c>
      <c r="I660" s="9" t="str">
        <f>TEXT(Call_Table_Data[[#This Row],[Date of Call]],"DDDD")</f>
        <v>Sunday</v>
      </c>
      <c r="J660" s="9" t="str" cm="1">
        <f t="array" ref="J660">_xlfn.IFS(Call_Table_Data[[#This Row],[Duration]]&lt;=10,"Under 10 Mins",Call_Table_Data[[#This Row],[Duration]]&lt;=30,"10 to 30 Mins",Call_Table_Data[[#This Row],[Duration]]&lt;=60,"30 to 60 Mins",Call_Table_Data[[#This Row],[Duration]]&lt;=120,"1 to 2 Hours",TRUE,"More Than 2 Hours")</f>
        <v>More Than 2 Hours</v>
      </c>
      <c r="K660" s="9">
        <f>ROUND(Call_Table_Data[[#This Row],[Satisfaction Rating]],0)</f>
        <v>5</v>
      </c>
    </row>
    <row r="661" spans="1:11" x14ac:dyDescent="0.3">
      <c r="A661" s="9" t="s">
        <v>2287</v>
      </c>
      <c r="B661" s="9" t="s">
        <v>1624</v>
      </c>
      <c r="C661" s="9">
        <v>72</v>
      </c>
      <c r="D661" s="149" t="s">
        <v>1621</v>
      </c>
      <c r="E661" s="150">
        <v>45144</v>
      </c>
      <c r="F661" s="9">
        <v>70</v>
      </c>
      <c r="G661" s="9">
        <v>3.6</v>
      </c>
      <c r="H661" s="9">
        <f>IF(MONTH(Call_Table_Data[[#This Row],[Date of Call]])&lt;=6,YEAR(Call_Table_Data[[#This Row],[Date of Call]]),YEAR(Call_Table_Data[[#This Row],[Date of Call]])+1)</f>
        <v>2024</v>
      </c>
      <c r="I661" s="9" t="str">
        <f>TEXT(Call_Table_Data[[#This Row],[Date of Call]],"DDDD")</f>
        <v>Sunday</v>
      </c>
      <c r="J661" s="9" t="str" cm="1">
        <f t="array" ref="J661">_xlfn.IFS(Call_Table_Data[[#This Row],[Duration]]&lt;=10,"Under 10 Mins",Call_Table_Data[[#This Row],[Duration]]&lt;=30,"10 to 30 Mins",Call_Table_Data[[#This Row],[Duration]]&lt;=60,"30 to 60 Mins",Call_Table_Data[[#This Row],[Duration]]&lt;=120,"1 to 2 Hours",TRUE,"More Than 2 Hours")</f>
        <v>1 to 2 Hours</v>
      </c>
      <c r="K661" s="9">
        <f>ROUND(Call_Table_Data[[#This Row],[Satisfaction Rating]],0)</f>
        <v>4</v>
      </c>
    </row>
    <row r="662" spans="1:11" x14ac:dyDescent="0.3">
      <c r="A662" s="9" t="s">
        <v>2288</v>
      </c>
      <c r="B662" s="9" t="s">
        <v>1652</v>
      </c>
      <c r="C662" s="9">
        <v>18</v>
      </c>
      <c r="D662" s="149" t="s">
        <v>1621</v>
      </c>
      <c r="E662" s="150">
        <v>45144</v>
      </c>
      <c r="F662" s="9">
        <v>22</v>
      </c>
      <c r="G662" s="9">
        <v>3.5</v>
      </c>
      <c r="H662" s="9">
        <f>IF(MONTH(Call_Table_Data[[#This Row],[Date of Call]])&lt;=6,YEAR(Call_Table_Data[[#This Row],[Date of Call]]),YEAR(Call_Table_Data[[#This Row],[Date of Call]])+1)</f>
        <v>2024</v>
      </c>
      <c r="I662" s="9" t="str">
        <f>TEXT(Call_Table_Data[[#This Row],[Date of Call]],"DDDD")</f>
        <v>Sunday</v>
      </c>
      <c r="J662" s="9" t="str" cm="1">
        <f t="array" ref="J662">_xlfn.IFS(Call_Table_Data[[#This Row],[Duration]]&lt;=10,"Under 10 Mins",Call_Table_Data[[#This Row],[Duration]]&lt;=30,"10 to 30 Mins",Call_Table_Data[[#This Row],[Duration]]&lt;=60,"30 to 60 Mins",Call_Table_Data[[#This Row],[Duration]]&lt;=120,"1 to 2 Hours",TRUE,"More Than 2 Hours")</f>
        <v>10 to 30 Mins</v>
      </c>
      <c r="K662" s="9">
        <f>ROUND(Call_Table_Data[[#This Row],[Satisfaction Rating]],0)</f>
        <v>4</v>
      </c>
    </row>
    <row r="663" spans="1:11" x14ac:dyDescent="0.3">
      <c r="A663" s="9" t="s">
        <v>2289</v>
      </c>
      <c r="B663" s="9" t="s">
        <v>1620</v>
      </c>
      <c r="C663" s="9">
        <v>115</v>
      </c>
      <c r="D663" s="149" t="s">
        <v>1630</v>
      </c>
      <c r="E663" s="150">
        <v>45145</v>
      </c>
      <c r="F663" s="9">
        <v>40</v>
      </c>
      <c r="G663" s="9">
        <v>3.3</v>
      </c>
      <c r="H663" s="9">
        <f>IF(MONTH(Call_Table_Data[[#This Row],[Date of Call]])&lt;=6,YEAR(Call_Table_Data[[#This Row],[Date of Call]]),YEAR(Call_Table_Data[[#This Row],[Date of Call]])+1)</f>
        <v>2024</v>
      </c>
      <c r="I663" s="9" t="str">
        <f>TEXT(Call_Table_Data[[#This Row],[Date of Call]],"DDDD")</f>
        <v>Monday</v>
      </c>
      <c r="J663" s="9" t="str" cm="1">
        <f t="array" ref="J663">_xlfn.IFS(Call_Table_Data[[#This Row],[Duration]]&lt;=10,"Under 10 Mins",Call_Table_Data[[#This Row],[Duration]]&lt;=30,"10 to 30 Mins",Call_Table_Data[[#This Row],[Duration]]&lt;=60,"30 to 60 Mins",Call_Table_Data[[#This Row],[Duration]]&lt;=120,"1 to 2 Hours",TRUE,"More Than 2 Hours")</f>
        <v>1 to 2 Hours</v>
      </c>
      <c r="K663" s="9">
        <f>ROUND(Call_Table_Data[[#This Row],[Satisfaction Rating]],0)</f>
        <v>3</v>
      </c>
    </row>
    <row r="664" spans="1:11" x14ac:dyDescent="0.3">
      <c r="A664" s="9" t="s">
        <v>2290</v>
      </c>
      <c r="B664" s="9" t="s">
        <v>1620</v>
      </c>
      <c r="C664" s="9">
        <v>124</v>
      </c>
      <c r="D664" s="149" t="s">
        <v>1616</v>
      </c>
      <c r="E664" s="150">
        <v>45146</v>
      </c>
      <c r="F664" s="9">
        <v>54</v>
      </c>
      <c r="G664" s="9">
        <v>3.8</v>
      </c>
      <c r="H664" s="9">
        <f>IF(MONTH(Call_Table_Data[[#This Row],[Date of Call]])&lt;=6,YEAR(Call_Table_Data[[#This Row],[Date of Call]]),YEAR(Call_Table_Data[[#This Row],[Date of Call]])+1)</f>
        <v>2024</v>
      </c>
      <c r="I664" s="9" t="str">
        <f>TEXT(Call_Table_Data[[#This Row],[Date of Call]],"DDDD")</f>
        <v>Tuesday</v>
      </c>
      <c r="J664" s="9" t="str" cm="1">
        <f t="array" ref="J664">_xlfn.IFS(Call_Table_Data[[#This Row],[Duration]]&lt;=10,"Under 10 Mins",Call_Table_Data[[#This Row],[Duration]]&lt;=30,"10 to 30 Mins",Call_Table_Data[[#This Row],[Duration]]&lt;=60,"30 to 60 Mins",Call_Table_Data[[#This Row],[Duration]]&lt;=120,"1 to 2 Hours",TRUE,"More Than 2 Hours")</f>
        <v>More Than 2 Hours</v>
      </c>
      <c r="K664" s="9">
        <f>ROUND(Call_Table_Data[[#This Row],[Satisfaction Rating]],0)</f>
        <v>4</v>
      </c>
    </row>
    <row r="665" spans="1:11" x14ac:dyDescent="0.3">
      <c r="A665" s="9" t="s">
        <v>2291</v>
      </c>
      <c r="B665" s="9" t="s">
        <v>1613</v>
      </c>
      <c r="C665" s="9">
        <v>130</v>
      </c>
      <c r="D665" s="149" t="s">
        <v>1616</v>
      </c>
      <c r="E665" s="150">
        <v>45146</v>
      </c>
      <c r="F665" s="9">
        <v>60</v>
      </c>
      <c r="G665" s="9">
        <v>2.5</v>
      </c>
      <c r="H665" s="9">
        <f>IF(MONTH(Call_Table_Data[[#This Row],[Date of Call]])&lt;=6,YEAR(Call_Table_Data[[#This Row],[Date of Call]]),YEAR(Call_Table_Data[[#This Row],[Date of Call]])+1)</f>
        <v>2024</v>
      </c>
      <c r="I665" s="9" t="str">
        <f>TEXT(Call_Table_Data[[#This Row],[Date of Call]],"DDDD")</f>
        <v>Tuesday</v>
      </c>
      <c r="J665" s="9" t="str" cm="1">
        <f t="array" ref="J665">_xlfn.IFS(Call_Table_Data[[#This Row],[Duration]]&lt;=10,"Under 10 Mins",Call_Table_Data[[#This Row],[Duration]]&lt;=30,"10 to 30 Mins",Call_Table_Data[[#This Row],[Duration]]&lt;=60,"30 to 60 Mins",Call_Table_Data[[#This Row],[Duration]]&lt;=120,"1 to 2 Hours",TRUE,"More Than 2 Hours")</f>
        <v>More Than 2 Hours</v>
      </c>
      <c r="K665" s="9">
        <f>ROUND(Call_Table_Data[[#This Row],[Satisfaction Rating]],0)</f>
        <v>3</v>
      </c>
    </row>
    <row r="666" spans="1:11" x14ac:dyDescent="0.3">
      <c r="A666" s="9" t="s">
        <v>2292</v>
      </c>
      <c r="B666" s="9" t="s">
        <v>1649</v>
      </c>
      <c r="C666" s="9">
        <v>120</v>
      </c>
      <c r="D666" s="149" t="s">
        <v>1611</v>
      </c>
      <c r="E666" s="150">
        <v>45148</v>
      </c>
      <c r="F666" s="9">
        <v>58</v>
      </c>
      <c r="G666" s="9">
        <v>4.5999999999999996</v>
      </c>
      <c r="H666" s="9">
        <f>IF(MONTH(Call_Table_Data[[#This Row],[Date of Call]])&lt;=6,YEAR(Call_Table_Data[[#This Row],[Date of Call]]),YEAR(Call_Table_Data[[#This Row],[Date of Call]])+1)</f>
        <v>2024</v>
      </c>
      <c r="I666" s="9" t="str">
        <f>TEXT(Call_Table_Data[[#This Row],[Date of Call]],"DDDD")</f>
        <v>Thursday</v>
      </c>
      <c r="J666" s="9" t="str" cm="1">
        <f t="array" ref="J666">_xlfn.IFS(Call_Table_Data[[#This Row],[Duration]]&lt;=10,"Under 10 Mins",Call_Table_Data[[#This Row],[Duration]]&lt;=30,"10 to 30 Mins",Call_Table_Data[[#This Row],[Duration]]&lt;=60,"30 to 60 Mins",Call_Table_Data[[#This Row],[Duration]]&lt;=120,"1 to 2 Hours",TRUE,"More Than 2 Hours")</f>
        <v>1 to 2 Hours</v>
      </c>
      <c r="K666" s="9">
        <f>ROUND(Call_Table_Data[[#This Row],[Satisfaction Rating]],0)</f>
        <v>5</v>
      </c>
    </row>
    <row r="667" spans="1:11" x14ac:dyDescent="0.3">
      <c r="A667" s="9" t="s">
        <v>2293</v>
      </c>
      <c r="B667" s="9" t="s">
        <v>1629</v>
      </c>
      <c r="C667" s="9">
        <v>75</v>
      </c>
      <c r="D667" s="149" t="s">
        <v>1630</v>
      </c>
      <c r="E667" s="150">
        <v>45148</v>
      </c>
      <c r="F667" s="9">
        <v>220</v>
      </c>
      <c r="G667" s="9">
        <v>4.7</v>
      </c>
      <c r="H667" s="9">
        <f>IF(MONTH(Call_Table_Data[[#This Row],[Date of Call]])&lt;=6,YEAR(Call_Table_Data[[#This Row],[Date of Call]]),YEAR(Call_Table_Data[[#This Row],[Date of Call]])+1)</f>
        <v>2024</v>
      </c>
      <c r="I667" s="9" t="str">
        <f>TEXT(Call_Table_Data[[#This Row],[Date of Call]],"DDDD")</f>
        <v>Thursday</v>
      </c>
      <c r="J667" s="9" t="str" cm="1">
        <f t="array" ref="J667">_xlfn.IFS(Call_Table_Data[[#This Row],[Duration]]&lt;=10,"Under 10 Mins",Call_Table_Data[[#This Row],[Duration]]&lt;=30,"10 to 30 Mins",Call_Table_Data[[#This Row],[Duration]]&lt;=60,"30 to 60 Mins",Call_Table_Data[[#This Row],[Duration]]&lt;=120,"1 to 2 Hours",TRUE,"More Than 2 Hours")</f>
        <v>1 to 2 Hours</v>
      </c>
      <c r="K667" s="9">
        <f>ROUND(Call_Table_Data[[#This Row],[Satisfaction Rating]],0)</f>
        <v>5</v>
      </c>
    </row>
    <row r="668" spans="1:11" x14ac:dyDescent="0.3">
      <c r="A668" s="9" t="s">
        <v>2294</v>
      </c>
      <c r="B668" s="9" t="s">
        <v>1610</v>
      </c>
      <c r="C668" s="9">
        <v>63</v>
      </c>
      <c r="D668" s="149" t="s">
        <v>1630</v>
      </c>
      <c r="E668" s="150">
        <v>45148</v>
      </c>
      <c r="F668" s="9">
        <v>27</v>
      </c>
      <c r="G668" s="9">
        <v>3.6</v>
      </c>
      <c r="H668" s="9">
        <f>IF(MONTH(Call_Table_Data[[#This Row],[Date of Call]])&lt;=6,YEAR(Call_Table_Data[[#This Row],[Date of Call]]),YEAR(Call_Table_Data[[#This Row],[Date of Call]])+1)</f>
        <v>2024</v>
      </c>
      <c r="I668" s="9" t="str">
        <f>TEXT(Call_Table_Data[[#This Row],[Date of Call]],"DDDD")</f>
        <v>Thursday</v>
      </c>
      <c r="J668" s="9" t="str" cm="1">
        <f t="array" ref="J668">_xlfn.IFS(Call_Table_Data[[#This Row],[Duration]]&lt;=10,"Under 10 Mins",Call_Table_Data[[#This Row],[Duration]]&lt;=30,"10 to 30 Mins",Call_Table_Data[[#This Row],[Duration]]&lt;=60,"30 to 60 Mins",Call_Table_Data[[#This Row],[Duration]]&lt;=120,"1 to 2 Hours",TRUE,"More Than 2 Hours")</f>
        <v>1 to 2 Hours</v>
      </c>
      <c r="K668" s="9">
        <f>ROUND(Call_Table_Data[[#This Row],[Satisfaction Rating]],0)</f>
        <v>4</v>
      </c>
    </row>
    <row r="669" spans="1:11" x14ac:dyDescent="0.3">
      <c r="A669" s="9" t="s">
        <v>2295</v>
      </c>
      <c r="B669" s="9" t="s">
        <v>1633</v>
      </c>
      <c r="C669" s="9">
        <v>74</v>
      </c>
      <c r="D669" s="149" t="s">
        <v>1630</v>
      </c>
      <c r="E669" s="150">
        <v>45150</v>
      </c>
      <c r="F669" s="9">
        <v>26</v>
      </c>
      <c r="G669" s="9">
        <v>4.3</v>
      </c>
      <c r="H669" s="9">
        <f>IF(MONTH(Call_Table_Data[[#This Row],[Date of Call]])&lt;=6,YEAR(Call_Table_Data[[#This Row],[Date of Call]]),YEAR(Call_Table_Data[[#This Row],[Date of Call]])+1)</f>
        <v>2024</v>
      </c>
      <c r="I669" s="9" t="str">
        <f>TEXT(Call_Table_Data[[#This Row],[Date of Call]],"DDDD")</f>
        <v>Saturday</v>
      </c>
      <c r="J669" s="9" t="str" cm="1">
        <f t="array" ref="J669">_xlfn.IFS(Call_Table_Data[[#This Row],[Duration]]&lt;=10,"Under 10 Mins",Call_Table_Data[[#This Row],[Duration]]&lt;=30,"10 to 30 Mins",Call_Table_Data[[#This Row],[Duration]]&lt;=60,"30 to 60 Mins",Call_Table_Data[[#This Row],[Duration]]&lt;=120,"1 to 2 Hours",TRUE,"More Than 2 Hours")</f>
        <v>1 to 2 Hours</v>
      </c>
      <c r="K669" s="9">
        <f>ROUND(Call_Table_Data[[#This Row],[Satisfaction Rating]],0)</f>
        <v>4</v>
      </c>
    </row>
    <row r="670" spans="1:11" x14ac:dyDescent="0.3">
      <c r="A670" s="9" t="s">
        <v>2296</v>
      </c>
      <c r="B670" s="9" t="s">
        <v>1644</v>
      </c>
      <c r="C670" s="9">
        <v>134</v>
      </c>
      <c r="D670" s="149" t="s">
        <v>1626</v>
      </c>
      <c r="E670" s="150">
        <v>45151</v>
      </c>
      <c r="F670" s="9">
        <v>160</v>
      </c>
      <c r="G670" s="9">
        <v>4.7</v>
      </c>
      <c r="H670" s="9">
        <f>IF(MONTH(Call_Table_Data[[#This Row],[Date of Call]])&lt;=6,YEAR(Call_Table_Data[[#This Row],[Date of Call]]),YEAR(Call_Table_Data[[#This Row],[Date of Call]])+1)</f>
        <v>2024</v>
      </c>
      <c r="I670" s="9" t="str">
        <f>TEXT(Call_Table_Data[[#This Row],[Date of Call]],"DDDD")</f>
        <v>Sunday</v>
      </c>
      <c r="J670" s="9" t="str" cm="1">
        <f t="array" ref="J670">_xlfn.IFS(Call_Table_Data[[#This Row],[Duration]]&lt;=10,"Under 10 Mins",Call_Table_Data[[#This Row],[Duration]]&lt;=30,"10 to 30 Mins",Call_Table_Data[[#This Row],[Duration]]&lt;=60,"30 to 60 Mins",Call_Table_Data[[#This Row],[Duration]]&lt;=120,"1 to 2 Hours",TRUE,"More Than 2 Hours")</f>
        <v>More Than 2 Hours</v>
      </c>
      <c r="K670" s="9">
        <f>ROUND(Call_Table_Data[[#This Row],[Satisfaction Rating]],0)</f>
        <v>5</v>
      </c>
    </row>
    <row r="671" spans="1:11" x14ac:dyDescent="0.3">
      <c r="A671" s="9" t="s">
        <v>2297</v>
      </c>
      <c r="B671" s="9" t="s">
        <v>1652</v>
      </c>
      <c r="C671" s="9">
        <v>103</v>
      </c>
      <c r="D671" s="149" t="s">
        <v>1616</v>
      </c>
      <c r="E671" s="150">
        <v>45151</v>
      </c>
      <c r="F671" s="9">
        <v>200</v>
      </c>
      <c r="G671" s="9">
        <v>4.9000000000000004</v>
      </c>
      <c r="H671" s="9">
        <f>IF(MONTH(Call_Table_Data[[#This Row],[Date of Call]])&lt;=6,YEAR(Call_Table_Data[[#This Row],[Date of Call]]),YEAR(Call_Table_Data[[#This Row],[Date of Call]])+1)</f>
        <v>2024</v>
      </c>
      <c r="I671" s="9" t="str">
        <f>TEXT(Call_Table_Data[[#This Row],[Date of Call]],"DDDD")</f>
        <v>Sunday</v>
      </c>
      <c r="J671" s="9" t="str" cm="1">
        <f t="array" ref="J671">_xlfn.IFS(Call_Table_Data[[#This Row],[Duration]]&lt;=10,"Under 10 Mins",Call_Table_Data[[#This Row],[Duration]]&lt;=30,"10 to 30 Mins",Call_Table_Data[[#This Row],[Duration]]&lt;=60,"30 to 60 Mins",Call_Table_Data[[#This Row],[Duration]]&lt;=120,"1 to 2 Hours",TRUE,"More Than 2 Hours")</f>
        <v>1 to 2 Hours</v>
      </c>
      <c r="K671" s="9">
        <f>ROUND(Call_Table_Data[[#This Row],[Satisfaction Rating]],0)</f>
        <v>5</v>
      </c>
    </row>
    <row r="672" spans="1:11" x14ac:dyDescent="0.3">
      <c r="A672" s="9" t="s">
        <v>2298</v>
      </c>
      <c r="B672" s="9" t="s">
        <v>1652</v>
      </c>
      <c r="C672" s="9">
        <v>155</v>
      </c>
      <c r="D672" s="149" t="s">
        <v>1611</v>
      </c>
      <c r="E672" s="150">
        <v>45154</v>
      </c>
      <c r="F672" s="9">
        <v>135</v>
      </c>
      <c r="G672" s="9">
        <v>4.9000000000000004</v>
      </c>
      <c r="H672" s="9">
        <f>IF(MONTH(Call_Table_Data[[#This Row],[Date of Call]])&lt;=6,YEAR(Call_Table_Data[[#This Row],[Date of Call]]),YEAR(Call_Table_Data[[#This Row],[Date of Call]])+1)</f>
        <v>2024</v>
      </c>
      <c r="I672" s="9" t="str">
        <f>TEXT(Call_Table_Data[[#This Row],[Date of Call]],"DDDD")</f>
        <v>Wednesday</v>
      </c>
      <c r="J672" s="9" t="str" cm="1">
        <f t="array" ref="J672">_xlfn.IFS(Call_Table_Data[[#This Row],[Duration]]&lt;=10,"Under 10 Mins",Call_Table_Data[[#This Row],[Duration]]&lt;=30,"10 to 30 Mins",Call_Table_Data[[#This Row],[Duration]]&lt;=60,"30 to 60 Mins",Call_Table_Data[[#This Row],[Duration]]&lt;=120,"1 to 2 Hours",TRUE,"More Than 2 Hours")</f>
        <v>More Than 2 Hours</v>
      </c>
      <c r="K672" s="9">
        <f>ROUND(Call_Table_Data[[#This Row],[Satisfaction Rating]],0)</f>
        <v>5</v>
      </c>
    </row>
    <row r="673" spans="1:11" x14ac:dyDescent="0.3">
      <c r="A673" s="9" t="s">
        <v>2299</v>
      </c>
      <c r="B673" s="9" t="s">
        <v>1610</v>
      </c>
      <c r="C673" s="9">
        <v>128</v>
      </c>
      <c r="D673" s="149" t="s">
        <v>1616</v>
      </c>
      <c r="E673" s="150">
        <v>45155</v>
      </c>
      <c r="F673" s="9">
        <v>22</v>
      </c>
      <c r="G673" s="9">
        <v>1.9</v>
      </c>
      <c r="H673" s="9">
        <f>IF(MONTH(Call_Table_Data[[#This Row],[Date of Call]])&lt;=6,YEAR(Call_Table_Data[[#This Row],[Date of Call]]),YEAR(Call_Table_Data[[#This Row],[Date of Call]])+1)</f>
        <v>2024</v>
      </c>
      <c r="I673" s="9" t="str">
        <f>TEXT(Call_Table_Data[[#This Row],[Date of Call]],"DDDD")</f>
        <v>Thursday</v>
      </c>
      <c r="J673" s="9" t="str" cm="1">
        <f t="array" ref="J673">_xlfn.IFS(Call_Table_Data[[#This Row],[Duration]]&lt;=10,"Under 10 Mins",Call_Table_Data[[#This Row],[Duration]]&lt;=30,"10 to 30 Mins",Call_Table_Data[[#This Row],[Duration]]&lt;=60,"30 to 60 Mins",Call_Table_Data[[#This Row],[Duration]]&lt;=120,"1 to 2 Hours",TRUE,"More Than 2 Hours")</f>
        <v>More Than 2 Hours</v>
      </c>
      <c r="K673" s="9">
        <f>ROUND(Call_Table_Data[[#This Row],[Satisfaction Rating]],0)</f>
        <v>2</v>
      </c>
    </row>
    <row r="674" spans="1:11" x14ac:dyDescent="0.3">
      <c r="A674" s="9" t="s">
        <v>2300</v>
      </c>
      <c r="B674" s="9" t="s">
        <v>1629</v>
      </c>
      <c r="C674" s="9">
        <v>89</v>
      </c>
      <c r="D674" s="149" t="s">
        <v>1626</v>
      </c>
      <c r="E674" s="150">
        <v>45156</v>
      </c>
      <c r="F674" s="9">
        <v>164</v>
      </c>
      <c r="G674" s="9">
        <v>4.5</v>
      </c>
      <c r="H674" s="9">
        <f>IF(MONTH(Call_Table_Data[[#This Row],[Date of Call]])&lt;=6,YEAR(Call_Table_Data[[#This Row],[Date of Call]]),YEAR(Call_Table_Data[[#This Row],[Date of Call]])+1)</f>
        <v>2024</v>
      </c>
      <c r="I674" s="9" t="str">
        <f>TEXT(Call_Table_Data[[#This Row],[Date of Call]],"DDDD")</f>
        <v>Friday</v>
      </c>
      <c r="J674" s="9" t="str" cm="1">
        <f t="array" ref="J674">_xlfn.IFS(Call_Table_Data[[#This Row],[Duration]]&lt;=10,"Under 10 Mins",Call_Table_Data[[#This Row],[Duration]]&lt;=30,"10 to 30 Mins",Call_Table_Data[[#This Row],[Duration]]&lt;=60,"30 to 60 Mins",Call_Table_Data[[#This Row],[Duration]]&lt;=120,"1 to 2 Hours",TRUE,"More Than 2 Hours")</f>
        <v>1 to 2 Hours</v>
      </c>
      <c r="K674" s="9">
        <f>ROUND(Call_Table_Data[[#This Row],[Satisfaction Rating]],0)</f>
        <v>5</v>
      </c>
    </row>
    <row r="675" spans="1:11" x14ac:dyDescent="0.3">
      <c r="A675" s="9" t="s">
        <v>2301</v>
      </c>
      <c r="B675" s="9" t="s">
        <v>1620</v>
      </c>
      <c r="C675" s="9">
        <v>81</v>
      </c>
      <c r="D675" s="149" t="s">
        <v>1611</v>
      </c>
      <c r="E675" s="150">
        <v>45156</v>
      </c>
      <c r="F675" s="9">
        <v>21</v>
      </c>
      <c r="G675" s="9">
        <v>4.9000000000000004</v>
      </c>
      <c r="H675" s="9">
        <f>IF(MONTH(Call_Table_Data[[#This Row],[Date of Call]])&lt;=6,YEAR(Call_Table_Data[[#This Row],[Date of Call]]),YEAR(Call_Table_Data[[#This Row],[Date of Call]])+1)</f>
        <v>2024</v>
      </c>
      <c r="I675" s="9" t="str">
        <f>TEXT(Call_Table_Data[[#This Row],[Date of Call]],"DDDD")</f>
        <v>Friday</v>
      </c>
      <c r="J675" s="9" t="str" cm="1">
        <f t="array" ref="J675">_xlfn.IFS(Call_Table_Data[[#This Row],[Duration]]&lt;=10,"Under 10 Mins",Call_Table_Data[[#This Row],[Duration]]&lt;=30,"10 to 30 Mins",Call_Table_Data[[#This Row],[Duration]]&lt;=60,"30 to 60 Mins",Call_Table_Data[[#This Row],[Duration]]&lt;=120,"1 to 2 Hours",TRUE,"More Than 2 Hours")</f>
        <v>1 to 2 Hours</v>
      </c>
      <c r="K675" s="9">
        <f>ROUND(Call_Table_Data[[#This Row],[Satisfaction Rating]],0)</f>
        <v>5</v>
      </c>
    </row>
    <row r="676" spans="1:11" x14ac:dyDescent="0.3">
      <c r="A676" s="9" t="s">
        <v>2302</v>
      </c>
      <c r="B676" s="9" t="s">
        <v>1629</v>
      </c>
      <c r="C676" s="9">
        <v>66</v>
      </c>
      <c r="D676" s="149" t="s">
        <v>1626</v>
      </c>
      <c r="E676" s="150">
        <v>45157</v>
      </c>
      <c r="F676" s="9">
        <v>120</v>
      </c>
      <c r="G676" s="9">
        <v>4.5</v>
      </c>
      <c r="H676" s="9">
        <f>IF(MONTH(Call_Table_Data[[#This Row],[Date of Call]])&lt;=6,YEAR(Call_Table_Data[[#This Row],[Date of Call]]),YEAR(Call_Table_Data[[#This Row],[Date of Call]])+1)</f>
        <v>2024</v>
      </c>
      <c r="I676" s="9" t="str">
        <f>TEXT(Call_Table_Data[[#This Row],[Date of Call]],"DDDD")</f>
        <v>Saturday</v>
      </c>
      <c r="J676" s="9" t="str" cm="1">
        <f t="array" ref="J676">_xlfn.IFS(Call_Table_Data[[#This Row],[Duration]]&lt;=10,"Under 10 Mins",Call_Table_Data[[#This Row],[Duration]]&lt;=30,"10 to 30 Mins",Call_Table_Data[[#This Row],[Duration]]&lt;=60,"30 to 60 Mins",Call_Table_Data[[#This Row],[Duration]]&lt;=120,"1 to 2 Hours",TRUE,"More Than 2 Hours")</f>
        <v>1 to 2 Hours</v>
      </c>
      <c r="K676" s="9">
        <f>ROUND(Call_Table_Data[[#This Row],[Satisfaction Rating]],0)</f>
        <v>5</v>
      </c>
    </row>
    <row r="677" spans="1:11" x14ac:dyDescent="0.3">
      <c r="A677" s="9" t="s">
        <v>2303</v>
      </c>
      <c r="B677" s="9" t="s">
        <v>1624</v>
      </c>
      <c r="C677" s="9">
        <v>61</v>
      </c>
      <c r="D677" s="149" t="s">
        <v>1621</v>
      </c>
      <c r="E677" s="150">
        <v>45157</v>
      </c>
      <c r="F677" s="9">
        <v>93</v>
      </c>
      <c r="G677" s="9">
        <v>2.7</v>
      </c>
      <c r="H677" s="9">
        <f>IF(MONTH(Call_Table_Data[[#This Row],[Date of Call]])&lt;=6,YEAR(Call_Table_Data[[#This Row],[Date of Call]]),YEAR(Call_Table_Data[[#This Row],[Date of Call]])+1)</f>
        <v>2024</v>
      </c>
      <c r="I677" s="9" t="str">
        <f>TEXT(Call_Table_Data[[#This Row],[Date of Call]],"DDDD")</f>
        <v>Saturday</v>
      </c>
      <c r="J677" s="9" t="str" cm="1">
        <f t="array" ref="J677">_xlfn.IFS(Call_Table_Data[[#This Row],[Duration]]&lt;=10,"Under 10 Mins",Call_Table_Data[[#This Row],[Duration]]&lt;=30,"10 to 30 Mins",Call_Table_Data[[#This Row],[Duration]]&lt;=60,"30 to 60 Mins",Call_Table_Data[[#This Row],[Duration]]&lt;=120,"1 to 2 Hours",TRUE,"More Than 2 Hours")</f>
        <v>1 to 2 Hours</v>
      </c>
      <c r="K677" s="9">
        <f>ROUND(Call_Table_Data[[#This Row],[Satisfaction Rating]],0)</f>
        <v>3</v>
      </c>
    </row>
    <row r="678" spans="1:11" x14ac:dyDescent="0.3">
      <c r="A678" s="9" t="s">
        <v>2304</v>
      </c>
      <c r="B678" s="9" t="s">
        <v>1620</v>
      </c>
      <c r="C678" s="9">
        <v>128</v>
      </c>
      <c r="D678" s="149" t="s">
        <v>1621</v>
      </c>
      <c r="E678" s="150">
        <v>45157</v>
      </c>
      <c r="F678" s="9">
        <v>135</v>
      </c>
      <c r="G678" s="9">
        <v>2.1</v>
      </c>
      <c r="H678" s="9">
        <f>IF(MONTH(Call_Table_Data[[#This Row],[Date of Call]])&lt;=6,YEAR(Call_Table_Data[[#This Row],[Date of Call]]),YEAR(Call_Table_Data[[#This Row],[Date of Call]])+1)</f>
        <v>2024</v>
      </c>
      <c r="I678" s="9" t="str">
        <f>TEXT(Call_Table_Data[[#This Row],[Date of Call]],"DDDD")</f>
        <v>Saturday</v>
      </c>
      <c r="J678" s="9" t="str" cm="1">
        <f t="array" ref="J678">_xlfn.IFS(Call_Table_Data[[#This Row],[Duration]]&lt;=10,"Under 10 Mins",Call_Table_Data[[#This Row],[Duration]]&lt;=30,"10 to 30 Mins",Call_Table_Data[[#This Row],[Duration]]&lt;=60,"30 to 60 Mins",Call_Table_Data[[#This Row],[Duration]]&lt;=120,"1 to 2 Hours",TRUE,"More Than 2 Hours")</f>
        <v>More Than 2 Hours</v>
      </c>
      <c r="K678" s="9">
        <f>ROUND(Call_Table_Data[[#This Row],[Satisfaction Rating]],0)</f>
        <v>2</v>
      </c>
    </row>
    <row r="679" spans="1:11" x14ac:dyDescent="0.3">
      <c r="A679" s="9" t="s">
        <v>2305</v>
      </c>
      <c r="B679" s="9" t="s">
        <v>1652</v>
      </c>
      <c r="C679" s="9">
        <v>30</v>
      </c>
      <c r="D679" s="149" t="s">
        <v>1611</v>
      </c>
      <c r="E679" s="150">
        <v>45157</v>
      </c>
      <c r="F679" s="9">
        <v>210</v>
      </c>
      <c r="G679" s="9">
        <v>4.2</v>
      </c>
      <c r="H679" s="9">
        <f>IF(MONTH(Call_Table_Data[[#This Row],[Date of Call]])&lt;=6,YEAR(Call_Table_Data[[#This Row],[Date of Call]]),YEAR(Call_Table_Data[[#This Row],[Date of Call]])+1)</f>
        <v>2024</v>
      </c>
      <c r="I679" s="9" t="str">
        <f>TEXT(Call_Table_Data[[#This Row],[Date of Call]],"DDDD")</f>
        <v>Saturday</v>
      </c>
      <c r="J679" s="9" t="str" cm="1">
        <f t="array" ref="J679">_xlfn.IFS(Call_Table_Data[[#This Row],[Duration]]&lt;=10,"Under 10 Mins",Call_Table_Data[[#This Row],[Duration]]&lt;=30,"10 to 30 Mins",Call_Table_Data[[#This Row],[Duration]]&lt;=60,"30 to 60 Mins",Call_Table_Data[[#This Row],[Duration]]&lt;=120,"1 to 2 Hours",TRUE,"More Than 2 Hours")</f>
        <v>10 to 30 Mins</v>
      </c>
      <c r="K679" s="9">
        <f>ROUND(Call_Table_Data[[#This Row],[Satisfaction Rating]],0)</f>
        <v>4</v>
      </c>
    </row>
    <row r="680" spans="1:11" x14ac:dyDescent="0.3">
      <c r="A680" s="9" t="s">
        <v>2306</v>
      </c>
      <c r="B680" s="9" t="s">
        <v>1682</v>
      </c>
      <c r="C680" s="9">
        <v>63</v>
      </c>
      <c r="D680" s="149" t="s">
        <v>1621</v>
      </c>
      <c r="E680" s="150">
        <v>45158</v>
      </c>
      <c r="F680" s="9">
        <v>29</v>
      </c>
      <c r="G680" s="9">
        <v>4.7</v>
      </c>
      <c r="H680" s="9">
        <f>IF(MONTH(Call_Table_Data[[#This Row],[Date of Call]])&lt;=6,YEAR(Call_Table_Data[[#This Row],[Date of Call]]),YEAR(Call_Table_Data[[#This Row],[Date of Call]])+1)</f>
        <v>2024</v>
      </c>
      <c r="I680" s="9" t="str">
        <f>TEXT(Call_Table_Data[[#This Row],[Date of Call]],"DDDD")</f>
        <v>Sunday</v>
      </c>
      <c r="J680" s="9" t="str" cm="1">
        <f t="array" ref="J680">_xlfn.IFS(Call_Table_Data[[#This Row],[Duration]]&lt;=10,"Under 10 Mins",Call_Table_Data[[#This Row],[Duration]]&lt;=30,"10 to 30 Mins",Call_Table_Data[[#This Row],[Duration]]&lt;=60,"30 to 60 Mins",Call_Table_Data[[#This Row],[Duration]]&lt;=120,"1 to 2 Hours",TRUE,"More Than 2 Hours")</f>
        <v>1 to 2 Hours</v>
      </c>
      <c r="K680" s="9">
        <f>ROUND(Call_Table_Data[[#This Row],[Satisfaction Rating]],0)</f>
        <v>5</v>
      </c>
    </row>
    <row r="681" spans="1:11" x14ac:dyDescent="0.3">
      <c r="A681" s="9" t="s">
        <v>2307</v>
      </c>
      <c r="B681" s="9" t="s">
        <v>1635</v>
      </c>
      <c r="C681" s="9">
        <v>64</v>
      </c>
      <c r="D681" s="149" t="s">
        <v>1630</v>
      </c>
      <c r="E681" s="150">
        <v>45158</v>
      </c>
      <c r="F681" s="9">
        <v>111</v>
      </c>
      <c r="G681" s="9">
        <v>3.9</v>
      </c>
      <c r="H681" s="9">
        <f>IF(MONTH(Call_Table_Data[[#This Row],[Date of Call]])&lt;=6,YEAR(Call_Table_Data[[#This Row],[Date of Call]]),YEAR(Call_Table_Data[[#This Row],[Date of Call]])+1)</f>
        <v>2024</v>
      </c>
      <c r="I681" s="9" t="str">
        <f>TEXT(Call_Table_Data[[#This Row],[Date of Call]],"DDDD")</f>
        <v>Sunday</v>
      </c>
      <c r="J681" s="9" t="str" cm="1">
        <f t="array" ref="J681">_xlfn.IFS(Call_Table_Data[[#This Row],[Duration]]&lt;=10,"Under 10 Mins",Call_Table_Data[[#This Row],[Duration]]&lt;=30,"10 to 30 Mins",Call_Table_Data[[#This Row],[Duration]]&lt;=60,"30 to 60 Mins",Call_Table_Data[[#This Row],[Duration]]&lt;=120,"1 to 2 Hours",TRUE,"More Than 2 Hours")</f>
        <v>1 to 2 Hours</v>
      </c>
      <c r="K681" s="9">
        <f>ROUND(Call_Table_Data[[#This Row],[Satisfaction Rating]],0)</f>
        <v>4</v>
      </c>
    </row>
    <row r="682" spans="1:11" x14ac:dyDescent="0.3">
      <c r="A682" s="9" t="s">
        <v>2308</v>
      </c>
      <c r="B682" s="9" t="s">
        <v>1618</v>
      </c>
      <c r="C682" s="9">
        <v>151</v>
      </c>
      <c r="D682" s="149" t="s">
        <v>1616</v>
      </c>
      <c r="E682" s="150">
        <v>45159</v>
      </c>
      <c r="F682" s="9">
        <v>63</v>
      </c>
      <c r="G682" s="9">
        <v>4.0999999999999996</v>
      </c>
      <c r="H682" s="9">
        <f>IF(MONTH(Call_Table_Data[[#This Row],[Date of Call]])&lt;=6,YEAR(Call_Table_Data[[#This Row],[Date of Call]]),YEAR(Call_Table_Data[[#This Row],[Date of Call]])+1)</f>
        <v>2024</v>
      </c>
      <c r="I682" s="9" t="str">
        <f>TEXT(Call_Table_Data[[#This Row],[Date of Call]],"DDDD")</f>
        <v>Monday</v>
      </c>
      <c r="J682" s="9" t="str" cm="1">
        <f t="array" ref="J682">_xlfn.IFS(Call_Table_Data[[#This Row],[Duration]]&lt;=10,"Under 10 Mins",Call_Table_Data[[#This Row],[Duration]]&lt;=30,"10 to 30 Mins",Call_Table_Data[[#This Row],[Duration]]&lt;=60,"30 to 60 Mins",Call_Table_Data[[#This Row],[Duration]]&lt;=120,"1 to 2 Hours",TRUE,"More Than 2 Hours")</f>
        <v>More Than 2 Hours</v>
      </c>
      <c r="K682" s="9">
        <f>ROUND(Call_Table_Data[[#This Row],[Satisfaction Rating]],0)</f>
        <v>4</v>
      </c>
    </row>
    <row r="683" spans="1:11" x14ac:dyDescent="0.3">
      <c r="A683" s="9" t="s">
        <v>2309</v>
      </c>
      <c r="B683" s="9" t="s">
        <v>1662</v>
      </c>
      <c r="C683" s="9">
        <v>116</v>
      </c>
      <c r="D683" s="149" t="s">
        <v>1626</v>
      </c>
      <c r="E683" s="150">
        <v>45159</v>
      </c>
      <c r="F683" s="9">
        <v>44</v>
      </c>
      <c r="G683" s="9">
        <v>3.8</v>
      </c>
      <c r="H683" s="9">
        <f>IF(MONTH(Call_Table_Data[[#This Row],[Date of Call]])&lt;=6,YEAR(Call_Table_Data[[#This Row],[Date of Call]]),YEAR(Call_Table_Data[[#This Row],[Date of Call]])+1)</f>
        <v>2024</v>
      </c>
      <c r="I683" s="9" t="str">
        <f>TEXT(Call_Table_Data[[#This Row],[Date of Call]],"DDDD")</f>
        <v>Monday</v>
      </c>
      <c r="J683" s="9" t="str" cm="1">
        <f t="array" ref="J683">_xlfn.IFS(Call_Table_Data[[#This Row],[Duration]]&lt;=10,"Under 10 Mins",Call_Table_Data[[#This Row],[Duration]]&lt;=30,"10 to 30 Mins",Call_Table_Data[[#This Row],[Duration]]&lt;=60,"30 to 60 Mins",Call_Table_Data[[#This Row],[Duration]]&lt;=120,"1 to 2 Hours",TRUE,"More Than 2 Hours")</f>
        <v>1 to 2 Hours</v>
      </c>
      <c r="K683" s="9">
        <f>ROUND(Call_Table_Data[[#This Row],[Satisfaction Rating]],0)</f>
        <v>4</v>
      </c>
    </row>
    <row r="684" spans="1:11" x14ac:dyDescent="0.3">
      <c r="A684" s="9" t="s">
        <v>2310</v>
      </c>
      <c r="B684" s="9" t="s">
        <v>1618</v>
      </c>
      <c r="C684" s="9">
        <v>111</v>
      </c>
      <c r="D684" s="149" t="s">
        <v>1626</v>
      </c>
      <c r="E684" s="150">
        <v>45161</v>
      </c>
      <c r="F684" s="9">
        <v>120</v>
      </c>
      <c r="G684" s="9">
        <v>1.8</v>
      </c>
      <c r="H684" s="9">
        <f>IF(MONTH(Call_Table_Data[[#This Row],[Date of Call]])&lt;=6,YEAR(Call_Table_Data[[#This Row],[Date of Call]]),YEAR(Call_Table_Data[[#This Row],[Date of Call]])+1)</f>
        <v>2024</v>
      </c>
      <c r="I684" s="9" t="str">
        <f>TEXT(Call_Table_Data[[#This Row],[Date of Call]],"DDDD")</f>
        <v>Wednesday</v>
      </c>
      <c r="J684" s="9" t="str" cm="1">
        <f t="array" ref="J684">_xlfn.IFS(Call_Table_Data[[#This Row],[Duration]]&lt;=10,"Under 10 Mins",Call_Table_Data[[#This Row],[Duration]]&lt;=30,"10 to 30 Mins",Call_Table_Data[[#This Row],[Duration]]&lt;=60,"30 to 60 Mins",Call_Table_Data[[#This Row],[Duration]]&lt;=120,"1 to 2 Hours",TRUE,"More Than 2 Hours")</f>
        <v>1 to 2 Hours</v>
      </c>
      <c r="K684" s="9">
        <f>ROUND(Call_Table_Data[[#This Row],[Satisfaction Rating]],0)</f>
        <v>2</v>
      </c>
    </row>
    <row r="685" spans="1:11" x14ac:dyDescent="0.3">
      <c r="A685" s="9" t="s">
        <v>2311</v>
      </c>
      <c r="B685" s="9" t="s">
        <v>1620</v>
      </c>
      <c r="C685" s="9">
        <v>15</v>
      </c>
      <c r="D685" s="149" t="s">
        <v>1626</v>
      </c>
      <c r="E685" s="150">
        <v>45161</v>
      </c>
      <c r="F685" s="9">
        <v>120</v>
      </c>
      <c r="G685" s="9">
        <v>4.0999999999999996</v>
      </c>
      <c r="H685" s="9">
        <f>IF(MONTH(Call_Table_Data[[#This Row],[Date of Call]])&lt;=6,YEAR(Call_Table_Data[[#This Row],[Date of Call]]),YEAR(Call_Table_Data[[#This Row],[Date of Call]])+1)</f>
        <v>2024</v>
      </c>
      <c r="I685" s="9" t="str">
        <f>TEXT(Call_Table_Data[[#This Row],[Date of Call]],"DDDD")</f>
        <v>Wednesday</v>
      </c>
      <c r="J685" s="9" t="str" cm="1">
        <f t="array" ref="J685">_xlfn.IFS(Call_Table_Data[[#This Row],[Duration]]&lt;=10,"Under 10 Mins",Call_Table_Data[[#This Row],[Duration]]&lt;=30,"10 to 30 Mins",Call_Table_Data[[#This Row],[Duration]]&lt;=60,"30 to 60 Mins",Call_Table_Data[[#This Row],[Duration]]&lt;=120,"1 to 2 Hours",TRUE,"More Than 2 Hours")</f>
        <v>10 to 30 Mins</v>
      </c>
      <c r="K685" s="9">
        <f>ROUND(Call_Table_Data[[#This Row],[Satisfaction Rating]],0)</f>
        <v>4</v>
      </c>
    </row>
    <row r="686" spans="1:11" x14ac:dyDescent="0.3">
      <c r="A686" s="9" t="s">
        <v>2312</v>
      </c>
      <c r="B686" s="9" t="s">
        <v>1635</v>
      </c>
      <c r="C686" s="9">
        <v>18</v>
      </c>
      <c r="D686" s="149" t="s">
        <v>1616</v>
      </c>
      <c r="E686" s="150">
        <v>45162</v>
      </c>
      <c r="F686" s="9">
        <v>40</v>
      </c>
      <c r="G686" s="9">
        <v>4.4000000000000004</v>
      </c>
      <c r="H686" s="9">
        <f>IF(MONTH(Call_Table_Data[[#This Row],[Date of Call]])&lt;=6,YEAR(Call_Table_Data[[#This Row],[Date of Call]]),YEAR(Call_Table_Data[[#This Row],[Date of Call]])+1)</f>
        <v>2024</v>
      </c>
      <c r="I686" s="9" t="str">
        <f>TEXT(Call_Table_Data[[#This Row],[Date of Call]],"DDDD")</f>
        <v>Thursday</v>
      </c>
      <c r="J686" s="9" t="str" cm="1">
        <f t="array" ref="J686">_xlfn.IFS(Call_Table_Data[[#This Row],[Duration]]&lt;=10,"Under 10 Mins",Call_Table_Data[[#This Row],[Duration]]&lt;=30,"10 to 30 Mins",Call_Table_Data[[#This Row],[Duration]]&lt;=60,"30 to 60 Mins",Call_Table_Data[[#This Row],[Duration]]&lt;=120,"1 to 2 Hours",TRUE,"More Than 2 Hours")</f>
        <v>10 to 30 Mins</v>
      </c>
      <c r="K686" s="9">
        <f>ROUND(Call_Table_Data[[#This Row],[Satisfaction Rating]],0)</f>
        <v>4</v>
      </c>
    </row>
    <row r="687" spans="1:11" x14ac:dyDescent="0.3">
      <c r="A687" s="9" t="s">
        <v>2313</v>
      </c>
      <c r="B687" s="9" t="s">
        <v>1624</v>
      </c>
      <c r="C687" s="9">
        <v>146</v>
      </c>
      <c r="D687" s="149" t="s">
        <v>1621</v>
      </c>
      <c r="E687" s="150">
        <v>45162</v>
      </c>
      <c r="F687" s="9">
        <v>160</v>
      </c>
      <c r="G687" s="9">
        <v>4.0999999999999996</v>
      </c>
      <c r="H687" s="9">
        <f>IF(MONTH(Call_Table_Data[[#This Row],[Date of Call]])&lt;=6,YEAR(Call_Table_Data[[#This Row],[Date of Call]]),YEAR(Call_Table_Data[[#This Row],[Date of Call]])+1)</f>
        <v>2024</v>
      </c>
      <c r="I687" s="9" t="str">
        <f>TEXT(Call_Table_Data[[#This Row],[Date of Call]],"DDDD")</f>
        <v>Thursday</v>
      </c>
      <c r="J687" s="9" t="str" cm="1">
        <f t="array" ref="J687">_xlfn.IFS(Call_Table_Data[[#This Row],[Duration]]&lt;=10,"Under 10 Mins",Call_Table_Data[[#This Row],[Duration]]&lt;=30,"10 to 30 Mins",Call_Table_Data[[#This Row],[Duration]]&lt;=60,"30 to 60 Mins",Call_Table_Data[[#This Row],[Duration]]&lt;=120,"1 to 2 Hours",TRUE,"More Than 2 Hours")</f>
        <v>More Than 2 Hours</v>
      </c>
      <c r="K687" s="9">
        <f>ROUND(Call_Table_Data[[#This Row],[Satisfaction Rating]],0)</f>
        <v>4</v>
      </c>
    </row>
    <row r="688" spans="1:11" x14ac:dyDescent="0.3">
      <c r="A688" s="9" t="s">
        <v>2314</v>
      </c>
      <c r="B688" s="9" t="s">
        <v>1652</v>
      </c>
      <c r="C688" s="9">
        <v>73</v>
      </c>
      <c r="D688" s="149" t="s">
        <v>1626</v>
      </c>
      <c r="E688" s="150">
        <v>45163</v>
      </c>
      <c r="F688" s="9">
        <v>44</v>
      </c>
      <c r="G688" s="9">
        <v>3.8</v>
      </c>
      <c r="H688" s="9">
        <f>IF(MONTH(Call_Table_Data[[#This Row],[Date of Call]])&lt;=6,YEAR(Call_Table_Data[[#This Row],[Date of Call]]),YEAR(Call_Table_Data[[#This Row],[Date of Call]])+1)</f>
        <v>2024</v>
      </c>
      <c r="I688" s="9" t="str">
        <f>TEXT(Call_Table_Data[[#This Row],[Date of Call]],"DDDD")</f>
        <v>Friday</v>
      </c>
      <c r="J688" s="9" t="str" cm="1">
        <f t="array" ref="J688">_xlfn.IFS(Call_Table_Data[[#This Row],[Duration]]&lt;=10,"Under 10 Mins",Call_Table_Data[[#This Row],[Duration]]&lt;=30,"10 to 30 Mins",Call_Table_Data[[#This Row],[Duration]]&lt;=60,"30 to 60 Mins",Call_Table_Data[[#This Row],[Duration]]&lt;=120,"1 to 2 Hours",TRUE,"More Than 2 Hours")</f>
        <v>1 to 2 Hours</v>
      </c>
      <c r="K688" s="9">
        <f>ROUND(Call_Table_Data[[#This Row],[Satisfaction Rating]],0)</f>
        <v>4</v>
      </c>
    </row>
    <row r="689" spans="1:11" x14ac:dyDescent="0.3">
      <c r="A689" s="9" t="s">
        <v>2315</v>
      </c>
      <c r="B689" s="9" t="s">
        <v>1618</v>
      </c>
      <c r="C689" s="9">
        <v>108</v>
      </c>
      <c r="D689" s="149" t="s">
        <v>1616</v>
      </c>
      <c r="E689" s="150">
        <v>45163</v>
      </c>
      <c r="F689" s="9">
        <v>80</v>
      </c>
      <c r="G689" s="9">
        <v>4.3</v>
      </c>
      <c r="H689" s="9">
        <f>IF(MONTH(Call_Table_Data[[#This Row],[Date of Call]])&lt;=6,YEAR(Call_Table_Data[[#This Row],[Date of Call]]),YEAR(Call_Table_Data[[#This Row],[Date of Call]])+1)</f>
        <v>2024</v>
      </c>
      <c r="I689" s="9" t="str">
        <f>TEXT(Call_Table_Data[[#This Row],[Date of Call]],"DDDD")</f>
        <v>Friday</v>
      </c>
      <c r="J689" s="9" t="str" cm="1">
        <f t="array" ref="J689">_xlfn.IFS(Call_Table_Data[[#This Row],[Duration]]&lt;=10,"Under 10 Mins",Call_Table_Data[[#This Row],[Duration]]&lt;=30,"10 to 30 Mins",Call_Table_Data[[#This Row],[Duration]]&lt;=60,"30 to 60 Mins",Call_Table_Data[[#This Row],[Duration]]&lt;=120,"1 to 2 Hours",TRUE,"More Than 2 Hours")</f>
        <v>1 to 2 Hours</v>
      </c>
      <c r="K689" s="9">
        <f>ROUND(Call_Table_Data[[#This Row],[Satisfaction Rating]],0)</f>
        <v>4</v>
      </c>
    </row>
    <row r="690" spans="1:11" x14ac:dyDescent="0.3">
      <c r="A690" s="9" t="s">
        <v>2316</v>
      </c>
      <c r="B690" s="9" t="s">
        <v>1644</v>
      </c>
      <c r="C690" s="9">
        <v>52</v>
      </c>
      <c r="D690" s="149" t="s">
        <v>1616</v>
      </c>
      <c r="E690" s="150">
        <v>45164</v>
      </c>
      <c r="F690" s="9">
        <v>66</v>
      </c>
      <c r="G690" s="9">
        <v>4.5</v>
      </c>
      <c r="H690" s="9">
        <f>IF(MONTH(Call_Table_Data[[#This Row],[Date of Call]])&lt;=6,YEAR(Call_Table_Data[[#This Row],[Date of Call]]),YEAR(Call_Table_Data[[#This Row],[Date of Call]])+1)</f>
        <v>2024</v>
      </c>
      <c r="I690" s="9" t="str">
        <f>TEXT(Call_Table_Data[[#This Row],[Date of Call]],"DDDD")</f>
        <v>Saturday</v>
      </c>
      <c r="J690" s="9" t="str" cm="1">
        <f t="array" ref="J690">_xlfn.IFS(Call_Table_Data[[#This Row],[Duration]]&lt;=10,"Under 10 Mins",Call_Table_Data[[#This Row],[Duration]]&lt;=30,"10 to 30 Mins",Call_Table_Data[[#This Row],[Duration]]&lt;=60,"30 to 60 Mins",Call_Table_Data[[#This Row],[Duration]]&lt;=120,"1 to 2 Hours",TRUE,"More Than 2 Hours")</f>
        <v>30 to 60 Mins</v>
      </c>
      <c r="K690" s="9">
        <f>ROUND(Call_Table_Data[[#This Row],[Satisfaction Rating]],0)</f>
        <v>5</v>
      </c>
    </row>
    <row r="691" spans="1:11" x14ac:dyDescent="0.3">
      <c r="A691" s="9" t="s">
        <v>2317</v>
      </c>
      <c r="B691" s="9" t="s">
        <v>1662</v>
      </c>
      <c r="C691" s="9">
        <v>165</v>
      </c>
      <c r="D691" s="149" t="s">
        <v>1630</v>
      </c>
      <c r="E691" s="150">
        <v>45164</v>
      </c>
      <c r="F691" s="9">
        <v>82</v>
      </c>
      <c r="G691" s="9">
        <v>3.4</v>
      </c>
      <c r="H691" s="9">
        <f>IF(MONTH(Call_Table_Data[[#This Row],[Date of Call]])&lt;=6,YEAR(Call_Table_Data[[#This Row],[Date of Call]]),YEAR(Call_Table_Data[[#This Row],[Date of Call]])+1)</f>
        <v>2024</v>
      </c>
      <c r="I691" s="9" t="str">
        <f>TEXT(Call_Table_Data[[#This Row],[Date of Call]],"DDDD")</f>
        <v>Saturday</v>
      </c>
      <c r="J691" s="9" t="str" cm="1">
        <f t="array" ref="J691">_xlfn.IFS(Call_Table_Data[[#This Row],[Duration]]&lt;=10,"Under 10 Mins",Call_Table_Data[[#This Row],[Duration]]&lt;=30,"10 to 30 Mins",Call_Table_Data[[#This Row],[Duration]]&lt;=60,"30 to 60 Mins",Call_Table_Data[[#This Row],[Duration]]&lt;=120,"1 to 2 Hours",TRUE,"More Than 2 Hours")</f>
        <v>More Than 2 Hours</v>
      </c>
      <c r="K691" s="9">
        <f>ROUND(Call_Table_Data[[#This Row],[Satisfaction Rating]],0)</f>
        <v>3</v>
      </c>
    </row>
    <row r="692" spans="1:11" x14ac:dyDescent="0.3">
      <c r="A692" s="9" t="s">
        <v>2318</v>
      </c>
      <c r="B692" s="9" t="s">
        <v>1624</v>
      </c>
      <c r="C692" s="9">
        <v>104</v>
      </c>
      <c r="D692" s="149" t="s">
        <v>1626</v>
      </c>
      <c r="E692" s="150">
        <v>45164</v>
      </c>
      <c r="F692" s="9">
        <v>66</v>
      </c>
      <c r="G692" s="9">
        <v>4.8</v>
      </c>
      <c r="H692" s="9">
        <f>IF(MONTH(Call_Table_Data[[#This Row],[Date of Call]])&lt;=6,YEAR(Call_Table_Data[[#This Row],[Date of Call]]),YEAR(Call_Table_Data[[#This Row],[Date of Call]])+1)</f>
        <v>2024</v>
      </c>
      <c r="I692" s="9" t="str">
        <f>TEXT(Call_Table_Data[[#This Row],[Date of Call]],"DDDD")</f>
        <v>Saturday</v>
      </c>
      <c r="J692" s="9" t="str" cm="1">
        <f t="array" ref="J692">_xlfn.IFS(Call_Table_Data[[#This Row],[Duration]]&lt;=10,"Under 10 Mins",Call_Table_Data[[#This Row],[Duration]]&lt;=30,"10 to 30 Mins",Call_Table_Data[[#This Row],[Duration]]&lt;=60,"30 to 60 Mins",Call_Table_Data[[#This Row],[Duration]]&lt;=120,"1 to 2 Hours",TRUE,"More Than 2 Hours")</f>
        <v>1 to 2 Hours</v>
      </c>
      <c r="K692" s="9">
        <f>ROUND(Call_Table_Data[[#This Row],[Satisfaction Rating]],0)</f>
        <v>5</v>
      </c>
    </row>
    <row r="693" spans="1:11" x14ac:dyDescent="0.3">
      <c r="A693" s="9" t="s">
        <v>2319</v>
      </c>
      <c r="B693" s="9" t="s">
        <v>1652</v>
      </c>
      <c r="C693" s="9">
        <v>131</v>
      </c>
      <c r="D693" s="149" t="s">
        <v>1621</v>
      </c>
      <c r="E693" s="150">
        <v>45164</v>
      </c>
      <c r="F693" s="9">
        <v>92</v>
      </c>
      <c r="G693" s="9">
        <v>4.9000000000000004</v>
      </c>
      <c r="H693" s="9">
        <f>IF(MONTH(Call_Table_Data[[#This Row],[Date of Call]])&lt;=6,YEAR(Call_Table_Data[[#This Row],[Date of Call]]),YEAR(Call_Table_Data[[#This Row],[Date of Call]])+1)</f>
        <v>2024</v>
      </c>
      <c r="I693" s="9" t="str">
        <f>TEXT(Call_Table_Data[[#This Row],[Date of Call]],"DDDD")</f>
        <v>Saturday</v>
      </c>
      <c r="J693" s="9" t="str" cm="1">
        <f t="array" ref="J693">_xlfn.IFS(Call_Table_Data[[#This Row],[Duration]]&lt;=10,"Under 10 Mins",Call_Table_Data[[#This Row],[Duration]]&lt;=30,"10 to 30 Mins",Call_Table_Data[[#This Row],[Duration]]&lt;=60,"30 to 60 Mins",Call_Table_Data[[#This Row],[Duration]]&lt;=120,"1 to 2 Hours",TRUE,"More Than 2 Hours")</f>
        <v>More Than 2 Hours</v>
      </c>
      <c r="K693" s="9">
        <f>ROUND(Call_Table_Data[[#This Row],[Satisfaction Rating]],0)</f>
        <v>5</v>
      </c>
    </row>
    <row r="694" spans="1:11" x14ac:dyDescent="0.3">
      <c r="A694" s="9" t="s">
        <v>2320</v>
      </c>
      <c r="B694" s="9" t="s">
        <v>1649</v>
      </c>
      <c r="C694" s="9">
        <v>80</v>
      </c>
      <c r="D694" s="149" t="s">
        <v>1630</v>
      </c>
      <c r="E694" s="150">
        <v>45165</v>
      </c>
      <c r="F694" s="9">
        <v>104</v>
      </c>
      <c r="G694" s="9">
        <v>4.7</v>
      </c>
      <c r="H694" s="9">
        <f>IF(MONTH(Call_Table_Data[[#This Row],[Date of Call]])&lt;=6,YEAR(Call_Table_Data[[#This Row],[Date of Call]]),YEAR(Call_Table_Data[[#This Row],[Date of Call]])+1)</f>
        <v>2024</v>
      </c>
      <c r="I694" s="9" t="str">
        <f>TEXT(Call_Table_Data[[#This Row],[Date of Call]],"DDDD")</f>
        <v>Sunday</v>
      </c>
      <c r="J694" s="9" t="str" cm="1">
        <f t="array" ref="J694">_xlfn.IFS(Call_Table_Data[[#This Row],[Duration]]&lt;=10,"Under 10 Mins",Call_Table_Data[[#This Row],[Duration]]&lt;=30,"10 to 30 Mins",Call_Table_Data[[#This Row],[Duration]]&lt;=60,"30 to 60 Mins",Call_Table_Data[[#This Row],[Duration]]&lt;=120,"1 to 2 Hours",TRUE,"More Than 2 Hours")</f>
        <v>1 to 2 Hours</v>
      </c>
      <c r="K694" s="9">
        <f>ROUND(Call_Table_Data[[#This Row],[Satisfaction Rating]],0)</f>
        <v>5</v>
      </c>
    </row>
    <row r="695" spans="1:11" x14ac:dyDescent="0.3">
      <c r="A695" s="9" t="s">
        <v>2321</v>
      </c>
      <c r="B695" s="9" t="s">
        <v>1620</v>
      </c>
      <c r="C695" s="9">
        <v>49</v>
      </c>
      <c r="D695" s="149" t="s">
        <v>1626</v>
      </c>
      <c r="E695" s="150">
        <v>45165</v>
      </c>
      <c r="F695" s="9">
        <v>105</v>
      </c>
      <c r="G695" s="9">
        <v>3.3</v>
      </c>
      <c r="H695" s="9">
        <f>IF(MONTH(Call_Table_Data[[#This Row],[Date of Call]])&lt;=6,YEAR(Call_Table_Data[[#This Row],[Date of Call]]),YEAR(Call_Table_Data[[#This Row],[Date of Call]])+1)</f>
        <v>2024</v>
      </c>
      <c r="I695" s="9" t="str">
        <f>TEXT(Call_Table_Data[[#This Row],[Date of Call]],"DDDD")</f>
        <v>Sunday</v>
      </c>
      <c r="J695" s="9" t="str" cm="1">
        <f t="array" ref="J695">_xlfn.IFS(Call_Table_Data[[#This Row],[Duration]]&lt;=10,"Under 10 Mins",Call_Table_Data[[#This Row],[Duration]]&lt;=30,"10 to 30 Mins",Call_Table_Data[[#This Row],[Duration]]&lt;=60,"30 to 60 Mins",Call_Table_Data[[#This Row],[Duration]]&lt;=120,"1 to 2 Hours",TRUE,"More Than 2 Hours")</f>
        <v>30 to 60 Mins</v>
      </c>
      <c r="K695" s="9">
        <f>ROUND(Call_Table_Data[[#This Row],[Satisfaction Rating]],0)</f>
        <v>3</v>
      </c>
    </row>
    <row r="696" spans="1:11" x14ac:dyDescent="0.3">
      <c r="A696" s="9" t="s">
        <v>2322</v>
      </c>
      <c r="B696" s="9" t="s">
        <v>1662</v>
      </c>
      <c r="C696" s="9">
        <v>73</v>
      </c>
      <c r="D696" s="149" t="s">
        <v>1626</v>
      </c>
      <c r="E696" s="150">
        <v>45165</v>
      </c>
      <c r="F696" s="9">
        <v>100</v>
      </c>
      <c r="G696" s="9">
        <v>2.8</v>
      </c>
      <c r="H696" s="9">
        <f>IF(MONTH(Call_Table_Data[[#This Row],[Date of Call]])&lt;=6,YEAR(Call_Table_Data[[#This Row],[Date of Call]]),YEAR(Call_Table_Data[[#This Row],[Date of Call]])+1)</f>
        <v>2024</v>
      </c>
      <c r="I696" s="9" t="str">
        <f>TEXT(Call_Table_Data[[#This Row],[Date of Call]],"DDDD")</f>
        <v>Sunday</v>
      </c>
      <c r="J696" s="9" t="str" cm="1">
        <f t="array" ref="J696">_xlfn.IFS(Call_Table_Data[[#This Row],[Duration]]&lt;=10,"Under 10 Mins",Call_Table_Data[[#This Row],[Duration]]&lt;=30,"10 to 30 Mins",Call_Table_Data[[#This Row],[Duration]]&lt;=60,"30 to 60 Mins",Call_Table_Data[[#This Row],[Duration]]&lt;=120,"1 to 2 Hours",TRUE,"More Than 2 Hours")</f>
        <v>1 to 2 Hours</v>
      </c>
      <c r="K696" s="9">
        <f>ROUND(Call_Table_Data[[#This Row],[Satisfaction Rating]],0)</f>
        <v>3</v>
      </c>
    </row>
    <row r="697" spans="1:11" x14ac:dyDescent="0.3">
      <c r="A697" s="9" t="s">
        <v>2323</v>
      </c>
      <c r="B697" s="9" t="s">
        <v>1624</v>
      </c>
      <c r="C697" s="9">
        <v>117</v>
      </c>
      <c r="D697" s="149" t="s">
        <v>1630</v>
      </c>
      <c r="E697" s="150">
        <v>45165</v>
      </c>
      <c r="F697" s="9">
        <v>90</v>
      </c>
      <c r="G697" s="9">
        <v>4.0999999999999996</v>
      </c>
      <c r="H697" s="9">
        <f>IF(MONTH(Call_Table_Data[[#This Row],[Date of Call]])&lt;=6,YEAR(Call_Table_Data[[#This Row],[Date of Call]]),YEAR(Call_Table_Data[[#This Row],[Date of Call]])+1)</f>
        <v>2024</v>
      </c>
      <c r="I697" s="9" t="str">
        <f>TEXT(Call_Table_Data[[#This Row],[Date of Call]],"DDDD")</f>
        <v>Sunday</v>
      </c>
      <c r="J697" s="9" t="str" cm="1">
        <f t="array" ref="J697">_xlfn.IFS(Call_Table_Data[[#This Row],[Duration]]&lt;=10,"Under 10 Mins",Call_Table_Data[[#This Row],[Duration]]&lt;=30,"10 to 30 Mins",Call_Table_Data[[#This Row],[Duration]]&lt;=60,"30 to 60 Mins",Call_Table_Data[[#This Row],[Duration]]&lt;=120,"1 to 2 Hours",TRUE,"More Than 2 Hours")</f>
        <v>1 to 2 Hours</v>
      </c>
      <c r="K697" s="9">
        <f>ROUND(Call_Table_Data[[#This Row],[Satisfaction Rating]],0)</f>
        <v>4</v>
      </c>
    </row>
    <row r="698" spans="1:11" x14ac:dyDescent="0.3">
      <c r="A698" s="9" t="s">
        <v>2324</v>
      </c>
      <c r="B698" s="9" t="s">
        <v>1615</v>
      </c>
      <c r="C698" s="9">
        <v>38</v>
      </c>
      <c r="D698" s="149" t="s">
        <v>1611</v>
      </c>
      <c r="E698" s="150">
        <v>45165</v>
      </c>
      <c r="F698" s="9">
        <v>110</v>
      </c>
      <c r="G698" s="9">
        <v>3.5</v>
      </c>
      <c r="H698" s="9">
        <f>IF(MONTH(Call_Table_Data[[#This Row],[Date of Call]])&lt;=6,YEAR(Call_Table_Data[[#This Row],[Date of Call]]),YEAR(Call_Table_Data[[#This Row],[Date of Call]])+1)</f>
        <v>2024</v>
      </c>
      <c r="I698" s="9" t="str">
        <f>TEXT(Call_Table_Data[[#This Row],[Date of Call]],"DDDD")</f>
        <v>Sunday</v>
      </c>
      <c r="J698" s="9" t="str" cm="1">
        <f t="array" ref="J698">_xlfn.IFS(Call_Table_Data[[#This Row],[Duration]]&lt;=10,"Under 10 Mins",Call_Table_Data[[#This Row],[Duration]]&lt;=30,"10 to 30 Mins",Call_Table_Data[[#This Row],[Duration]]&lt;=60,"30 to 60 Mins",Call_Table_Data[[#This Row],[Duration]]&lt;=120,"1 to 2 Hours",TRUE,"More Than 2 Hours")</f>
        <v>30 to 60 Mins</v>
      </c>
      <c r="K698" s="9">
        <f>ROUND(Call_Table_Data[[#This Row],[Satisfaction Rating]],0)</f>
        <v>4</v>
      </c>
    </row>
    <row r="699" spans="1:11" x14ac:dyDescent="0.3">
      <c r="A699" s="9" t="s">
        <v>2325</v>
      </c>
      <c r="B699" s="9" t="s">
        <v>1644</v>
      </c>
      <c r="C699" s="9">
        <v>109</v>
      </c>
      <c r="D699" s="149" t="s">
        <v>1630</v>
      </c>
      <c r="E699" s="150">
        <v>45167</v>
      </c>
      <c r="F699" s="9">
        <v>68</v>
      </c>
      <c r="G699" s="9">
        <v>2.2999999999999998</v>
      </c>
      <c r="H699" s="9">
        <f>IF(MONTH(Call_Table_Data[[#This Row],[Date of Call]])&lt;=6,YEAR(Call_Table_Data[[#This Row],[Date of Call]]),YEAR(Call_Table_Data[[#This Row],[Date of Call]])+1)</f>
        <v>2024</v>
      </c>
      <c r="I699" s="9" t="str">
        <f>TEXT(Call_Table_Data[[#This Row],[Date of Call]],"DDDD")</f>
        <v>Tuesday</v>
      </c>
      <c r="J699" s="9" t="str" cm="1">
        <f t="array" ref="J699">_xlfn.IFS(Call_Table_Data[[#This Row],[Duration]]&lt;=10,"Under 10 Mins",Call_Table_Data[[#This Row],[Duration]]&lt;=30,"10 to 30 Mins",Call_Table_Data[[#This Row],[Duration]]&lt;=60,"30 to 60 Mins",Call_Table_Data[[#This Row],[Duration]]&lt;=120,"1 to 2 Hours",TRUE,"More Than 2 Hours")</f>
        <v>1 to 2 Hours</v>
      </c>
      <c r="K699" s="9">
        <f>ROUND(Call_Table_Data[[#This Row],[Satisfaction Rating]],0)</f>
        <v>2</v>
      </c>
    </row>
    <row r="700" spans="1:11" x14ac:dyDescent="0.3">
      <c r="A700" s="9" t="s">
        <v>2326</v>
      </c>
      <c r="B700" s="9" t="s">
        <v>1620</v>
      </c>
      <c r="C700" s="9">
        <v>70</v>
      </c>
      <c r="D700" s="149" t="s">
        <v>1616</v>
      </c>
      <c r="E700" s="150">
        <v>45168</v>
      </c>
      <c r="F700" s="9">
        <v>210</v>
      </c>
      <c r="G700" s="9">
        <v>4.0999999999999996</v>
      </c>
      <c r="H700" s="9">
        <f>IF(MONTH(Call_Table_Data[[#This Row],[Date of Call]])&lt;=6,YEAR(Call_Table_Data[[#This Row],[Date of Call]]),YEAR(Call_Table_Data[[#This Row],[Date of Call]])+1)</f>
        <v>2024</v>
      </c>
      <c r="I700" s="9" t="str">
        <f>TEXT(Call_Table_Data[[#This Row],[Date of Call]],"DDDD")</f>
        <v>Wednesday</v>
      </c>
      <c r="J700" s="9" t="str" cm="1">
        <f t="array" ref="J700">_xlfn.IFS(Call_Table_Data[[#This Row],[Duration]]&lt;=10,"Under 10 Mins",Call_Table_Data[[#This Row],[Duration]]&lt;=30,"10 to 30 Mins",Call_Table_Data[[#This Row],[Duration]]&lt;=60,"30 to 60 Mins",Call_Table_Data[[#This Row],[Duration]]&lt;=120,"1 to 2 Hours",TRUE,"More Than 2 Hours")</f>
        <v>1 to 2 Hours</v>
      </c>
      <c r="K700" s="9">
        <f>ROUND(Call_Table_Data[[#This Row],[Satisfaction Rating]],0)</f>
        <v>4</v>
      </c>
    </row>
    <row r="701" spans="1:11" x14ac:dyDescent="0.3">
      <c r="A701" s="9" t="s">
        <v>2327</v>
      </c>
      <c r="B701" s="9" t="s">
        <v>1613</v>
      </c>
      <c r="C701" s="9">
        <v>51</v>
      </c>
      <c r="D701" s="149" t="s">
        <v>1611</v>
      </c>
      <c r="E701" s="150">
        <v>45168</v>
      </c>
      <c r="F701" s="9">
        <v>111</v>
      </c>
      <c r="G701" s="9">
        <v>4.3</v>
      </c>
      <c r="H701" s="9">
        <f>IF(MONTH(Call_Table_Data[[#This Row],[Date of Call]])&lt;=6,YEAR(Call_Table_Data[[#This Row],[Date of Call]]),YEAR(Call_Table_Data[[#This Row],[Date of Call]])+1)</f>
        <v>2024</v>
      </c>
      <c r="I701" s="9" t="str">
        <f>TEXT(Call_Table_Data[[#This Row],[Date of Call]],"DDDD")</f>
        <v>Wednesday</v>
      </c>
      <c r="J701" s="9" t="str" cm="1">
        <f t="array" ref="J701">_xlfn.IFS(Call_Table_Data[[#This Row],[Duration]]&lt;=10,"Under 10 Mins",Call_Table_Data[[#This Row],[Duration]]&lt;=30,"10 to 30 Mins",Call_Table_Data[[#This Row],[Duration]]&lt;=60,"30 to 60 Mins",Call_Table_Data[[#This Row],[Duration]]&lt;=120,"1 to 2 Hours",TRUE,"More Than 2 Hours")</f>
        <v>30 to 60 Mins</v>
      </c>
      <c r="K701" s="9">
        <f>ROUND(Call_Table_Data[[#This Row],[Satisfaction Rating]],0)</f>
        <v>4</v>
      </c>
    </row>
    <row r="702" spans="1:11" x14ac:dyDescent="0.3">
      <c r="A702" s="9" t="s">
        <v>2328</v>
      </c>
      <c r="B702" s="9" t="s">
        <v>1613</v>
      </c>
      <c r="C702" s="9">
        <v>100</v>
      </c>
      <c r="D702" s="149" t="s">
        <v>1616</v>
      </c>
      <c r="E702" s="150">
        <v>45169</v>
      </c>
      <c r="F702" s="9">
        <v>45</v>
      </c>
      <c r="G702" s="9">
        <v>4.9000000000000004</v>
      </c>
      <c r="H702" s="9">
        <f>IF(MONTH(Call_Table_Data[[#This Row],[Date of Call]])&lt;=6,YEAR(Call_Table_Data[[#This Row],[Date of Call]]),YEAR(Call_Table_Data[[#This Row],[Date of Call]])+1)</f>
        <v>2024</v>
      </c>
      <c r="I702" s="9" t="str">
        <f>TEXT(Call_Table_Data[[#This Row],[Date of Call]],"DDDD")</f>
        <v>Thursday</v>
      </c>
      <c r="J702" s="9" t="str" cm="1">
        <f t="array" ref="J702">_xlfn.IFS(Call_Table_Data[[#This Row],[Duration]]&lt;=10,"Under 10 Mins",Call_Table_Data[[#This Row],[Duration]]&lt;=30,"10 to 30 Mins",Call_Table_Data[[#This Row],[Duration]]&lt;=60,"30 to 60 Mins",Call_Table_Data[[#This Row],[Duration]]&lt;=120,"1 to 2 Hours",TRUE,"More Than 2 Hours")</f>
        <v>1 to 2 Hours</v>
      </c>
      <c r="K702" s="9">
        <f>ROUND(Call_Table_Data[[#This Row],[Satisfaction Rating]],0)</f>
        <v>5</v>
      </c>
    </row>
    <row r="703" spans="1:11" x14ac:dyDescent="0.3">
      <c r="A703" s="9" t="s">
        <v>2329</v>
      </c>
      <c r="B703" s="9" t="s">
        <v>1633</v>
      </c>
      <c r="C703" s="9">
        <v>124</v>
      </c>
      <c r="D703" s="149" t="s">
        <v>1611</v>
      </c>
      <c r="E703" s="150">
        <v>45170</v>
      </c>
      <c r="F703" s="9">
        <v>132</v>
      </c>
      <c r="G703" s="9">
        <v>4</v>
      </c>
      <c r="H703" s="9">
        <f>IF(MONTH(Call_Table_Data[[#This Row],[Date of Call]])&lt;=6,YEAR(Call_Table_Data[[#This Row],[Date of Call]]),YEAR(Call_Table_Data[[#This Row],[Date of Call]])+1)</f>
        <v>2024</v>
      </c>
      <c r="I703" s="9" t="str">
        <f>TEXT(Call_Table_Data[[#This Row],[Date of Call]],"DDDD")</f>
        <v>Friday</v>
      </c>
      <c r="J703" s="9" t="str" cm="1">
        <f t="array" ref="J703">_xlfn.IFS(Call_Table_Data[[#This Row],[Duration]]&lt;=10,"Under 10 Mins",Call_Table_Data[[#This Row],[Duration]]&lt;=30,"10 to 30 Mins",Call_Table_Data[[#This Row],[Duration]]&lt;=60,"30 to 60 Mins",Call_Table_Data[[#This Row],[Duration]]&lt;=120,"1 to 2 Hours",TRUE,"More Than 2 Hours")</f>
        <v>More Than 2 Hours</v>
      </c>
      <c r="K703" s="9">
        <f>ROUND(Call_Table_Data[[#This Row],[Satisfaction Rating]],0)</f>
        <v>4</v>
      </c>
    </row>
    <row r="704" spans="1:11" x14ac:dyDescent="0.3">
      <c r="A704" s="9" t="s">
        <v>2330</v>
      </c>
      <c r="B704" s="9" t="s">
        <v>1610</v>
      </c>
      <c r="C704" s="9">
        <v>143</v>
      </c>
      <c r="D704" s="149" t="s">
        <v>1630</v>
      </c>
      <c r="E704" s="150">
        <v>45170</v>
      </c>
      <c r="F704" s="9">
        <v>20</v>
      </c>
      <c r="G704" s="9">
        <v>4.7</v>
      </c>
      <c r="H704" s="9">
        <f>IF(MONTH(Call_Table_Data[[#This Row],[Date of Call]])&lt;=6,YEAR(Call_Table_Data[[#This Row],[Date of Call]]),YEAR(Call_Table_Data[[#This Row],[Date of Call]])+1)</f>
        <v>2024</v>
      </c>
      <c r="I704" s="9" t="str">
        <f>TEXT(Call_Table_Data[[#This Row],[Date of Call]],"DDDD")</f>
        <v>Friday</v>
      </c>
      <c r="J704" s="9" t="str" cm="1">
        <f t="array" ref="J704">_xlfn.IFS(Call_Table_Data[[#This Row],[Duration]]&lt;=10,"Under 10 Mins",Call_Table_Data[[#This Row],[Duration]]&lt;=30,"10 to 30 Mins",Call_Table_Data[[#This Row],[Duration]]&lt;=60,"30 to 60 Mins",Call_Table_Data[[#This Row],[Duration]]&lt;=120,"1 to 2 Hours",TRUE,"More Than 2 Hours")</f>
        <v>More Than 2 Hours</v>
      </c>
      <c r="K704" s="9">
        <f>ROUND(Call_Table_Data[[#This Row],[Satisfaction Rating]],0)</f>
        <v>5</v>
      </c>
    </row>
    <row r="705" spans="1:11" x14ac:dyDescent="0.3">
      <c r="A705" s="9" t="s">
        <v>2331</v>
      </c>
      <c r="B705" s="9" t="s">
        <v>1629</v>
      </c>
      <c r="C705" s="9">
        <v>96</v>
      </c>
      <c r="D705" s="149" t="s">
        <v>1626</v>
      </c>
      <c r="E705" s="150">
        <v>45170</v>
      </c>
      <c r="F705" s="9">
        <v>36</v>
      </c>
      <c r="G705" s="9">
        <v>3.4</v>
      </c>
      <c r="H705" s="9">
        <f>IF(MONTH(Call_Table_Data[[#This Row],[Date of Call]])&lt;=6,YEAR(Call_Table_Data[[#This Row],[Date of Call]]),YEAR(Call_Table_Data[[#This Row],[Date of Call]])+1)</f>
        <v>2024</v>
      </c>
      <c r="I705" s="9" t="str">
        <f>TEXT(Call_Table_Data[[#This Row],[Date of Call]],"DDDD")</f>
        <v>Friday</v>
      </c>
      <c r="J705" s="9" t="str" cm="1">
        <f t="array" ref="J705">_xlfn.IFS(Call_Table_Data[[#This Row],[Duration]]&lt;=10,"Under 10 Mins",Call_Table_Data[[#This Row],[Duration]]&lt;=30,"10 to 30 Mins",Call_Table_Data[[#This Row],[Duration]]&lt;=60,"30 to 60 Mins",Call_Table_Data[[#This Row],[Duration]]&lt;=120,"1 to 2 Hours",TRUE,"More Than 2 Hours")</f>
        <v>1 to 2 Hours</v>
      </c>
      <c r="K705" s="9">
        <f>ROUND(Call_Table_Data[[#This Row],[Satisfaction Rating]],0)</f>
        <v>3</v>
      </c>
    </row>
    <row r="706" spans="1:11" x14ac:dyDescent="0.3">
      <c r="A706" s="9" t="s">
        <v>2332</v>
      </c>
      <c r="B706" s="9" t="s">
        <v>1662</v>
      </c>
      <c r="C706" s="9">
        <v>84</v>
      </c>
      <c r="D706" s="149" t="s">
        <v>1616</v>
      </c>
      <c r="E706" s="150">
        <v>45172</v>
      </c>
      <c r="F706" s="9">
        <v>72</v>
      </c>
      <c r="G706" s="9">
        <v>4</v>
      </c>
      <c r="H706" s="9">
        <f>IF(MONTH(Call_Table_Data[[#This Row],[Date of Call]])&lt;=6,YEAR(Call_Table_Data[[#This Row],[Date of Call]]),YEAR(Call_Table_Data[[#This Row],[Date of Call]])+1)</f>
        <v>2024</v>
      </c>
      <c r="I706" s="9" t="str">
        <f>TEXT(Call_Table_Data[[#This Row],[Date of Call]],"DDDD")</f>
        <v>Sunday</v>
      </c>
      <c r="J706" s="9" t="str" cm="1">
        <f t="array" ref="J706">_xlfn.IFS(Call_Table_Data[[#This Row],[Duration]]&lt;=10,"Under 10 Mins",Call_Table_Data[[#This Row],[Duration]]&lt;=30,"10 to 30 Mins",Call_Table_Data[[#This Row],[Duration]]&lt;=60,"30 to 60 Mins",Call_Table_Data[[#This Row],[Duration]]&lt;=120,"1 to 2 Hours",TRUE,"More Than 2 Hours")</f>
        <v>1 to 2 Hours</v>
      </c>
      <c r="K706" s="9">
        <f>ROUND(Call_Table_Data[[#This Row],[Satisfaction Rating]],0)</f>
        <v>4</v>
      </c>
    </row>
    <row r="707" spans="1:11" x14ac:dyDescent="0.3">
      <c r="A707" s="9" t="s">
        <v>2333</v>
      </c>
      <c r="B707" s="9" t="s">
        <v>1641</v>
      </c>
      <c r="C707" s="9">
        <v>111</v>
      </c>
      <c r="D707" s="149" t="s">
        <v>1616</v>
      </c>
      <c r="E707" s="150">
        <v>45172</v>
      </c>
      <c r="F707" s="9">
        <v>63</v>
      </c>
      <c r="G707" s="9">
        <v>4.5</v>
      </c>
      <c r="H707" s="9">
        <f>IF(MONTH(Call_Table_Data[[#This Row],[Date of Call]])&lt;=6,YEAR(Call_Table_Data[[#This Row],[Date of Call]]),YEAR(Call_Table_Data[[#This Row],[Date of Call]])+1)</f>
        <v>2024</v>
      </c>
      <c r="I707" s="9" t="str">
        <f>TEXT(Call_Table_Data[[#This Row],[Date of Call]],"DDDD")</f>
        <v>Sunday</v>
      </c>
      <c r="J707" s="9" t="str" cm="1">
        <f t="array" ref="J707">_xlfn.IFS(Call_Table_Data[[#This Row],[Duration]]&lt;=10,"Under 10 Mins",Call_Table_Data[[#This Row],[Duration]]&lt;=30,"10 to 30 Mins",Call_Table_Data[[#This Row],[Duration]]&lt;=60,"30 to 60 Mins",Call_Table_Data[[#This Row],[Duration]]&lt;=120,"1 to 2 Hours",TRUE,"More Than 2 Hours")</f>
        <v>1 to 2 Hours</v>
      </c>
      <c r="K707" s="9">
        <f>ROUND(Call_Table_Data[[#This Row],[Satisfaction Rating]],0)</f>
        <v>5</v>
      </c>
    </row>
    <row r="708" spans="1:11" x14ac:dyDescent="0.3">
      <c r="A708" s="9" t="s">
        <v>2334</v>
      </c>
      <c r="B708" s="9" t="s">
        <v>1641</v>
      </c>
      <c r="C708" s="9">
        <v>103</v>
      </c>
      <c r="D708" s="149" t="s">
        <v>1611</v>
      </c>
      <c r="E708" s="150">
        <v>45173</v>
      </c>
      <c r="F708" s="9">
        <v>44</v>
      </c>
      <c r="G708" s="9">
        <v>4.5</v>
      </c>
      <c r="H708" s="9">
        <f>IF(MONTH(Call_Table_Data[[#This Row],[Date of Call]])&lt;=6,YEAR(Call_Table_Data[[#This Row],[Date of Call]]),YEAR(Call_Table_Data[[#This Row],[Date of Call]])+1)</f>
        <v>2024</v>
      </c>
      <c r="I708" s="9" t="str">
        <f>TEXT(Call_Table_Data[[#This Row],[Date of Call]],"DDDD")</f>
        <v>Monday</v>
      </c>
      <c r="J708" s="9" t="str" cm="1">
        <f t="array" ref="J708">_xlfn.IFS(Call_Table_Data[[#This Row],[Duration]]&lt;=10,"Under 10 Mins",Call_Table_Data[[#This Row],[Duration]]&lt;=30,"10 to 30 Mins",Call_Table_Data[[#This Row],[Duration]]&lt;=60,"30 to 60 Mins",Call_Table_Data[[#This Row],[Duration]]&lt;=120,"1 to 2 Hours",TRUE,"More Than 2 Hours")</f>
        <v>1 to 2 Hours</v>
      </c>
      <c r="K708" s="9">
        <f>ROUND(Call_Table_Data[[#This Row],[Satisfaction Rating]],0)</f>
        <v>5</v>
      </c>
    </row>
    <row r="709" spans="1:11" x14ac:dyDescent="0.3">
      <c r="A709" s="9" t="s">
        <v>2335</v>
      </c>
      <c r="B709" s="9" t="s">
        <v>1610</v>
      </c>
      <c r="C709" s="9">
        <v>61</v>
      </c>
      <c r="D709" s="149" t="s">
        <v>1621</v>
      </c>
      <c r="E709" s="150">
        <v>45173</v>
      </c>
      <c r="F709" s="9">
        <v>132</v>
      </c>
      <c r="G709" s="9">
        <v>4.9000000000000004</v>
      </c>
      <c r="H709" s="9">
        <f>IF(MONTH(Call_Table_Data[[#This Row],[Date of Call]])&lt;=6,YEAR(Call_Table_Data[[#This Row],[Date of Call]]),YEAR(Call_Table_Data[[#This Row],[Date of Call]])+1)</f>
        <v>2024</v>
      </c>
      <c r="I709" s="9" t="str">
        <f>TEXT(Call_Table_Data[[#This Row],[Date of Call]],"DDDD")</f>
        <v>Monday</v>
      </c>
      <c r="J709" s="9" t="str" cm="1">
        <f t="array" ref="J709">_xlfn.IFS(Call_Table_Data[[#This Row],[Duration]]&lt;=10,"Under 10 Mins",Call_Table_Data[[#This Row],[Duration]]&lt;=30,"10 to 30 Mins",Call_Table_Data[[#This Row],[Duration]]&lt;=60,"30 to 60 Mins",Call_Table_Data[[#This Row],[Duration]]&lt;=120,"1 to 2 Hours",TRUE,"More Than 2 Hours")</f>
        <v>1 to 2 Hours</v>
      </c>
      <c r="K709" s="9">
        <f>ROUND(Call_Table_Data[[#This Row],[Satisfaction Rating]],0)</f>
        <v>5</v>
      </c>
    </row>
    <row r="710" spans="1:11" x14ac:dyDescent="0.3">
      <c r="A710" s="9" t="s">
        <v>2336</v>
      </c>
      <c r="B710" s="9" t="s">
        <v>1652</v>
      </c>
      <c r="C710" s="9">
        <v>113</v>
      </c>
      <c r="D710" s="149" t="s">
        <v>1626</v>
      </c>
      <c r="E710" s="150">
        <v>45173</v>
      </c>
      <c r="F710" s="9">
        <v>46</v>
      </c>
      <c r="G710" s="9">
        <v>4.4000000000000004</v>
      </c>
      <c r="H710" s="9">
        <f>IF(MONTH(Call_Table_Data[[#This Row],[Date of Call]])&lt;=6,YEAR(Call_Table_Data[[#This Row],[Date of Call]]),YEAR(Call_Table_Data[[#This Row],[Date of Call]])+1)</f>
        <v>2024</v>
      </c>
      <c r="I710" s="9" t="str">
        <f>TEXT(Call_Table_Data[[#This Row],[Date of Call]],"DDDD")</f>
        <v>Monday</v>
      </c>
      <c r="J710" s="9" t="str" cm="1">
        <f t="array" ref="J710">_xlfn.IFS(Call_Table_Data[[#This Row],[Duration]]&lt;=10,"Under 10 Mins",Call_Table_Data[[#This Row],[Duration]]&lt;=30,"10 to 30 Mins",Call_Table_Data[[#This Row],[Duration]]&lt;=60,"30 to 60 Mins",Call_Table_Data[[#This Row],[Duration]]&lt;=120,"1 to 2 Hours",TRUE,"More Than 2 Hours")</f>
        <v>1 to 2 Hours</v>
      </c>
      <c r="K710" s="9">
        <f>ROUND(Call_Table_Data[[#This Row],[Satisfaction Rating]],0)</f>
        <v>4</v>
      </c>
    </row>
    <row r="711" spans="1:11" x14ac:dyDescent="0.3">
      <c r="A711" s="9" t="s">
        <v>2337</v>
      </c>
      <c r="B711" s="9" t="s">
        <v>1652</v>
      </c>
      <c r="C711" s="9">
        <v>96</v>
      </c>
      <c r="D711" s="149" t="s">
        <v>1626</v>
      </c>
      <c r="E711" s="150">
        <v>45173</v>
      </c>
      <c r="F711" s="9">
        <v>96</v>
      </c>
      <c r="G711" s="9">
        <v>2.9</v>
      </c>
      <c r="H711" s="9">
        <f>IF(MONTH(Call_Table_Data[[#This Row],[Date of Call]])&lt;=6,YEAR(Call_Table_Data[[#This Row],[Date of Call]]),YEAR(Call_Table_Data[[#This Row],[Date of Call]])+1)</f>
        <v>2024</v>
      </c>
      <c r="I711" s="9" t="str">
        <f>TEXT(Call_Table_Data[[#This Row],[Date of Call]],"DDDD")</f>
        <v>Monday</v>
      </c>
      <c r="J711" s="9" t="str" cm="1">
        <f t="array" ref="J711">_xlfn.IFS(Call_Table_Data[[#This Row],[Duration]]&lt;=10,"Under 10 Mins",Call_Table_Data[[#This Row],[Duration]]&lt;=30,"10 to 30 Mins",Call_Table_Data[[#This Row],[Duration]]&lt;=60,"30 to 60 Mins",Call_Table_Data[[#This Row],[Duration]]&lt;=120,"1 to 2 Hours",TRUE,"More Than 2 Hours")</f>
        <v>1 to 2 Hours</v>
      </c>
      <c r="K711" s="9">
        <f>ROUND(Call_Table_Data[[#This Row],[Satisfaction Rating]],0)</f>
        <v>3</v>
      </c>
    </row>
    <row r="712" spans="1:11" x14ac:dyDescent="0.3">
      <c r="A712" s="9" t="s">
        <v>2338</v>
      </c>
      <c r="B712" s="9" t="s">
        <v>1635</v>
      </c>
      <c r="C712" s="9">
        <v>131</v>
      </c>
      <c r="D712" s="149" t="s">
        <v>1611</v>
      </c>
      <c r="E712" s="150">
        <v>45174</v>
      </c>
      <c r="F712" s="9">
        <v>75</v>
      </c>
      <c r="G712" s="9">
        <v>4.4000000000000004</v>
      </c>
      <c r="H712" s="9">
        <f>IF(MONTH(Call_Table_Data[[#This Row],[Date of Call]])&lt;=6,YEAR(Call_Table_Data[[#This Row],[Date of Call]]),YEAR(Call_Table_Data[[#This Row],[Date of Call]])+1)</f>
        <v>2024</v>
      </c>
      <c r="I712" s="9" t="str">
        <f>TEXT(Call_Table_Data[[#This Row],[Date of Call]],"DDDD")</f>
        <v>Tuesday</v>
      </c>
      <c r="J712" s="9" t="str" cm="1">
        <f t="array" ref="J712">_xlfn.IFS(Call_Table_Data[[#This Row],[Duration]]&lt;=10,"Under 10 Mins",Call_Table_Data[[#This Row],[Duration]]&lt;=30,"10 to 30 Mins",Call_Table_Data[[#This Row],[Duration]]&lt;=60,"30 to 60 Mins",Call_Table_Data[[#This Row],[Duration]]&lt;=120,"1 to 2 Hours",TRUE,"More Than 2 Hours")</f>
        <v>More Than 2 Hours</v>
      </c>
      <c r="K712" s="9">
        <f>ROUND(Call_Table_Data[[#This Row],[Satisfaction Rating]],0)</f>
        <v>4</v>
      </c>
    </row>
    <row r="713" spans="1:11" x14ac:dyDescent="0.3">
      <c r="A713" s="9" t="s">
        <v>2339</v>
      </c>
      <c r="B713" s="9" t="s">
        <v>1624</v>
      </c>
      <c r="C713" s="9">
        <v>52</v>
      </c>
      <c r="D713" s="149" t="s">
        <v>1626</v>
      </c>
      <c r="E713" s="150">
        <v>45175</v>
      </c>
      <c r="F713" s="9">
        <v>88</v>
      </c>
      <c r="G713" s="9">
        <v>4.3</v>
      </c>
      <c r="H713" s="9">
        <f>IF(MONTH(Call_Table_Data[[#This Row],[Date of Call]])&lt;=6,YEAR(Call_Table_Data[[#This Row],[Date of Call]]),YEAR(Call_Table_Data[[#This Row],[Date of Call]])+1)</f>
        <v>2024</v>
      </c>
      <c r="I713" s="9" t="str">
        <f>TEXT(Call_Table_Data[[#This Row],[Date of Call]],"DDDD")</f>
        <v>Wednesday</v>
      </c>
      <c r="J713" s="9" t="str" cm="1">
        <f t="array" ref="J713">_xlfn.IFS(Call_Table_Data[[#This Row],[Duration]]&lt;=10,"Under 10 Mins",Call_Table_Data[[#This Row],[Duration]]&lt;=30,"10 to 30 Mins",Call_Table_Data[[#This Row],[Duration]]&lt;=60,"30 to 60 Mins",Call_Table_Data[[#This Row],[Duration]]&lt;=120,"1 to 2 Hours",TRUE,"More Than 2 Hours")</f>
        <v>30 to 60 Mins</v>
      </c>
      <c r="K713" s="9">
        <f>ROUND(Call_Table_Data[[#This Row],[Satisfaction Rating]],0)</f>
        <v>4</v>
      </c>
    </row>
    <row r="714" spans="1:11" x14ac:dyDescent="0.3">
      <c r="A714" s="9" t="s">
        <v>2340</v>
      </c>
      <c r="B714" s="9" t="s">
        <v>1613</v>
      </c>
      <c r="C714" s="9">
        <v>100</v>
      </c>
      <c r="D714" s="149" t="s">
        <v>1611</v>
      </c>
      <c r="E714" s="150">
        <v>45175</v>
      </c>
      <c r="F714" s="9">
        <v>24</v>
      </c>
      <c r="G714" s="9">
        <v>4.7</v>
      </c>
      <c r="H714" s="9">
        <f>IF(MONTH(Call_Table_Data[[#This Row],[Date of Call]])&lt;=6,YEAR(Call_Table_Data[[#This Row],[Date of Call]]),YEAR(Call_Table_Data[[#This Row],[Date of Call]])+1)</f>
        <v>2024</v>
      </c>
      <c r="I714" s="9" t="str">
        <f>TEXT(Call_Table_Data[[#This Row],[Date of Call]],"DDDD")</f>
        <v>Wednesday</v>
      </c>
      <c r="J714" s="9" t="str" cm="1">
        <f t="array" ref="J714">_xlfn.IFS(Call_Table_Data[[#This Row],[Duration]]&lt;=10,"Under 10 Mins",Call_Table_Data[[#This Row],[Duration]]&lt;=30,"10 to 30 Mins",Call_Table_Data[[#This Row],[Duration]]&lt;=60,"30 to 60 Mins",Call_Table_Data[[#This Row],[Duration]]&lt;=120,"1 to 2 Hours",TRUE,"More Than 2 Hours")</f>
        <v>1 to 2 Hours</v>
      </c>
      <c r="K714" s="9">
        <f>ROUND(Call_Table_Data[[#This Row],[Satisfaction Rating]],0)</f>
        <v>5</v>
      </c>
    </row>
    <row r="715" spans="1:11" x14ac:dyDescent="0.3">
      <c r="A715" s="9" t="s">
        <v>2341</v>
      </c>
      <c r="B715" s="9" t="s">
        <v>1618</v>
      </c>
      <c r="C715" s="9">
        <v>58</v>
      </c>
      <c r="D715" s="149" t="s">
        <v>1630</v>
      </c>
      <c r="E715" s="150">
        <v>45175</v>
      </c>
      <c r="F715" s="9">
        <v>96</v>
      </c>
      <c r="G715" s="9">
        <v>3.2</v>
      </c>
      <c r="H715" s="9">
        <f>IF(MONTH(Call_Table_Data[[#This Row],[Date of Call]])&lt;=6,YEAR(Call_Table_Data[[#This Row],[Date of Call]]),YEAR(Call_Table_Data[[#This Row],[Date of Call]])+1)</f>
        <v>2024</v>
      </c>
      <c r="I715" s="9" t="str">
        <f>TEXT(Call_Table_Data[[#This Row],[Date of Call]],"DDDD")</f>
        <v>Wednesday</v>
      </c>
      <c r="J715" s="9" t="str" cm="1">
        <f t="array" ref="J715">_xlfn.IFS(Call_Table_Data[[#This Row],[Duration]]&lt;=10,"Under 10 Mins",Call_Table_Data[[#This Row],[Duration]]&lt;=30,"10 to 30 Mins",Call_Table_Data[[#This Row],[Duration]]&lt;=60,"30 to 60 Mins",Call_Table_Data[[#This Row],[Duration]]&lt;=120,"1 to 2 Hours",TRUE,"More Than 2 Hours")</f>
        <v>30 to 60 Mins</v>
      </c>
      <c r="K715" s="9">
        <f>ROUND(Call_Table_Data[[#This Row],[Satisfaction Rating]],0)</f>
        <v>3</v>
      </c>
    </row>
    <row r="716" spans="1:11" x14ac:dyDescent="0.3">
      <c r="A716" s="9" t="s">
        <v>2342</v>
      </c>
      <c r="B716" s="9" t="s">
        <v>1620</v>
      </c>
      <c r="C716" s="9">
        <v>144</v>
      </c>
      <c r="D716" s="149" t="s">
        <v>1630</v>
      </c>
      <c r="E716" s="150">
        <v>45176</v>
      </c>
      <c r="F716" s="9">
        <v>124</v>
      </c>
      <c r="G716" s="9">
        <v>2.2999999999999998</v>
      </c>
      <c r="H716" s="9">
        <f>IF(MONTH(Call_Table_Data[[#This Row],[Date of Call]])&lt;=6,YEAR(Call_Table_Data[[#This Row],[Date of Call]]),YEAR(Call_Table_Data[[#This Row],[Date of Call]])+1)</f>
        <v>2024</v>
      </c>
      <c r="I716" s="9" t="str">
        <f>TEXT(Call_Table_Data[[#This Row],[Date of Call]],"DDDD")</f>
        <v>Thursday</v>
      </c>
      <c r="J716" s="9" t="str" cm="1">
        <f t="array" ref="J716">_xlfn.IFS(Call_Table_Data[[#This Row],[Duration]]&lt;=10,"Under 10 Mins",Call_Table_Data[[#This Row],[Duration]]&lt;=30,"10 to 30 Mins",Call_Table_Data[[#This Row],[Duration]]&lt;=60,"30 to 60 Mins",Call_Table_Data[[#This Row],[Duration]]&lt;=120,"1 to 2 Hours",TRUE,"More Than 2 Hours")</f>
        <v>More Than 2 Hours</v>
      </c>
      <c r="K716" s="9">
        <f>ROUND(Call_Table_Data[[#This Row],[Satisfaction Rating]],0)</f>
        <v>2</v>
      </c>
    </row>
    <row r="717" spans="1:11" x14ac:dyDescent="0.3">
      <c r="A717" s="9" t="s">
        <v>2343</v>
      </c>
      <c r="B717" s="9" t="s">
        <v>1618</v>
      </c>
      <c r="C717" s="9">
        <v>53</v>
      </c>
      <c r="D717" s="149" t="s">
        <v>1621</v>
      </c>
      <c r="E717" s="150">
        <v>45177</v>
      </c>
      <c r="F717" s="9">
        <v>130</v>
      </c>
      <c r="G717" s="9">
        <v>3.6</v>
      </c>
      <c r="H717" s="9">
        <f>IF(MONTH(Call_Table_Data[[#This Row],[Date of Call]])&lt;=6,YEAR(Call_Table_Data[[#This Row],[Date of Call]]),YEAR(Call_Table_Data[[#This Row],[Date of Call]])+1)</f>
        <v>2024</v>
      </c>
      <c r="I717" s="9" t="str">
        <f>TEXT(Call_Table_Data[[#This Row],[Date of Call]],"DDDD")</f>
        <v>Friday</v>
      </c>
      <c r="J717" s="9" t="str" cm="1">
        <f t="array" ref="J717">_xlfn.IFS(Call_Table_Data[[#This Row],[Duration]]&lt;=10,"Under 10 Mins",Call_Table_Data[[#This Row],[Duration]]&lt;=30,"10 to 30 Mins",Call_Table_Data[[#This Row],[Duration]]&lt;=60,"30 to 60 Mins",Call_Table_Data[[#This Row],[Duration]]&lt;=120,"1 to 2 Hours",TRUE,"More Than 2 Hours")</f>
        <v>30 to 60 Mins</v>
      </c>
      <c r="K717" s="9">
        <f>ROUND(Call_Table_Data[[#This Row],[Satisfaction Rating]],0)</f>
        <v>4</v>
      </c>
    </row>
    <row r="718" spans="1:11" x14ac:dyDescent="0.3">
      <c r="A718" s="9" t="s">
        <v>2344</v>
      </c>
      <c r="B718" s="9" t="s">
        <v>1652</v>
      </c>
      <c r="C718" s="9">
        <v>97</v>
      </c>
      <c r="D718" s="149" t="s">
        <v>1616</v>
      </c>
      <c r="E718" s="150">
        <v>45177</v>
      </c>
      <c r="F718" s="9">
        <v>45</v>
      </c>
      <c r="G718" s="9">
        <v>4.5999999999999996</v>
      </c>
      <c r="H718" s="9">
        <f>IF(MONTH(Call_Table_Data[[#This Row],[Date of Call]])&lt;=6,YEAR(Call_Table_Data[[#This Row],[Date of Call]]),YEAR(Call_Table_Data[[#This Row],[Date of Call]])+1)</f>
        <v>2024</v>
      </c>
      <c r="I718" s="9" t="str">
        <f>TEXT(Call_Table_Data[[#This Row],[Date of Call]],"DDDD")</f>
        <v>Friday</v>
      </c>
      <c r="J718" s="9" t="str" cm="1">
        <f t="array" ref="J718">_xlfn.IFS(Call_Table_Data[[#This Row],[Duration]]&lt;=10,"Under 10 Mins",Call_Table_Data[[#This Row],[Duration]]&lt;=30,"10 to 30 Mins",Call_Table_Data[[#This Row],[Duration]]&lt;=60,"30 to 60 Mins",Call_Table_Data[[#This Row],[Duration]]&lt;=120,"1 to 2 Hours",TRUE,"More Than 2 Hours")</f>
        <v>1 to 2 Hours</v>
      </c>
      <c r="K718" s="9">
        <f>ROUND(Call_Table_Data[[#This Row],[Satisfaction Rating]],0)</f>
        <v>5</v>
      </c>
    </row>
    <row r="719" spans="1:11" x14ac:dyDescent="0.3">
      <c r="A719" s="9" t="s">
        <v>2345</v>
      </c>
      <c r="B719" s="9" t="s">
        <v>1615</v>
      </c>
      <c r="C719" s="9">
        <v>64</v>
      </c>
      <c r="D719" s="149" t="s">
        <v>1630</v>
      </c>
      <c r="E719" s="150">
        <v>45177</v>
      </c>
      <c r="F719" s="9">
        <v>66</v>
      </c>
      <c r="G719" s="9">
        <v>4</v>
      </c>
      <c r="H719" s="9">
        <f>IF(MONTH(Call_Table_Data[[#This Row],[Date of Call]])&lt;=6,YEAR(Call_Table_Data[[#This Row],[Date of Call]]),YEAR(Call_Table_Data[[#This Row],[Date of Call]])+1)</f>
        <v>2024</v>
      </c>
      <c r="I719" s="9" t="str">
        <f>TEXT(Call_Table_Data[[#This Row],[Date of Call]],"DDDD")</f>
        <v>Friday</v>
      </c>
      <c r="J719" s="9" t="str" cm="1">
        <f t="array" ref="J719">_xlfn.IFS(Call_Table_Data[[#This Row],[Duration]]&lt;=10,"Under 10 Mins",Call_Table_Data[[#This Row],[Duration]]&lt;=30,"10 to 30 Mins",Call_Table_Data[[#This Row],[Duration]]&lt;=60,"30 to 60 Mins",Call_Table_Data[[#This Row],[Duration]]&lt;=120,"1 to 2 Hours",TRUE,"More Than 2 Hours")</f>
        <v>1 to 2 Hours</v>
      </c>
      <c r="K719" s="9">
        <f>ROUND(Call_Table_Data[[#This Row],[Satisfaction Rating]],0)</f>
        <v>4</v>
      </c>
    </row>
    <row r="720" spans="1:11" x14ac:dyDescent="0.3">
      <c r="A720" s="9" t="s">
        <v>2346</v>
      </c>
      <c r="B720" s="9" t="s">
        <v>1610</v>
      </c>
      <c r="C720" s="9">
        <v>106</v>
      </c>
      <c r="D720" s="149" t="s">
        <v>1611</v>
      </c>
      <c r="E720" s="150">
        <v>45177</v>
      </c>
      <c r="F720" s="9">
        <v>58</v>
      </c>
      <c r="G720" s="9">
        <v>4.7</v>
      </c>
      <c r="H720" s="9">
        <f>IF(MONTH(Call_Table_Data[[#This Row],[Date of Call]])&lt;=6,YEAR(Call_Table_Data[[#This Row],[Date of Call]]),YEAR(Call_Table_Data[[#This Row],[Date of Call]])+1)</f>
        <v>2024</v>
      </c>
      <c r="I720" s="9" t="str">
        <f>TEXT(Call_Table_Data[[#This Row],[Date of Call]],"DDDD")</f>
        <v>Friday</v>
      </c>
      <c r="J720" s="9" t="str" cm="1">
        <f t="array" ref="J720">_xlfn.IFS(Call_Table_Data[[#This Row],[Duration]]&lt;=10,"Under 10 Mins",Call_Table_Data[[#This Row],[Duration]]&lt;=30,"10 to 30 Mins",Call_Table_Data[[#This Row],[Duration]]&lt;=60,"30 to 60 Mins",Call_Table_Data[[#This Row],[Duration]]&lt;=120,"1 to 2 Hours",TRUE,"More Than 2 Hours")</f>
        <v>1 to 2 Hours</v>
      </c>
      <c r="K720" s="9">
        <f>ROUND(Call_Table_Data[[#This Row],[Satisfaction Rating]],0)</f>
        <v>5</v>
      </c>
    </row>
    <row r="721" spans="1:11" x14ac:dyDescent="0.3">
      <c r="A721" s="9" t="s">
        <v>2347</v>
      </c>
      <c r="B721" s="9" t="s">
        <v>1662</v>
      </c>
      <c r="C721" s="9">
        <v>36</v>
      </c>
      <c r="D721" s="149" t="s">
        <v>1630</v>
      </c>
      <c r="E721" s="150">
        <v>45178</v>
      </c>
      <c r="F721" s="9">
        <v>152</v>
      </c>
      <c r="G721" s="9">
        <v>4.3</v>
      </c>
      <c r="H721" s="9">
        <f>IF(MONTH(Call_Table_Data[[#This Row],[Date of Call]])&lt;=6,YEAR(Call_Table_Data[[#This Row],[Date of Call]]),YEAR(Call_Table_Data[[#This Row],[Date of Call]])+1)</f>
        <v>2024</v>
      </c>
      <c r="I721" s="9" t="str">
        <f>TEXT(Call_Table_Data[[#This Row],[Date of Call]],"DDDD")</f>
        <v>Saturday</v>
      </c>
      <c r="J721" s="9" t="str" cm="1">
        <f t="array" ref="J721">_xlfn.IFS(Call_Table_Data[[#This Row],[Duration]]&lt;=10,"Under 10 Mins",Call_Table_Data[[#This Row],[Duration]]&lt;=30,"10 to 30 Mins",Call_Table_Data[[#This Row],[Duration]]&lt;=60,"30 to 60 Mins",Call_Table_Data[[#This Row],[Duration]]&lt;=120,"1 to 2 Hours",TRUE,"More Than 2 Hours")</f>
        <v>30 to 60 Mins</v>
      </c>
      <c r="K721" s="9">
        <f>ROUND(Call_Table_Data[[#This Row],[Satisfaction Rating]],0)</f>
        <v>4</v>
      </c>
    </row>
    <row r="722" spans="1:11" x14ac:dyDescent="0.3">
      <c r="A722" s="9" t="s">
        <v>2348</v>
      </c>
      <c r="B722" s="9" t="s">
        <v>1620</v>
      </c>
      <c r="C722" s="9">
        <v>74</v>
      </c>
      <c r="D722" s="149" t="s">
        <v>1626</v>
      </c>
      <c r="E722" s="150">
        <v>45178</v>
      </c>
      <c r="F722" s="9">
        <v>75</v>
      </c>
      <c r="G722" s="9">
        <v>2.8</v>
      </c>
      <c r="H722" s="9">
        <f>IF(MONTH(Call_Table_Data[[#This Row],[Date of Call]])&lt;=6,YEAR(Call_Table_Data[[#This Row],[Date of Call]]),YEAR(Call_Table_Data[[#This Row],[Date of Call]])+1)</f>
        <v>2024</v>
      </c>
      <c r="I722" s="9" t="str">
        <f>TEXT(Call_Table_Data[[#This Row],[Date of Call]],"DDDD")</f>
        <v>Saturday</v>
      </c>
      <c r="J722" s="9" t="str" cm="1">
        <f t="array" ref="J722">_xlfn.IFS(Call_Table_Data[[#This Row],[Duration]]&lt;=10,"Under 10 Mins",Call_Table_Data[[#This Row],[Duration]]&lt;=30,"10 to 30 Mins",Call_Table_Data[[#This Row],[Duration]]&lt;=60,"30 to 60 Mins",Call_Table_Data[[#This Row],[Duration]]&lt;=120,"1 to 2 Hours",TRUE,"More Than 2 Hours")</f>
        <v>1 to 2 Hours</v>
      </c>
      <c r="K722" s="9">
        <f>ROUND(Call_Table_Data[[#This Row],[Satisfaction Rating]],0)</f>
        <v>3</v>
      </c>
    </row>
    <row r="723" spans="1:11" x14ac:dyDescent="0.3">
      <c r="A723" s="9" t="s">
        <v>2349</v>
      </c>
      <c r="B723" s="9" t="s">
        <v>1644</v>
      </c>
      <c r="C723" s="9">
        <v>143</v>
      </c>
      <c r="D723" s="149" t="s">
        <v>1616</v>
      </c>
      <c r="E723" s="150">
        <v>45178</v>
      </c>
      <c r="F723" s="9">
        <v>78</v>
      </c>
      <c r="G723" s="9">
        <v>4</v>
      </c>
      <c r="H723" s="9">
        <f>IF(MONTH(Call_Table_Data[[#This Row],[Date of Call]])&lt;=6,YEAR(Call_Table_Data[[#This Row],[Date of Call]]),YEAR(Call_Table_Data[[#This Row],[Date of Call]])+1)</f>
        <v>2024</v>
      </c>
      <c r="I723" s="9" t="str">
        <f>TEXT(Call_Table_Data[[#This Row],[Date of Call]],"DDDD")</f>
        <v>Saturday</v>
      </c>
      <c r="J723" s="9" t="str" cm="1">
        <f t="array" ref="J723">_xlfn.IFS(Call_Table_Data[[#This Row],[Duration]]&lt;=10,"Under 10 Mins",Call_Table_Data[[#This Row],[Duration]]&lt;=30,"10 to 30 Mins",Call_Table_Data[[#This Row],[Duration]]&lt;=60,"30 to 60 Mins",Call_Table_Data[[#This Row],[Duration]]&lt;=120,"1 to 2 Hours",TRUE,"More Than 2 Hours")</f>
        <v>More Than 2 Hours</v>
      </c>
      <c r="K723" s="9">
        <f>ROUND(Call_Table_Data[[#This Row],[Satisfaction Rating]],0)</f>
        <v>4</v>
      </c>
    </row>
    <row r="724" spans="1:11" x14ac:dyDescent="0.3">
      <c r="A724" s="9" t="s">
        <v>2350</v>
      </c>
      <c r="B724" s="9" t="s">
        <v>1610</v>
      </c>
      <c r="C724" s="9">
        <v>94</v>
      </c>
      <c r="D724" s="149" t="s">
        <v>1621</v>
      </c>
      <c r="E724" s="150">
        <v>45178</v>
      </c>
      <c r="F724" s="9">
        <v>69</v>
      </c>
      <c r="G724" s="9">
        <v>3.9</v>
      </c>
      <c r="H724" s="9">
        <f>IF(MONTH(Call_Table_Data[[#This Row],[Date of Call]])&lt;=6,YEAR(Call_Table_Data[[#This Row],[Date of Call]]),YEAR(Call_Table_Data[[#This Row],[Date of Call]])+1)</f>
        <v>2024</v>
      </c>
      <c r="I724" s="9" t="str">
        <f>TEXT(Call_Table_Data[[#This Row],[Date of Call]],"DDDD")</f>
        <v>Saturday</v>
      </c>
      <c r="J724" s="9" t="str" cm="1">
        <f t="array" ref="J724">_xlfn.IFS(Call_Table_Data[[#This Row],[Duration]]&lt;=10,"Under 10 Mins",Call_Table_Data[[#This Row],[Duration]]&lt;=30,"10 to 30 Mins",Call_Table_Data[[#This Row],[Duration]]&lt;=60,"30 to 60 Mins",Call_Table_Data[[#This Row],[Duration]]&lt;=120,"1 to 2 Hours",TRUE,"More Than 2 Hours")</f>
        <v>1 to 2 Hours</v>
      </c>
      <c r="K724" s="9">
        <f>ROUND(Call_Table_Data[[#This Row],[Satisfaction Rating]],0)</f>
        <v>4</v>
      </c>
    </row>
    <row r="725" spans="1:11" x14ac:dyDescent="0.3">
      <c r="A725" s="9" t="s">
        <v>2351</v>
      </c>
      <c r="B725" s="9" t="s">
        <v>1649</v>
      </c>
      <c r="C725" s="9">
        <v>124</v>
      </c>
      <c r="D725" s="149" t="s">
        <v>1611</v>
      </c>
      <c r="E725" s="150">
        <v>45179</v>
      </c>
      <c r="F725" s="9">
        <v>46</v>
      </c>
      <c r="G725" s="9">
        <v>3.1</v>
      </c>
      <c r="H725" s="9">
        <f>IF(MONTH(Call_Table_Data[[#This Row],[Date of Call]])&lt;=6,YEAR(Call_Table_Data[[#This Row],[Date of Call]]),YEAR(Call_Table_Data[[#This Row],[Date of Call]])+1)</f>
        <v>2024</v>
      </c>
      <c r="I725" s="9" t="str">
        <f>TEXT(Call_Table_Data[[#This Row],[Date of Call]],"DDDD")</f>
        <v>Sunday</v>
      </c>
      <c r="J725" s="9" t="str" cm="1">
        <f t="array" ref="J725">_xlfn.IFS(Call_Table_Data[[#This Row],[Duration]]&lt;=10,"Under 10 Mins",Call_Table_Data[[#This Row],[Duration]]&lt;=30,"10 to 30 Mins",Call_Table_Data[[#This Row],[Duration]]&lt;=60,"30 to 60 Mins",Call_Table_Data[[#This Row],[Duration]]&lt;=120,"1 to 2 Hours",TRUE,"More Than 2 Hours")</f>
        <v>More Than 2 Hours</v>
      </c>
      <c r="K725" s="9">
        <f>ROUND(Call_Table_Data[[#This Row],[Satisfaction Rating]],0)</f>
        <v>3</v>
      </c>
    </row>
    <row r="726" spans="1:11" x14ac:dyDescent="0.3">
      <c r="A726" s="9" t="s">
        <v>2352</v>
      </c>
      <c r="B726" s="9" t="s">
        <v>1662</v>
      </c>
      <c r="C726" s="9">
        <v>156</v>
      </c>
      <c r="D726" s="149" t="s">
        <v>1630</v>
      </c>
      <c r="E726" s="150">
        <v>45179</v>
      </c>
      <c r="F726" s="9">
        <v>64</v>
      </c>
      <c r="G726" s="9">
        <v>2.7</v>
      </c>
      <c r="H726" s="9">
        <f>IF(MONTH(Call_Table_Data[[#This Row],[Date of Call]])&lt;=6,YEAR(Call_Table_Data[[#This Row],[Date of Call]]),YEAR(Call_Table_Data[[#This Row],[Date of Call]])+1)</f>
        <v>2024</v>
      </c>
      <c r="I726" s="9" t="str">
        <f>TEXT(Call_Table_Data[[#This Row],[Date of Call]],"DDDD")</f>
        <v>Sunday</v>
      </c>
      <c r="J726" s="9" t="str" cm="1">
        <f t="array" ref="J726">_xlfn.IFS(Call_Table_Data[[#This Row],[Duration]]&lt;=10,"Under 10 Mins",Call_Table_Data[[#This Row],[Duration]]&lt;=30,"10 to 30 Mins",Call_Table_Data[[#This Row],[Duration]]&lt;=60,"30 to 60 Mins",Call_Table_Data[[#This Row],[Duration]]&lt;=120,"1 to 2 Hours",TRUE,"More Than 2 Hours")</f>
        <v>More Than 2 Hours</v>
      </c>
      <c r="K726" s="9">
        <f>ROUND(Call_Table_Data[[#This Row],[Satisfaction Rating]],0)</f>
        <v>3</v>
      </c>
    </row>
    <row r="727" spans="1:11" x14ac:dyDescent="0.3">
      <c r="A727" s="9" t="s">
        <v>2353</v>
      </c>
      <c r="B727" s="9" t="s">
        <v>1629</v>
      </c>
      <c r="C727" s="9">
        <v>107</v>
      </c>
      <c r="D727" s="149" t="s">
        <v>1616</v>
      </c>
      <c r="E727" s="150">
        <v>45179</v>
      </c>
      <c r="F727" s="9">
        <v>38</v>
      </c>
      <c r="G727" s="9">
        <v>4.7</v>
      </c>
      <c r="H727" s="9">
        <f>IF(MONTH(Call_Table_Data[[#This Row],[Date of Call]])&lt;=6,YEAR(Call_Table_Data[[#This Row],[Date of Call]]),YEAR(Call_Table_Data[[#This Row],[Date of Call]])+1)</f>
        <v>2024</v>
      </c>
      <c r="I727" s="9" t="str">
        <f>TEXT(Call_Table_Data[[#This Row],[Date of Call]],"DDDD")</f>
        <v>Sunday</v>
      </c>
      <c r="J727" s="9" t="str" cm="1">
        <f t="array" ref="J727">_xlfn.IFS(Call_Table_Data[[#This Row],[Duration]]&lt;=10,"Under 10 Mins",Call_Table_Data[[#This Row],[Duration]]&lt;=30,"10 to 30 Mins",Call_Table_Data[[#This Row],[Duration]]&lt;=60,"30 to 60 Mins",Call_Table_Data[[#This Row],[Duration]]&lt;=120,"1 to 2 Hours",TRUE,"More Than 2 Hours")</f>
        <v>1 to 2 Hours</v>
      </c>
      <c r="K727" s="9">
        <f>ROUND(Call_Table_Data[[#This Row],[Satisfaction Rating]],0)</f>
        <v>5</v>
      </c>
    </row>
    <row r="728" spans="1:11" x14ac:dyDescent="0.3">
      <c r="A728" s="9" t="s">
        <v>2354</v>
      </c>
      <c r="B728" s="9" t="s">
        <v>1610</v>
      </c>
      <c r="C728" s="9">
        <v>58</v>
      </c>
      <c r="D728" s="149" t="s">
        <v>1616</v>
      </c>
      <c r="E728" s="150">
        <v>45181</v>
      </c>
      <c r="F728" s="9">
        <v>90</v>
      </c>
      <c r="G728" s="9">
        <v>4.3</v>
      </c>
      <c r="H728" s="9">
        <f>IF(MONTH(Call_Table_Data[[#This Row],[Date of Call]])&lt;=6,YEAR(Call_Table_Data[[#This Row],[Date of Call]]),YEAR(Call_Table_Data[[#This Row],[Date of Call]])+1)</f>
        <v>2024</v>
      </c>
      <c r="I728" s="9" t="str">
        <f>TEXT(Call_Table_Data[[#This Row],[Date of Call]],"DDDD")</f>
        <v>Tuesday</v>
      </c>
      <c r="J728" s="9" t="str" cm="1">
        <f t="array" ref="J728">_xlfn.IFS(Call_Table_Data[[#This Row],[Duration]]&lt;=10,"Under 10 Mins",Call_Table_Data[[#This Row],[Duration]]&lt;=30,"10 to 30 Mins",Call_Table_Data[[#This Row],[Duration]]&lt;=60,"30 to 60 Mins",Call_Table_Data[[#This Row],[Duration]]&lt;=120,"1 to 2 Hours",TRUE,"More Than 2 Hours")</f>
        <v>30 to 60 Mins</v>
      </c>
      <c r="K728" s="9">
        <f>ROUND(Call_Table_Data[[#This Row],[Satisfaction Rating]],0)</f>
        <v>4</v>
      </c>
    </row>
    <row r="729" spans="1:11" x14ac:dyDescent="0.3">
      <c r="A729" s="9" t="s">
        <v>2355</v>
      </c>
      <c r="B729" s="9" t="s">
        <v>1633</v>
      </c>
      <c r="C729" s="9">
        <v>66</v>
      </c>
      <c r="D729" s="149" t="s">
        <v>1616</v>
      </c>
      <c r="E729" s="150">
        <v>45181</v>
      </c>
      <c r="F729" s="9">
        <v>32</v>
      </c>
      <c r="G729" s="9">
        <v>3.8</v>
      </c>
      <c r="H729" s="9">
        <f>IF(MONTH(Call_Table_Data[[#This Row],[Date of Call]])&lt;=6,YEAR(Call_Table_Data[[#This Row],[Date of Call]]),YEAR(Call_Table_Data[[#This Row],[Date of Call]])+1)</f>
        <v>2024</v>
      </c>
      <c r="I729" s="9" t="str">
        <f>TEXT(Call_Table_Data[[#This Row],[Date of Call]],"DDDD")</f>
        <v>Tuesday</v>
      </c>
      <c r="J729" s="9" t="str" cm="1">
        <f t="array" ref="J729">_xlfn.IFS(Call_Table_Data[[#This Row],[Duration]]&lt;=10,"Under 10 Mins",Call_Table_Data[[#This Row],[Duration]]&lt;=30,"10 to 30 Mins",Call_Table_Data[[#This Row],[Duration]]&lt;=60,"30 to 60 Mins",Call_Table_Data[[#This Row],[Duration]]&lt;=120,"1 to 2 Hours",TRUE,"More Than 2 Hours")</f>
        <v>1 to 2 Hours</v>
      </c>
      <c r="K729" s="9">
        <f>ROUND(Call_Table_Data[[#This Row],[Satisfaction Rating]],0)</f>
        <v>4</v>
      </c>
    </row>
    <row r="730" spans="1:11" x14ac:dyDescent="0.3">
      <c r="A730" s="9" t="s">
        <v>2356</v>
      </c>
      <c r="B730" s="9" t="s">
        <v>1635</v>
      </c>
      <c r="C730" s="9">
        <v>75</v>
      </c>
      <c r="D730" s="149" t="s">
        <v>1630</v>
      </c>
      <c r="E730" s="150">
        <v>45181</v>
      </c>
      <c r="F730" s="9">
        <v>120</v>
      </c>
      <c r="G730" s="9">
        <v>4.4000000000000004</v>
      </c>
      <c r="H730" s="9">
        <f>IF(MONTH(Call_Table_Data[[#This Row],[Date of Call]])&lt;=6,YEAR(Call_Table_Data[[#This Row],[Date of Call]]),YEAR(Call_Table_Data[[#This Row],[Date of Call]])+1)</f>
        <v>2024</v>
      </c>
      <c r="I730" s="9" t="str">
        <f>TEXT(Call_Table_Data[[#This Row],[Date of Call]],"DDDD")</f>
        <v>Tuesday</v>
      </c>
      <c r="J730" s="9" t="str" cm="1">
        <f t="array" ref="J730">_xlfn.IFS(Call_Table_Data[[#This Row],[Duration]]&lt;=10,"Under 10 Mins",Call_Table_Data[[#This Row],[Duration]]&lt;=30,"10 to 30 Mins",Call_Table_Data[[#This Row],[Duration]]&lt;=60,"30 to 60 Mins",Call_Table_Data[[#This Row],[Duration]]&lt;=120,"1 to 2 Hours",TRUE,"More Than 2 Hours")</f>
        <v>1 to 2 Hours</v>
      </c>
      <c r="K730" s="9">
        <f>ROUND(Call_Table_Data[[#This Row],[Satisfaction Rating]],0)</f>
        <v>4</v>
      </c>
    </row>
    <row r="731" spans="1:11" x14ac:dyDescent="0.3">
      <c r="A731" s="9" t="s">
        <v>2357</v>
      </c>
      <c r="B731" s="9" t="s">
        <v>1629</v>
      </c>
      <c r="C731" s="9">
        <v>8</v>
      </c>
      <c r="D731" s="149" t="s">
        <v>1616</v>
      </c>
      <c r="E731" s="150">
        <v>45181</v>
      </c>
      <c r="F731" s="9">
        <v>31</v>
      </c>
      <c r="G731" s="9">
        <v>3.9</v>
      </c>
      <c r="H731" s="9">
        <f>IF(MONTH(Call_Table_Data[[#This Row],[Date of Call]])&lt;=6,YEAR(Call_Table_Data[[#This Row],[Date of Call]]),YEAR(Call_Table_Data[[#This Row],[Date of Call]])+1)</f>
        <v>2024</v>
      </c>
      <c r="I731" s="9" t="str">
        <f>TEXT(Call_Table_Data[[#This Row],[Date of Call]],"DDDD")</f>
        <v>Tuesday</v>
      </c>
      <c r="J731" s="9" t="str" cm="1">
        <f t="array" ref="J731">_xlfn.IFS(Call_Table_Data[[#This Row],[Duration]]&lt;=10,"Under 10 Mins",Call_Table_Data[[#This Row],[Duration]]&lt;=30,"10 to 30 Mins",Call_Table_Data[[#This Row],[Duration]]&lt;=60,"30 to 60 Mins",Call_Table_Data[[#This Row],[Duration]]&lt;=120,"1 to 2 Hours",TRUE,"More Than 2 Hours")</f>
        <v>Under 10 Mins</v>
      </c>
      <c r="K731" s="9">
        <f>ROUND(Call_Table_Data[[#This Row],[Satisfaction Rating]],0)</f>
        <v>4</v>
      </c>
    </row>
    <row r="732" spans="1:11" x14ac:dyDescent="0.3">
      <c r="A732" s="9" t="s">
        <v>2358</v>
      </c>
      <c r="B732" s="9" t="s">
        <v>1615</v>
      </c>
      <c r="C732" s="9">
        <v>76</v>
      </c>
      <c r="D732" s="149" t="s">
        <v>1630</v>
      </c>
      <c r="E732" s="150">
        <v>45182</v>
      </c>
      <c r="F732" s="9">
        <v>108</v>
      </c>
      <c r="G732" s="9">
        <v>4.9000000000000004</v>
      </c>
      <c r="H732" s="9">
        <f>IF(MONTH(Call_Table_Data[[#This Row],[Date of Call]])&lt;=6,YEAR(Call_Table_Data[[#This Row],[Date of Call]]),YEAR(Call_Table_Data[[#This Row],[Date of Call]])+1)</f>
        <v>2024</v>
      </c>
      <c r="I732" s="9" t="str">
        <f>TEXT(Call_Table_Data[[#This Row],[Date of Call]],"DDDD")</f>
        <v>Wednesday</v>
      </c>
      <c r="J732" s="9" t="str" cm="1">
        <f t="array" ref="J732">_xlfn.IFS(Call_Table_Data[[#This Row],[Duration]]&lt;=10,"Under 10 Mins",Call_Table_Data[[#This Row],[Duration]]&lt;=30,"10 to 30 Mins",Call_Table_Data[[#This Row],[Duration]]&lt;=60,"30 to 60 Mins",Call_Table_Data[[#This Row],[Duration]]&lt;=120,"1 to 2 Hours",TRUE,"More Than 2 Hours")</f>
        <v>1 to 2 Hours</v>
      </c>
      <c r="K732" s="9">
        <f>ROUND(Call_Table_Data[[#This Row],[Satisfaction Rating]],0)</f>
        <v>5</v>
      </c>
    </row>
    <row r="733" spans="1:11" x14ac:dyDescent="0.3">
      <c r="A733" s="9" t="s">
        <v>2359</v>
      </c>
      <c r="B733" s="9" t="s">
        <v>1610</v>
      </c>
      <c r="C733" s="9">
        <v>110</v>
      </c>
      <c r="D733" s="149" t="s">
        <v>1630</v>
      </c>
      <c r="E733" s="150">
        <v>45182</v>
      </c>
      <c r="F733" s="9">
        <v>180</v>
      </c>
      <c r="G733" s="9">
        <v>4.2</v>
      </c>
      <c r="H733" s="9">
        <f>IF(MONTH(Call_Table_Data[[#This Row],[Date of Call]])&lt;=6,YEAR(Call_Table_Data[[#This Row],[Date of Call]]),YEAR(Call_Table_Data[[#This Row],[Date of Call]])+1)</f>
        <v>2024</v>
      </c>
      <c r="I733" s="9" t="str">
        <f>TEXT(Call_Table_Data[[#This Row],[Date of Call]],"DDDD")</f>
        <v>Wednesday</v>
      </c>
      <c r="J733" s="9" t="str" cm="1">
        <f t="array" ref="J733">_xlfn.IFS(Call_Table_Data[[#This Row],[Duration]]&lt;=10,"Under 10 Mins",Call_Table_Data[[#This Row],[Duration]]&lt;=30,"10 to 30 Mins",Call_Table_Data[[#This Row],[Duration]]&lt;=60,"30 to 60 Mins",Call_Table_Data[[#This Row],[Duration]]&lt;=120,"1 to 2 Hours",TRUE,"More Than 2 Hours")</f>
        <v>1 to 2 Hours</v>
      </c>
      <c r="K733" s="9">
        <f>ROUND(Call_Table_Data[[#This Row],[Satisfaction Rating]],0)</f>
        <v>4</v>
      </c>
    </row>
    <row r="734" spans="1:11" x14ac:dyDescent="0.3">
      <c r="A734" s="9" t="s">
        <v>2360</v>
      </c>
      <c r="B734" s="9" t="s">
        <v>1633</v>
      </c>
      <c r="C734" s="9">
        <v>50</v>
      </c>
      <c r="D734" s="149" t="s">
        <v>1621</v>
      </c>
      <c r="E734" s="150">
        <v>45183</v>
      </c>
      <c r="F734" s="9">
        <v>124</v>
      </c>
      <c r="G734" s="9">
        <v>4</v>
      </c>
      <c r="H734" s="9">
        <f>IF(MONTH(Call_Table_Data[[#This Row],[Date of Call]])&lt;=6,YEAR(Call_Table_Data[[#This Row],[Date of Call]]),YEAR(Call_Table_Data[[#This Row],[Date of Call]])+1)</f>
        <v>2024</v>
      </c>
      <c r="I734" s="9" t="str">
        <f>TEXT(Call_Table_Data[[#This Row],[Date of Call]],"DDDD")</f>
        <v>Thursday</v>
      </c>
      <c r="J734" s="9" t="str" cm="1">
        <f t="array" ref="J734">_xlfn.IFS(Call_Table_Data[[#This Row],[Duration]]&lt;=10,"Under 10 Mins",Call_Table_Data[[#This Row],[Duration]]&lt;=30,"10 to 30 Mins",Call_Table_Data[[#This Row],[Duration]]&lt;=60,"30 to 60 Mins",Call_Table_Data[[#This Row],[Duration]]&lt;=120,"1 to 2 Hours",TRUE,"More Than 2 Hours")</f>
        <v>30 to 60 Mins</v>
      </c>
      <c r="K734" s="9">
        <f>ROUND(Call_Table_Data[[#This Row],[Satisfaction Rating]],0)</f>
        <v>4</v>
      </c>
    </row>
    <row r="735" spans="1:11" x14ac:dyDescent="0.3">
      <c r="A735" s="9" t="s">
        <v>2361</v>
      </c>
      <c r="B735" s="9" t="s">
        <v>1624</v>
      </c>
      <c r="C735" s="9">
        <v>78</v>
      </c>
      <c r="D735" s="149" t="s">
        <v>1621</v>
      </c>
      <c r="E735" s="150">
        <v>45183</v>
      </c>
      <c r="F735" s="9">
        <v>23</v>
      </c>
      <c r="G735" s="9">
        <v>4.2</v>
      </c>
      <c r="H735" s="9">
        <f>IF(MONTH(Call_Table_Data[[#This Row],[Date of Call]])&lt;=6,YEAR(Call_Table_Data[[#This Row],[Date of Call]]),YEAR(Call_Table_Data[[#This Row],[Date of Call]])+1)</f>
        <v>2024</v>
      </c>
      <c r="I735" s="9" t="str">
        <f>TEXT(Call_Table_Data[[#This Row],[Date of Call]],"DDDD")</f>
        <v>Thursday</v>
      </c>
      <c r="J735" s="9" t="str" cm="1">
        <f t="array" ref="J735">_xlfn.IFS(Call_Table_Data[[#This Row],[Duration]]&lt;=10,"Under 10 Mins",Call_Table_Data[[#This Row],[Duration]]&lt;=30,"10 to 30 Mins",Call_Table_Data[[#This Row],[Duration]]&lt;=60,"30 to 60 Mins",Call_Table_Data[[#This Row],[Duration]]&lt;=120,"1 to 2 Hours",TRUE,"More Than 2 Hours")</f>
        <v>1 to 2 Hours</v>
      </c>
      <c r="K735" s="9">
        <f>ROUND(Call_Table_Data[[#This Row],[Satisfaction Rating]],0)</f>
        <v>4</v>
      </c>
    </row>
    <row r="736" spans="1:11" x14ac:dyDescent="0.3">
      <c r="A736" s="9" t="s">
        <v>2362</v>
      </c>
      <c r="B736" s="9" t="s">
        <v>1652</v>
      </c>
      <c r="C736" s="9">
        <v>59</v>
      </c>
      <c r="D736" s="149" t="s">
        <v>1611</v>
      </c>
      <c r="E736" s="150">
        <v>45184</v>
      </c>
      <c r="F736" s="9">
        <v>24</v>
      </c>
      <c r="G736" s="9">
        <v>4.8</v>
      </c>
      <c r="H736" s="9">
        <f>IF(MONTH(Call_Table_Data[[#This Row],[Date of Call]])&lt;=6,YEAR(Call_Table_Data[[#This Row],[Date of Call]]),YEAR(Call_Table_Data[[#This Row],[Date of Call]])+1)</f>
        <v>2024</v>
      </c>
      <c r="I736" s="9" t="str">
        <f>TEXT(Call_Table_Data[[#This Row],[Date of Call]],"DDDD")</f>
        <v>Friday</v>
      </c>
      <c r="J736" s="9" t="str" cm="1">
        <f t="array" ref="J736">_xlfn.IFS(Call_Table_Data[[#This Row],[Duration]]&lt;=10,"Under 10 Mins",Call_Table_Data[[#This Row],[Duration]]&lt;=30,"10 to 30 Mins",Call_Table_Data[[#This Row],[Duration]]&lt;=60,"30 to 60 Mins",Call_Table_Data[[#This Row],[Duration]]&lt;=120,"1 to 2 Hours",TRUE,"More Than 2 Hours")</f>
        <v>30 to 60 Mins</v>
      </c>
      <c r="K736" s="9">
        <f>ROUND(Call_Table_Data[[#This Row],[Satisfaction Rating]],0)</f>
        <v>5</v>
      </c>
    </row>
    <row r="737" spans="1:11" x14ac:dyDescent="0.3">
      <c r="A737" s="9" t="s">
        <v>2363</v>
      </c>
      <c r="B737" s="9" t="s">
        <v>1624</v>
      </c>
      <c r="C737" s="9">
        <v>126</v>
      </c>
      <c r="D737" s="149" t="s">
        <v>1616</v>
      </c>
      <c r="E737" s="150">
        <v>45185</v>
      </c>
      <c r="F737" s="9">
        <v>52</v>
      </c>
      <c r="G737" s="9">
        <v>1.1000000000000001</v>
      </c>
      <c r="H737" s="9">
        <f>IF(MONTH(Call_Table_Data[[#This Row],[Date of Call]])&lt;=6,YEAR(Call_Table_Data[[#This Row],[Date of Call]]),YEAR(Call_Table_Data[[#This Row],[Date of Call]])+1)</f>
        <v>2024</v>
      </c>
      <c r="I737" s="9" t="str">
        <f>TEXT(Call_Table_Data[[#This Row],[Date of Call]],"DDDD")</f>
        <v>Saturday</v>
      </c>
      <c r="J737" s="9" t="str" cm="1">
        <f t="array" ref="J737">_xlfn.IFS(Call_Table_Data[[#This Row],[Duration]]&lt;=10,"Under 10 Mins",Call_Table_Data[[#This Row],[Duration]]&lt;=30,"10 to 30 Mins",Call_Table_Data[[#This Row],[Duration]]&lt;=60,"30 to 60 Mins",Call_Table_Data[[#This Row],[Duration]]&lt;=120,"1 to 2 Hours",TRUE,"More Than 2 Hours")</f>
        <v>More Than 2 Hours</v>
      </c>
      <c r="K737" s="9">
        <f>ROUND(Call_Table_Data[[#This Row],[Satisfaction Rating]],0)</f>
        <v>1</v>
      </c>
    </row>
    <row r="738" spans="1:11" x14ac:dyDescent="0.3">
      <c r="A738" s="9" t="s">
        <v>2364</v>
      </c>
      <c r="B738" s="9" t="s">
        <v>1615</v>
      </c>
      <c r="C738" s="9">
        <v>43</v>
      </c>
      <c r="D738" s="149" t="s">
        <v>1611</v>
      </c>
      <c r="E738" s="150">
        <v>45186</v>
      </c>
      <c r="F738" s="9">
        <v>168</v>
      </c>
      <c r="G738" s="9">
        <v>4</v>
      </c>
      <c r="H738" s="9">
        <f>IF(MONTH(Call_Table_Data[[#This Row],[Date of Call]])&lt;=6,YEAR(Call_Table_Data[[#This Row],[Date of Call]]),YEAR(Call_Table_Data[[#This Row],[Date of Call]])+1)</f>
        <v>2024</v>
      </c>
      <c r="I738" s="9" t="str">
        <f>TEXT(Call_Table_Data[[#This Row],[Date of Call]],"DDDD")</f>
        <v>Sunday</v>
      </c>
      <c r="J738" s="9" t="str" cm="1">
        <f t="array" ref="J738">_xlfn.IFS(Call_Table_Data[[#This Row],[Duration]]&lt;=10,"Under 10 Mins",Call_Table_Data[[#This Row],[Duration]]&lt;=30,"10 to 30 Mins",Call_Table_Data[[#This Row],[Duration]]&lt;=60,"30 to 60 Mins",Call_Table_Data[[#This Row],[Duration]]&lt;=120,"1 to 2 Hours",TRUE,"More Than 2 Hours")</f>
        <v>30 to 60 Mins</v>
      </c>
      <c r="K738" s="9">
        <f>ROUND(Call_Table_Data[[#This Row],[Satisfaction Rating]],0)</f>
        <v>4</v>
      </c>
    </row>
    <row r="739" spans="1:11" x14ac:dyDescent="0.3">
      <c r="A739" s="9" t="s">
        <v>2365</v>
      </c>
      <c r="B739" s="9" t="s">
        <v>1662</v>
      </c>
      <c r="C739" s="9">
        <v>79</v>
      </c>
      <c r="D739" s="149" t="s">
        <v>1630</v>
      </c>
      <c r="E739" s="150">
        <v>45188</v>
      </c>
      <c r="F739" s="9">
        <v>125</v>
      </c>
      <c r="G739" s="9">
        <v>4.8</v>
      </c>
      <c r="H739" s="9">
        <f>IF(MONTH(Call_Table_Data[[#This Row],[Date of Call]])&lt;=6,YEAR(Call_Table_Data[[#This Row],[Date of Call]]),YEAR(Call_Table_Data[[#This Row],[Date of Call]])+1)</f>
        <v>2024</v>
      </c>
      <c r="I739" s="9" t="str">
        <f>TEXT(Call_Table_Data[[#This Row],[Date of Call]],"DDDD")</f>
        <v>Tuesday</v>
      </c>
      <c r="J739" s="9" t="str" cm="1">
        <f t="array" ref="J739">_xlfn.IFS(Call_Table_Data[[#This Row],[Duration]]&lt;=10,"Under 10 Mins",Call_Table_Data[[#This Row],[Duration]]&lt;=30,"10 to 30 Mins",Call_Table_Data[[#This Row],[Duration]]&lt;=60,"30 to 60 Mins",Call_Table_Data[[#This Row],[Duration]]&lt;=120,"1 to 2 Hours",TRUE,"More Than 2 Hours")</f>
        <v>1 to 2 Hours</v>
      </c>
      <c r="K739" s="9">
        <f>ROUND(Call_Table_Data[[#This Row],[Satisfaction Rating]],0)</f>
        <v>5</v>
      </c>
    </row>
    <row r="740" spans="1:11" x14ac:dyDescent="0.3">
      <c r="A740" s="9" t="s">
        <v>2366</v>
      </c>
      <c r="B740" s="9" t="s">
        <v>1610</v>
      </c>
      <c r="C740" s="9">
        <v>71</v>
      </c>
      <c r="D740" s="149" t="s">
        <v>1611</v>
      </c>
      <c r="E740" s="150">
        <v>45189</v>
      </c>
      <c r="F740" s="9">
        <v>50</v>
      </c>
      <c r="G740" s="9">
        <v>4.2</v>
      </c>
      <c r="H740" s="9">
        <f>IF(MONTH(Call_Table_Data[[#This Row],[Date of Call]])&lt;=6,YEAR(Call_Table_Data[[#This Row],[Date of Call]]),YEAR(Call_Table_Data[[#This Row],[Date of Call]])+1)</f>
        <v>2024</v>
      </c>
      <c r="I740" s="9" t="str">
        <f>TEXT(Call_Table_Data[[#This Row],[Date of Call]],"DDDD")</f>
        <v>Wednesday</v>
      </c>
      <c r="J740" s="9" t="str" cm="1">
        <f t="array" ref="J740">_xlfn.IFS(Call_Table_Data[[#This Row],[Duration]]&lt;=10,"Under 10 Mins",Call_Table_Data[[#This Row],[Duration]]&lt;=30,"10 to 30 Mins",Call_Table_Data[[#This Row],[Duration]]&lt;=60,"30 to 60 Mins",Call_Table_Data[[#This Row],[Duration]]&lt;=120,"1 to 2 Hours",TRUE,"More Than 2 Hours")</f>
        <v>1 to 2 Hours</v>
      </c>
      <c r="K740" s="9">
        <f>ROUND(Call_Table_Data[[#This Row],[Satisfaction Rating]],0)</f>
        <v>4</v>
      </c>
    </row>
    <row r="741" spans="1:11" x14ac:dyDescent="0.3">
      <c r="A741" s="9" t="s">
        <v>2367</v>
      </c>
      <c r="B741" s="9" t="s">
        <v>1641</v>
      </c>
      <c r="C741" s="9">
        <v>94</v>
      </c>
      <c r="D741" s="149" t="s">
        <v>1616</v>
      </c>
      <c r="E741" s="150">
        <v>45190</v>
      </c>
      <c r="F741" s="9">
        <v>220</v>
      </c>
      <c r="G741" s="9">
        <v>4.5999999999999996</v>
      </c>
      <c r="H741" s="9">
        <f>IF(MONTH(Call_Table_Data[[#This Row],[Date of Call]])&lt;=6,YEAR(Call_Table_Data[[#This Row],[Date of Call]]),YEAR(Call_Table_Data[[#This Row],[Date of Call]])+1)</f>
        <v>2024</v>
      </c>
      <c r="I741" s="9" t="str">
        <f>TEXT(Call_Table_Data[[#This Row],[Date of Call]],"DDDD")</f>
        <v>Thursday</v>
      </c>
      <c r="J741" s="9" t="str" cm="1">
        <f t="array" ref="J741">_xlfn.IFS(Call_Table_Data[[#This Row],[Duration]]&lt;=10,"Under 10 Mins",Call_Table_Data[[#This Row],[Duration]]&lt;=30,"10 to 30 Mins",Call_Table_Data[[#This Row],[Duration]]&lt;=60,"30 to 60 Mins",Call_Table_Data[[#This Row],[Duration]]&lt;=120,"1 to 2 Hours",TRUE,"More Than 2 Hours")</f>
        <v>1 to 2 Hours</v>
      </c>
      <c r="K741" s="9">
        <f>ROUND(Call_Table_Data[[#This Row],[Satisfaction Rating]],0)</f>
        <v>5</v>
      </c>
    </row>
    <row r="742" spans="1:11" x14ac:dyDescent="0.3">
      <c r="A742" s="9" t="s">
        <v>2368</v>
      </c>
      <c r="B742" s="9" t="s">
        <v>1629</v>
      </c>
      <c r="C742" s="9">
        <v>108</v>
      </c>
      <c r="D742" s="149" t="s">
        <v>1611</v>
      </c>
      <c r="E742" s="150">
        <v>45190</v>
      </c>
      <c r="F742" s="9">
        <v>180</v>
      </c>
      <c r="G742" s="9">
        <v>4</v>
      </c>
      <c r="H742" s="9">
        <f>IF(MONTH(Call_Table_Data[[#This Row],[Date of Call]])&lt;=6,YEAR(Call_Table_Data[[#This Row],[Date of Call]]),YEAR(Call_Table_Data[[#This Row],[Date of Call]])+1)</f>
        <v>2024</v>
      </c>
      <c r="I742" s="9" t="str">
        <f>TEXT(Call_Table_Data[[#This Row],[Date of Call]],"DDDD")</f>
        <v>Thursday</v>
      </c>
      <c r="J742" s="9" t="str" cm="1">
        <f t="array" ref="J742">_xlfn.IFS(Call_Table_Data[[#This Row],[Duration]]&lt;=10,"Under 10 Mins",Call_Table_Data[[#This Row],[Duration]]&lt;=30,"10 to 30 Mins",Call_Table_Data[[#This Row],[Duration]]&lt;=60,"30 to 60 Mins",Call_Table_Data[[#This Row],[Duration]]&lt;=120,"1 to 2 Hours",TRUE,"More Than 2 Hours")</f>
        <v>1 to 2 Hours</v>
      </c>
      <c r="K742" s="9">
        <f>ROUND(Call_Table_Data[[#This Row],[Satisfaction Rating]],0)</f>
        <v>4</v>
      </c>
    </row>
    <row r="743" spans="1:11" x14ac:dyDescent="0.3">
      <c r="A743" s="9" t="s">
        <v>2369</v>
      </c>
      <c r="B743" s="9" t="s">
        <v>1615</v>
      </c>
      <c r="C743" s="9">
        <v>76</v>
      </c>
      <c r="D743" s="149" t="s">
        <v>1616</v>
      </c>
      <c r="E743" s="150">
        <v>45190</v>
      </c>
      <c r="F743" s="9">
        <v>110</v>
      </c>
      <c r="G743" s="9">
        <v>3.9</v>
      </c>
      <c r="H743" s="9">
        <f>IF(MONTH(Call_Table_Data[[#This Row],[Date of Call]])&lt;=6,YEAR(Call_Table_Data[[#This Row],[Date of Call]]),YEAR(Call_Table_Data[[#This Row],[Date of Call]])+1)</f>
        <v>2024</v>
      </c>
      <c r="I743" s="9" t="str">
        <f>TEXT(Call_Table_Data[[#This Row],[Date of Call]],"DDDD")</f>
        <v>Thursday</v>
      </c>
      <c r="J743" s="9" t="str" cm="1">
        <f t="array" ref="J743">_xlfn.IFS(Call_Table_Data[[#This Row],[Duration]]&lt;=10,"Under 10 Mins",Call_Table_Data[[#This Row],[Duration]]&lt;=30,"10 to 30 Mins",Call_Table_Data[[#This Row],[Duration]]&lt;=60,"30 to 60 Mins",Call_Table_Data[[#This Row],[Duration]]&lt;=120,"1 to 2 Hours",TRUE,"More Than 2 Hours")</f>
        <v>1 to 2 Hours</v>
      </c>
      <c r="K743" s="9">
        <f>ROUND(Call_Table_Data[[#This Row],[Satisfaction Rating]],0)</f>
        <v>4</v>
      </c>
    </row>
    <row r="744" spans="1:11" x14ac:dyDescent="0.3">
      <c r="A744" s="9" t="s">
        <v>2370</v>
      </c>
      <c r="B744" s="9" t="s">
        <v>1652</v>
      </c>
      <c r="C744" s="9">
        <v>136</v>
      </c>
      <c r="D744" s="149" t="s">
        <v>1611</v>
      </c>
      <c r="E744" s="150">
        <v>45190</v>
      </c>
      <c r="F744" s="9">
        <v>36</v>
      </c>
      <c r="G744" s="9">
        <v>2.8</v>
      </c>
      <c r="H744" s="9">
        <f>IF(MONTH(Call_Table_Data[[#This Row],[Date of Call]])&lt;=6,YEAR(Call_Table_Data[[#This Row],[Date of Call]]),YEAR(Call_Table_Data[[#This Row],[Date of Call]])+1)</f>
        <v>2024</v>
      </c>
      <c r="I744" s="9" t="str">
        <f>TEXT(Call_Table_Data[[#This Row],[Date of Call]],"DDDD")</f>
        <v>Thursday</v>
      </c>
      <c r="J744" s="9" t="str" cm="1">
        <f t="array" ref="J744">_xlfn.IFS(Call_Table_Data[[#This Row],[Duration]]&lt;=10,"Under 10 Mins",Call_Table_Data[[#This Row],[Duration]]&lt;=30,"10 to 30 Mins",Call_Table_Data[[#This Row],[Duration]]&lt;=60,"30 to 60 Mins",Call_Table_Data[[#This Row],[Duration]]&lt;=120,"1 to 2 Hours",TRUE,"More Than 2 Hours")</f>
        <v>More Than 2 Hours</v>
      </c>
      <c r="K744" s="9">
        <f>ROUND(Call_Table_Data[[#This Row],[Satisfaction Rating]],0)</f>
        <v>3</v>
      </c>
    </row>
    <row r="745" spans="1:11" x14ac:dyDescent="0.3">
      <c r="A745" s="9" t="s">
        <v>2371</v>
      </c>
      <c r="B745" s="9" t="s">
        <v>1613</v>
      </c>
      <c r="C745" s="9">
        <v>129</v>
      </c>
      <c r="D745" s="149" t="s">
        <v>1621</v>
      </c>
      <c r="E745" s="150">
        <v>45191</v>
      </c>
      <c r="F745" s="9">
        <v>93</v>
      </c>
      <c r="G745" s="9">
        <v>4.7</v>
      </c>
      <c r="H745" s="9">
        <f>IF(MONTH(Call_Table_Data[[#This Row],[Date of Call]])&lt;=6,YEAR(Call_Table_Data[[#This Row],[Date of Call]]),YEAR(Call_Table_Data[[#This Row],[Date of Call]])+1)</f>
        <v>2024</v>
      </c>
      <c r="I745" s="9" t="str">
        <f>TEXT(Call_Table_Data[[#This Row],[Date of Call]],"DDDD")</f>
        <v>Friday</v>
      </c>
      <c r="J745" s="9" t="str" cm="1">
        <f t="array" ref="J745">_xlfn.IFS(Call_Table_Data[[#This Row],[Duration]]&lt;=10,"Under 10 Mins",Call_Table_Data[[#This Row],[Duration]]&lt;=30,"10 to 30 Mins",Call_Table_Data[[#This Row],[Duration]]&lt;=60,"30 to 60 Mins",Call_Table_Data[[#This Row],[Duration]]&lt;=120,"1 to 2 Hours",TRUE,"More Than 2 Hours")</f>
        <v>More Than 2 Hours</v>
      </c>
      <c r="K745" s="9">
        <f>ROUND(Call_Table_Data[[#This Row],[Satisfaction Rating]],0)</f>
        <v>5</v>
      </c>
    </row>
    <row r="746" spans="1:11" x14ac:dyDescent="0.3">
      <c r="A746" s="9" t="s">
        <v>2372</v>
      </c>
      <c r="B746" s="9" t="s">
        <v>1629</v>
      </c>
      <c r="C746" s="9">
        <v>120</v>
      </c>
      <c r="D746" s="149" t="s">
        <v>1611</v>
      </c>
      <c r="E746" s="150">
        <v>45191</v>
      </c>
      <c r="F746" s="9">
        <v>38</v>
      </c>
      <c r="G746" s="9">
        <v>4.2</v>
      </c>
      <c r="H746" s="9">
        <f>IF(MONTH(Call_Table_Data[[#This Row],[Date of Call]])&lt;=6,YEAR(Call_Table_Data[[#This Row],[Date of Call]]),YEAR(Call_Table_Data[[#This Row],[Date of Call]])+1)</f>
        <v>2024</v>
      </c>
      <c r="I746" s="9" t="str">
        <f>TEXT(Call_Table_Data[[#This Row],[Date of Call]],"DDDD")</f>
        <v>Friday</v>
      </c>
      <c r="J746" s="9" t="str" cm="1">
        <f t="array" ref="J746">_xlfn.IFS(Call_Table_Data[[#This Row],[Duration]]&lt;=10,"Under 10 Mins",Call_Table_Data[[#This Row],[Duration]]&lt;=30,"10 to 30 Mins",Call_Table_Data[[#This Row],[Duration]]&lt;=60,"30 to 60 Mins",Call_Table_Data[[#This Row],[Duration]]&lt;=120,"1 to 2 Hours",TRUE,"More Than 2 Hours")</f>
        <v>1 to 2 Hours</v>
      </c>
      <c r="K746" s="9">
        <f>ROUND(Call_Table_Data[[#This Row],[Satisfaction Rating]],0)</f>
        <v>4</v>
      </c>
    </row>
    <row r="747" spans="1:11" x14ac:dyDescent="0.3">
      <c r="A747" s="9" t="s">
        <v>2373</v>
      </c>
      <c r="B747" s="9" t="s">
        <v>1615</v>
      </c>
      <c r="C747" s="9">
        <v>108</v>
      </c>
      <c r="D747" s="149" t="s">
        <v>1621</v>
      </c>
      <c r="E747" s="150">
        <v>45192</v>
      </c>
      <c r="F747" s="9">
        <v>66</v>
      </c>
      <c r="G747" s="9">
        <v>3.9</v>
      </c>
      <c r="H747" s="9">
        <f>IF(MONTH(Call_Table_Data[[#This Row],[Date of Call]])&lt;=6,YEAR(Call_Table_Data[[#This Row],[Date of Call]]),YEAR(Call_Table_Data[[#This Row],[Date of Call]])+1)</f>
        <v>2024</v>
      </c>
      <c r="I747" s="9" t="str">
        <f>TEXT(Call_Table_Data[[#This Row],[Date of Call]],"DDDD")</f>
        <v>Saturday</v>
      </c>
      <c r="J747" s="9" t="str" cm="1">
        <f t="array" ref="J747">_xlfn.IFS(Call_Table_Data[[#This Row],[Duration]]&lt;=10,"Under 10 Mins",Call_Table_Data[[#This Row],[Duration]]&lt;=30,"10 to 30 Mins",Call_Table_Data[[#This Row],[Duration]]&lt;=60,"30 to 60 Mins",Call_Table_Data[[#This Row],[Duration]]&lt;=120,"1 to 2 Hours",TRUE,"More Than 2 Hours")</f>
        <v>1 to 2 Hours</v>
      </c>
      <c r="K747" s="9">
        <f>ROUND(Call_Table_Data[[#This Row],[Satisfaction Rating]],0)</f>
        <v>4</v>
      </c>
    </row>
    <row r="748" spans="1:11" x14ac:dyDescent="0.3">
      <c r="A748" s="9" t="s">
        <v>2374</v>
      </c>
      <c r="B748" s="9" t="s">
        <v>1624</v>
      </c>
      <c r="C748" s="9">
        <v>79</v>
      </c>
      <c r="D748" s="149" t="s">
        <v>1611</v>
      </c>
      <c r="E748" s="150">
        <v>45192</v>
      </c>
      <c r="F748" s="9">
        <v>215</v>
      </c>
      <c r="G748" s="9">
        <v>4.5999999999999996</v>
      </c>
      <c r="H748" s="9">
        <f>IF(MONTH(Call_Table_Data[[#This Row],[Date of Call]])&lt;=6,YEAR(Call_Table_Data[[#This Row],[Date of Call]]),YEAR(Call_Table_Data[[#This Row],[Date of Call]])+1)</f>
        <v>2024</v>
      </c>
      <c r="I748" s="9" t="str">
        <f>TEXT(Call_Table_Data[[#This Row],[Date of Call]],"DDDD")</f>
        <v>Saturday</v>
      </c>
      <c r="J748" s="9" t="str" cm="1">
        <f t="array" ref="J748">_xlfn.IFS(Call_Table_Data[[#This Row],[Duration]]&lt;=10,"Under 10 Mins",Call_Table_Data[[#This Row],[Duration]]&lt;=30,"10 to 30 Mins",Call_Table_Data[[#This Row],[Duration]]&lt;=60,"30 to 60 Mins",Call_Table_Data[[#This Row],[Duration]]&lt;=120,"1 to 2 Hours",TRUE,"More Than 2 Hours")</f>
        <v>1 to 2 Hours</v>
      </c>
      <c r="K748" s="9">
        <f>ROUND(Call_Table_Data[[#This Row],[Satisfaction Rating]],0)</f>
        <v>5</v>
      </c>
    </row>
    <row r="749" spans="1:11" x14ac:dyDescent="0.3">
      <c r="A749" s="9" t="s">
        <v>2375</v>
      </c>
      <c r="B749" s="9" t="s">
        <v>1624</v>
      </c>
      <c r="C749" s="9">
        <v>45</v>
      </c>
      <c r="D749" s="149" t="s">
        <v>1621</v>
      </c>
      <c r="E749" s="150">
        <v>45192</v>
      </c>
      <c r="F749" s="9">
        <v>92</v>
      </c>
      <c r="G749" s="9">
        <v>4.3</v>
      </c>
      <c r="H749" s="9">
        <f>IF(MONTH(Call_Table_Data[[#This Row],[Date of Call]])&lt;=6,YEAR(Call_Table_Data[[#This Row],[Date of Call]]),YEAR(Call_Table_Data[[#This Row],[Date of Call]])+1)</f>
        <v>2024</v>
      </c>
      <c r="I749" s="9" t="str">
        <f>TEXT(Call_Table_Data[[#This Row],[Date of Call]],"DDDD")</f>
        <v>Saturday</v>
      </c>
      <c r="J749" s="9" t="str" cm="1">
        <f t="array" ref="J749">_xlfn.IFS(Call_Table_Data[[#This Row],[Duration]]&lt;=10,"Under 10 Mins",Call_Table_Data[[#This Row],[Duration]]&lt;=30,"10 to 30 Mins",Call_Table_Data[[#This Row],[Duration]]&lt;=60,"30 to 60 Mins",Call_Table_Data[[#This Row],[Duration]]&lt;=120,"1 to 2 Hours",TRUE,"More Than 2 Hours")</f>
        <v>30 to 60 Mins</v>
      </c>
      <c r="K749" s="9">
        <f>ROUND(Call_Table_Data[[#This Row],[Satisfaction Rating]],0)</f>
        <v>4</v>
      </c>
    </row>
    <row r="750" spans="1:11" x14ac:dyDescent="0.3">
      <c r="A750" s="9" t="s">
        <v>2376</v>
      </c>
      <c r="B750" s="9" t="s">
        <v>1620</v>
      </c>
      <c r="C750" s="9">
        <v>96</v>
      </c>
      <c r="D750" s="149" t="s">
        <v>1611</v>
      </c>
      <c r="E750" s="150">
        <v>45192</v>
      </c>
      <c r="F750" s="9">
        <v>80</v>
      </c>
      <c r="G750" s="9">
        <v>3.6</v>
      </c>
      <c r="H750" s="9">
        <f>IF(MONTH(Call_Table_Data[[#This Row],[Date of Call]])&lt;=6,YEAR(Call_Table_Data[[#This Row],[Date of Call]]),YEAR(Call_Table_Data[[#This Row],[Date of Call]])+1)</f>
        <v>2024</v>
      </c>
      <c r="I750" s="9" t="str">
        <f>TEXT(Call_Table_Data[[#This Row],[Date of Call]],"DDDD")</f>
        <v>Saturday</v>
      </c>
      <c r="J750" s="9" t="str" cm="1">
        <f t="array" ref="J750">_xlfn.IFS(Call_Table_Data[[#This Row],[Duration]]&lt;=10,"Under 10 Mins",Call_Table_Data[[#This Row],[Duration]]&lt;=30,"10 to 30 Mins",Call_Table_Data[[#This Row],[Duration]]&lt;=60,"30 to 60 Mins",Call_Table_Data[[#This Row],[Duration]]&lt;=120,"1 to 2 Hours",TRUE,"More Than 2 Hours")</f>
        <v>1 to 2 Hours</v>
      </c>
      <c r="K750" s="9">
        <f>ROUND(Call_Table_Data[[#This Row],[Satisfaction Rating]],0)</f>
        <v>4</v>
      </c>
    </row>
    <row r="751" spans="1:11" x14ac:dyDescent="0.3">
      <c r="A751" s="9" t="s">
        <v>2377</v>
      </c>
      <c r="B751" s="9" t="s">
        <v>1620</v>
      </c>
      <c r="C751" s="9">
        <v>81</v>
      </c>
      <c r="D751" s="149" t="s">
        <v>1611</v>
      </c>
      <c r="E751" s="150">
        <v>45193</v>
      </c>
      <c r="F751" s="9">
        <v>123</v>
      </c>
      <c r="G751" s="9">
        <v>4.9000000000000004</v>
      </c>
      <c r="H751" s="9">
        <f>IF(MONTH(Call_Table_Data[[#This Row],[Date of Call]])&lt;=6,YEAR(Call_Table_Data[[#This Row],[Date of Call]]),YEAR(Call_Table_Data[[#This Row],[Date of Call]])+1)</f>
        <v>2024</v>
      </c>
      <c r="I751" s="9" t="str">
        <f>TEXT(Call_Table_Data[[#This Row],[Date of Call]],"DDDD")</f>
        <v>Sunday</v>
      </c>
      <c r="J751" s="9" t="str" cm="1">
        <f t="array" ref="J751">_xlfn.IFS(Call_Table_Data[[#This Row],[Duration]]&lt;=10,"Under 10 Mins",Call_Table_Data[[#This Row],[Duration]]&lt;=30,"10 to 30 Mins",Call_Table_Data[[#This Row],[Duration]]&lt;=60,"30 to 60 Mins",Call_Table_Data[[#This Row],[Duration]]&lt;=120,"1 to 2 Hours",TRUE,"More Than 2 Hours")</f>
        <v>1 to 2 Hours</v>
      </c>
      <c r="K751" s="9">
        <f>ROUND(Call_Table_Data[[#This Row],[Satisfaction Rating]],0)</f>
        <v>5</v>
      </c>
    </row>
    <row r="752" spans="1:11" x14ac:dyDescent="0.3">
      <c r="A752" s="9" t="s">
        <v>2378</v>
      </c>
      <c r="B752" s="9" t="s">
        <v>1652</v>
      </c>
      <c r="C752" s="9">
        <v>95</v>
      </c>
      <c r="D752" s="149" t="s">
        <v>1626</v>
      </c>
      <c r="E752" s="150">
        <v>45193</v>
      </c>
      <c r="F752" s="9">
        <v>23</v>
      </c>
      <c r="G752" s="9">
        <v>2.4</v>
      </c>
      <c r="H752" s="9">
        <f>IF(MONTH(Call_Table_Data[[#This Row],[Date of Call]])&lt;=6,YEAR(Call_Table_Data[[#This Row],[Date of Call]]),YEAR(Call_Table_Data[[#This Row],[Date of Call]])+1)</f>
        <v>2024</v>
      </c>
      <c r="I752" s="9" t="str">
        <f>TEXT(Call_Table_Data[[#This Row],[Date of Call]],"DDDD")</f>
        <v>Sunday</v>
      </c>
      <c r="J752" s="9" t="str" cm="1">
        <f t="array" ref="J752">_xlfn.IFS(Call_Table_Data[[#This Row],[Duration]]&lt;=10,"Under 10 Mins",Call_Table_Data[[#This Row],[Duration]]&lt;=30,"10 to 30 Mins",Call_Table_Data[[#This Row],[Duration]]&lt;=60,"30 to 60 Mins",Call_Table_Data[[#This Row],[Duration]]&lt;=120,"1 to 2 Hours",TRUE,"More Than 2 Hours")</f>
        <v>1 to 2 Hours</v>
      </c>
      <c r="K752" s="9">
        <f>ROUND(Call_Table_Data[[#This Row],[Satisfaction Rating]],0)</f>
        <v>2</v>
      </c>
    </row>
    <row r="753" spans="1:11" x14ac:dyDescent="0.3">
      <c r="A753" s="9" t="s">
        <v>2379</v>
      </c>
      <c r="B753" s="9" t="s">
        <v>1649</v>
      </c>
      <c r="C753" s="9">
        <v>159</v>
      </c>
      <c r="D753" s="149" t="s">
        <v>1616</v>
      </c>
      <c r="E753" s="150">
        <v>45193</v>
      </c>
      <c r="F753" s="9">
        <v>63</v>
      </c>
      <c r="G753" s="9">
        <v>4.2</v>
      </c>
      <c r="H753" s="9">
        <f>IF(MONTH(Call_Table_Data[[#This Row],[Date of Call]])&lt;=6,YEAR(Call_Table_Data[[#This Row],[Date of Call]]),YEAR(Call_Table_Data[[#This Row],[Date of Call]])+1)</f>
        <v>2024</v>
      </c>
      <c r="I753" s="9" t="str">
        <f>TEXT(Call_Table_Data[[#This Row],[Date of Call]],"DDDD")</f>
        <v>Sunday</v>
      </c>
      <c r="J753" s="9" t="str" cm="1">
        <f t="array" ref="J753">_xlfn.IFS(Call_Table_Data[[#This Row],[Duration]]&lt;=10,"Under 10 Mins",Call_Table_Data[[#This Row],[Duration]]&lt;=30,"10 to 30 Mins",Call_Table_Data[[#This Row],[Duration]]&lt;=60,"30 to 60 Mins",Call_Table_Data[[#This Row],[Duration]]&lt;=120,"1 to 2 Hours",TRUE,"More Than 2 Hours")</f>
        <v>More Than 2 Hours</v>
      </c>
      <c r="K753" s="9">
        <f>ROUND(Call_Table_Data[[#This Row],[Satisfaction Rating]],0)</f>
        <v>4</v>
      </c>
    </row>
    <row r="754" spans="1:11" x14ac:dyDescent="0.3">
      <c r="A754" s="9" t="s">
        <v>2380</v>
      </c>
      <c r="B754" s="9" t="s">
        <v>1682</v>
      </c>
      <c r="C754" s="9">
        <v>109</v>
      </c>
      <c r="D754" s="149" t="s">
        <v>1630</v>
      </c>
      <c r="E754" s="150">
        <v>45193</v>
      </c>
      <c r="F754" s="9">
        <v>52</v>
      </c>
      <c r="G754" s="9">
        <v>3.9</v>
      </c>
      <c r="H754" s="9">
        <f>IF(MONTH(Call_Table_Data[[#This Row],[Date of Call]])&lt;=6,YEAR(Call_Table_Data[[#This Row],[Date of Call]]),YEAR(Call_Table_Data[[#This Row],[Date of Call]])+1)</f>
        <v>2024</v>
      </c>
      <c r="I754" s="9" t="str">
        <f>TEXT(Call_Table_Data[[#This Row],[Date of Call]],"DDDD")</f>
        <v>Sunday</v>
      </c>
      <c r="J754" s="9" t="str" cm="1">
        <f t="array" ref="J754">_xlfn.IFS(Call_Table_Data[[#This Row],[Duration]]&lt;=10,"Under 10 Mins",Call_Table_Data[[#This Row],[Duration]]&lt;=30,"10 to 30 Mins",Call_Table_Data[[#This Row],[Duration]]&lt;=60,"30 to 60 Mins",Call_Table_Data[[#This Row],[Duration]]&lt;=120,"1 to 2 Hours",TRUE,"More Than 2 Hours")</f>
        <v>1 to 2 Hours</v>
      </c>
      <c r="K754" s="9">
        <f>ROUND(Call_Table_Data[[#This Row],[Satisfaction Rating]],0)</f>
        <v>4</v>
      </c>
    </row>
    <row r="755" spans="1:11" x14ac:dyDescent="0.3">
      <c r="A755" s="9" t="s">
        <v>2381</v>
      </c>
      <c r="B755" s="9" t="s">
        <v>1624</v>
      </c>
      <c r="C755" s="9">
        <v>107</v>
      </c>
      <c r="D755" s="149" t="s">
        <v>1630</v>
      </c>
      <c r="E755" s="150">
        <v>45193</v>
      </c>
      <c r="F755" s="9">
        <v>60</v>
      </c>
      <c r="G755" s="9">
        <v>4.2</v>
      </c>
      <c r="H755" s="9">
        <f>IF(MONTH(Call_Table_Data[[#This Row],[Date of Call]])&lt;=6,YEAR(Call_Table_Data[[#This Row],[Date of Call]]),YEAR(Call_Table_Data[[#This Row],[Date of Call]])+1)</f>
        <v>2024</v>
      </c>
      <c r="I755" s="9" t="str">
        <f>TEXT(Call_Table_Data[[#This Row],[Date of Call]],"DDDD")</f>
        <v>Sunday</v>
      </c>
      <c r="J755" s="9" t="str" cm="1">
        <f t="array" ref="J755">_xlfn.IFS(Call_Table_Data[[#This Row],[Duration]]&lt;=10,"Under 10 Mins",Call_Table_Data[[#This Row],[Duration]]&lt;=30,"10 to 30 Mins",Call_Table_Data[[#This Row],[Duration]]&lt;=60,"30 to 60 Mins",Call_Table_Data[[#This Row],[Duration]]&lt;=120,"1 to 2 Hours",TRUE,"More Than 2 Hours")</f>
        <v>1 to 2 Hours</v>
      </c>
      <c r="K755" s="9">
        <f>ROUND(Call_Table_Data[[#This Row],[Satisfaction Rating]],0)</f>
        <v>4</v>
      </c>
    </row>
    <row r="756" spans="1:11" x14ac:dyDescent="0.3">
      <c r="A756" s="9" t="s">
        <v>2382</v>
      </c>
      <c r="B756" s="9" t="s">
        <v>1620</v>
      </c>
      <c r="C756" s="9">
        <v>67</v>
      </c>
      <c r="D756" s="149" t="s">
        <v>1621</v>
      </c>
      <c r="E756" s="150">
        <v>45194</v>
      </c>
      <c r="F756" s="9">
        <v>87</v>
      </c>
      <c r="G756" s="9">
        <v>3.9</v>
      </c>
      <c r="H756" s="9">
        <f>IF(MONTH(Call_Table_Data[[#This Row],[Date of Call]])&lt;=6,YEAR(Call_Table_Data[[#This Row],[Date of Call]]),YEAR(Call_Table_Data[[#This Row],[Date of Call]])+1)</f>
        <v>2024</v>
      </c>
      <c r="I756" s="9" t="str">
        <f>TEXT(Call_Table_Data[[#This Row],[Date of Call]],"DDDD")</f>
        <v>Monday</v>
      </c>
      <c r="J756" s="9" t="str" cm="1">
        <f t="array" ref="J756">_xlfn.IFS(Call_Table_Data[[#This Row],[Duration]]&lt;=10,"Under 10 Mins",Call_Table_Data[[#This Row],[Duration]]&lt;=30,"10 to 30 Mins",Call_Table_Data[[#This Row],[Duration]]&lt;=60,"30 to 60 Mins",Call_Table_Data[[#This Row],[Duration]]&lt;=120,"1 to 2 Hours",TRUE,"More Than 2 Hours")</f>
        <v>1 to 2 Hours</v>
      </c>
      <c r="K756" s="9">
        <f>ROUND(Call_Table_Data[[#This Row],[Satisfaction Rating]],0)</f>
        <v>4</v>
      </c>
    </row>
    <row r="757" spans="1:11" x14ac:dyDescent="0.3">
      <c r="A757" s="9" t="s">
        <v>2383</v>
      </c>
      <c r="B757" s="9" t="s">
        <v>1635</v>
      </c>
      <c r="C757" s="9">
        <v>96</v>
      </c>
      <c r="D757" s="149" t="s">
        <v>1611</v>
      </c>
      <c r="E757" s="150">
        <v>45195</v>
      </c>
      <c r="F757" s="9">
        <v>42</v>
      </c>
      <c r="G757" s="9">
        <v>4.5</v>
      </c>
      <c r="H757" s="9">
        <f>IF(MONTH(Call_Table_Data[[#This Row],[Date of Call]])&lt;=6,YEAR(Call_Table_Data[[#This Row],[Date of Call]]),YEAR(Call_Table_Data[[#This Row],[Date of Call]])+1)</f>
        <v>2024</v>
      </c>
      <c r="I757" s="9" t="str">
        <f>TEXT(Call_Table_Data[[#This Row],[Date of Call]],"DDDD")</f>
        <v>Tuesday</v>
      </c>
      <c r="J757" s="9" t="str" cm="1">
        <f t="array" ref="J757">_xlfn.IFS(Call_Table_Data[[#This Row],[Duration]]&lt;=10,"Under 10 Mins",Call_Table_Data[[#This Row],[Duration]]&lt;=30,"10 to 30 Mins",Call_Table_Data[[#This Row],[Duration]]&lt;=60,"30 to 60 Mins",Call_Table_Data[[#This Row],[Duration]]&lt;=120,"1 to 2 Hours",TRUE,"More Than 2 Hours")</f>
        <v>1 to 2 Hours</v>
      </c>
      <c r="K757" s="9">
        <f>ROUND(Call_Table_Data[[#This Row],[Satisfaction Rating]],0)</f>
        <v>5</v>
      </c>
    </row>
    <row r="758" spans="1:11" x14ac:dyDescent="0.3">
      <c r="A758" s="9" t="s">
        <v>2384</v>
      </c>
      <c r="B758" s="9" t="s">
        <v>1644</v>
      </c>
      <c r="C758" s="9">
        <v>142</v>
      </c>
      <c r="D758" s="149" t="s">
        <v>1616</v>
      </c>
      <c r="E758" s="150">
        <v>45196</v>
      </c>
      <c r="F758" s="9">
        <v>37</v>
      </c>
      <c r="G758" s="9">
        <v>3.8</v>
      </c>
      <c r="H758" s="9">
        <f>IF(MONTH(Call_Table_Data[[#This Row],[Date of Call]])&lt;=6,YEAR(Call_Table_Data[[#This Row],[Date of Call]]),YEAR(Call_Table_Data[[#This Row],[Date of Call]])+1)</f>
        <v>2024</v>
      </c>
      <c r="I758" s="9" t="str">
        <f>TEXT(Call_Table_Data[[#This Row],[Date of Call]],"DDDD")</f>
        <v>Wednesday</v>
      </c>
      <c r="J758" s="9" t="str" cm="1">
        <f t="array" ref="J758">_xlfn.IFS(Call_Table_Data[[#This Row],[Duration]]&lt;=10,"Under 10 Mins",Call_Table_Data[[#This Row],[Duration]]&lt;=30,"10 to 30 Mins",Call_Table_Data[[#This Row],[Duration]]&lt;=60,"30 to 60 Mins",Call_Table_Data[[#This Row],[Duration]]&lt;=120,"1 to 2 Hours",TRUE,"More Than 2 Hours")</f>
        <v>More Than 2 Hours</v>
      </c>
      <c r="K758" s="9">
        <f>ROUND(Call_Table_Data[[#This Row],[Satisfaction Rating]],0)</f>
        <v>4</v>
      </c>
    </row>
    <row r="759" spans="1:11" x14ac:dyDescent="0.3">
      <c r="A759" s="9" t="s">
        <v>2385</v>
      </c>
      <c r="B759" s="9" t="s">
        <v>1644</v>
      </c>
      <c r="C759" s="9">
        <v>71</v>
      </c>
      <c r="D759" s="149" t="s">
        <v>1626</v>
      </c>
      <c r="E759" s="150">
        <v>45196</v>
      </c>
      <c r="F759" s="9">
        <v>135</v>
      </c>
      <c r="G759" s="9">
        <v>3.9</v>
      </c>
      <c r="H759" s="9">
        <f>IF(MONTH(Call_Table_Data[[#This Row],[Date of Call]])&lt;=6,YEAR(Call_Table_Data[[#This Row],[Date of Call]]),YEAR(Call_Table_Data[[#This Row],[Date of Call]])+1)</f>
        <v>2024</v>
      </c>
      <c r="I759" s="9" t="str">
        <f>TEXT(Call_Table_Data[[#This Row],[Date of Call]],"DDDD")</f>
        <v>Wednesday</v>
      </c>
      <c r="J759" s="9" t="str" cm="1">
        <f t="array" ref="J759">_xlfn.IFS(Call_Table_Data[[#This Row],[Duration]]&lt;=10,"Under 10 Mins",Call_Table_Data[[#This Row],[Duration]]&lt;=30,"10 to 30 Mins",Call_Table_Data[[#This Row],[Duration]]&lt;=60,"30 to 60 Mins",Call_Table_Data[[#This Row],[Duration]]&lt;=120,"1 to 2 Hours",TRUE,"More Than 2 Hours")</f>
        <v>1 to 2 Hours</v>
      </c>
      <c r="K759" s="9">
        <f>ROUND(Call_Table_Data[[#This Row],[Satisfaction Rating]],0)</f>
        <v>4</v>
      </c>
    </row>
    <row r="760" spans="1:11" x14ac:dyDescent="0.3">
      <c r="A760" s="9" t="s">
        <v>2386</v>
      </c>
      <c r="B760" s="9" t="s">
        <v>1635</v>
      </c>
      <c r="C760" s="9">
        <v>152</v>
      </c>
      <c r="D760" s="149" t="s">
        <v>1626</v>
      </c>
      <c r="E760" s="150">
        <v>45196</v>
      </c>
      <c r="F760" s="9">
        <v>88</v>
      </c>
      <c r="G760" s="9">
        <v>4.7</v>
      </c>
      <c r="H760" s="9">
        <f>IF(MONTH(Call_Table_Data[[#This Row],[Date of Call]])&lt;=6,YEAR(Call_Table_Data[[#This Row],[Date of Call]]),YEAR(Call_Table_Data[[#This Row],[Date of Call]])+1)</f>
        <v>2024</v>
      </c>
      <c r="I760" s="9" t="str">
        <f>TEXT(Call_Table_Data[[#This Row],[Date of Call]],"DDDD")</f>
        <v>Wednesday</v>
      </c>
      <c r="J760" s="9" t="str" cm="1">
        <f t="array" ref="J760">_xlfn.IFS(Call_Table_Data[[#This Row],[Duration]]&lt;=10,"Under 10 Mins",Call_Table_Data[[#This Row],[Duration]]&lt;=30,"10 to 30 Mins",Call_Table_Data[[#This Row],[Duration]]&lt;=60,"30 to 60 Mins",Call_Table_Data[[#This Row],[Duration]]&lt;=120,"1 to 2 Hours",TRUE,"More Than 2 Hours")</f>
        <v>More Than 2 Hours</v>
      </c>
      <c r="K760" s="9">
        <f>ROUND(Call_Table_Data[[#This Row],[Satisfaction Rating]],0)</f>
        <v>5</v>
      </c>
    </row>
    <row r="761" spans="1:11" x14ac:dyDescent="0.3">
      <c r="A761" s="9" t="s">
        <v>2387</v>
      </c>
      <c r="B761" s="9" t="s">
        <v>1662</v>
      </c>
      <c r="C761" s="9">
        <v>108</v>
      </c>
      <c r="D761" s="149" t="s">
        <v>1616</v>
      </c>
      <c r="E761" s="150">
        <v>45196</v>
      </c>
      <c r="F761" s="9">
        <v>190</v>
      </c>
      <c r="G761" s="9">
        <v>3.2</v>
      </c>
      <c r="H761" s="9">
        <f>IF(MONTH(Call_Table_Data[[#This Row],[Date of Call]])&lt;=6,YEAR(Call_Table_Data[[#This Row],[Date of Call]]),YEAR(Call_Table_Data[[#This Row],[Date of Call]])+1)</f>
        <v>2024</v>
      </c>
      <c r="I761" s="9" t="str">
        <f>TEXT(Call_Table_Data[[#This Row],[Date of Call]],"DDDD")</f>
        <v>Wednesday</v>
      </c>
      <c r="J761" s="9" t="str" cm="1">
        <f t="array" ref="J761">_xlfn.IFS(Call_Table_Data[[#This Row],[Duration]]&lt;=10,"Under 10 Mins",Call_Table_Data[[#This Row],[Duration]]&lt;=30,"10 to 30 Mins",Call_Table_Data[[#This Row],[Duration]]&lt;=60,"30 to 60 Mins",Call_Table_Data[[#This Row],[Duration]]&lt;=120,"1 to 2 Hours",TRUE,"More Than 2 Hours")</f>
        <v>1 to 2 Hours</v>
      </c>
      <c r="K761" s="9">
        <f>ROUND(Call_Table_Data[[#This Row],[Satisfaction Rating]],0)</f>
        <v>3</v>
      </c>
    </row>
    <row r="762" spans="1:11" x14ac:dyDescent="0.3">
      <c r="A762" s="9" t="s">
        <v>2388</v>
      </c>
      <c r="B762" s="9" t="s">
        <v>1662</v>
      </c>
      <c r="C762" s="9">
        <v>156</v>
      </c>
      <c r="D762" s="149" t="s">
        <v>1626</v>
      </c>
      <c r="E762" s="150">
        <v>45196</v>
      </c>
      <c r="F762" s="9">
        <v>81</v>
      </c>
      <c r="G762" s="9">
        <v>5</v>
      </c>
      <c r="H762" s="9">
        <f>IF(MONTH(Call_Table_Data[[#This Row],[Date of Call]])&lt;=6,YEAR(Call_Table_Data[[#This Row],[Date of Call]]),YEAR(Call_Table_Data[[#This Row],[Date of Call]])+1)</f>
        <v>2024</v>
      </c>
      <c r="I762" s="9" t="str">
        <f>TEXT(Call_Table_Data[[#This Row],[Date of Call]],"DDDD")</f>
        <v>Wednesday</v>
      </c>
      <c r="J762" s="9" t="str" cm="1">
        <f t="array" ref="J762">_xlfn.IFS(Call_Table_Data[[#This Row],[Duration]]&lt;=10,"Under 10 Mins",Call_Table_Data[[#This Row],[Duration]]&lt;=30,"10 to 30 Mins",Call_Table_Data[[#This Row],[Duration]]&lt;=60,"30 to 60 Mins",Call_Table_Data[[#This Row],[Duration]]&lt;=120,"1 to 2 Hours",TRUE,"More Than 2 Hours")</f>
        <v>More Than 2 Hours</v>
      </c>
      <c r="K762" s="9">
        <f>ROUND(Call_Table_Data[[#This Row],[Satisfaction Rating]],0)</f>
        <v>5</v>
      </c>
    </row>
    <row r="763" spans="1:11" x14ac:dyDescent="0.3">
      <c r="A763" s="9" t="s">
        <v>2389</v>
      </c>
      <c r="B763" s="9" t="s">
        <v>1644</v>
      </c>
      <c r="C763" s="9">
        <v>126</v>
      </c>
      <c r="D763" s="149" t="s">
        <v>1616</v>
      </c>
      <c r="E763" s="150">
        <v>45196</v>
      </c>
      <c r="F763" s="9">
        <v>44</v>
      </c>
      <c r="G763" s="9">
        <v>3.7</v>
      </c>
      <c r="H763" s="9">
        <f>IF(MONTH(Call_Table_Data[[#This Row],[Date of Call]])&lt;=6,YEAR(Call_Table_Data[[#This Row],[Date of Call]]),YEAR(Call_Table_Data[[#This Row],[Date of Call]])+1)</f>
        <v>2024</v>
      </c>
      <c r="I763" s="9" t="str">
        <f>TEXT(Call_Table_Data[[#This Row],[Date of Call]],"DDDD")</f>
        <v>Wednesday</v>
      </c>
      <c r="J763" s="9" t="str" cm="1">
        <f t="array" ref="J763">_xlfn.IFS(Call_Table_Data[[#This Row],[Duration]]&lt;=10,"Under 10 Mins",Call_Table_Data[[#This Row],[Duration]]&lt;=30,"10 to 30 Mins",Call_Table_Data[[#This Row],[Duration]]&lt;=60,"30 to 60 Mins",Call_Table_Data[[#This Row],[Duration]]&lt;=120,"1 to 2 Hours",TRUE,"More Than 2 Hours")</f>
        <v>More Than 2 Hours</v>
      </c>
      <c r="K763" s="9">
        <f>ROUND(Call_Table_Data[[#This Row],[Satisfaction Rating]],0)</f>
        <v>4</v>
      </c>
    </row>
    <row r="764" spans="1:11" x14ac:dyDescent="0.3">
      <c r="A764" s="9" t="s">
        <v>2390</v>
      </c>
      <c r="B764" s="9" t="s">
        <v>1615</v>
      </c>
      <c r="C764" s="9">
        <v>135</v>
      </c>
      <c r="D764" s="149" t="s">
        <v>1626</v>
      </c>
      <c r="E764" s="150">
        <v>45197</v>
      </c>
      <c r="F764" s="9">
        <v>92</v>
      </c>
      <c r="G764" s="9">
        <v>3.9</v>
      </c>
      <c r="H764" s="9">
        <f>IF(MONTH(Call_Table_Data[[#This Row],[Date of Call]])&lt;=6,YEAR(Call_Table_Data[[#This Row],[Date of Call]]),YEAR(Call_Table_Data[[#This Row],[Date of Call]])+1)</f>
        <v>2024</v>
      </c>
      <c r="I764" s="9" t="str">
        <f>TEXT(Call_Table_Data[[#This Row],[Date of Call]],"DDDD")</f>
        <v>Thursday</v>
      </c>
      <c r="J764" s="9" t="str" cm="1">
        <f t="array" ref="J764">_xlfn.IFS(Call_Table_Data[[#This Row],[Duration]]&lt;=10,"Under 10 Mins",Call_Table_Data[[#This Row],[Duration]]&lt;=30,"10 to 30 Mins",Call_Table_Data[[#This Row],[Duration]]&lt;=60,"30 to 60 Mins",Call_Table_Data[[#This Row],[Duration]]&lt;=120,"1 to 2 Hours",TRUE,"More Than 2 Hours")</f>
        <v>More Than 2 Hours</v>
      </c>
      <c r="K764" s="9">
        <f>ROUND(Call_Table_Data[[#This Row],[Satisfaction Rating]],0)</f>
        <v>4</v>
      </c>
    </row>
    <row r="765" spans="1:11" x14ac:dyDescent="0.3">
      <c r="A765" s="9" t="s">
        <v>2391</v>
      </c>
      <c r="B765" s="9" t="s">
        <v>1644</v>
      </c>
      <c r="C765" s="9">
        <v>110</v>
      </c>
      <c r="D765" s="149" t="s">
        <v>1611</v>
      </c>
      <c r="E765" s="150">
        <v>45198</v>
      </c>
      <c r="F765" s="9">
        <v>90</v>
      </c>
      <c r="G765" s="9">
        <v>3.1</v>
      </c>
      <c r="H765" s="9">
        <f>IF(MONTH(Call_Table_Data[[#This Row],[Date of Call]])&lt;=6,YEAR(Call_Table_Data[[#This Row],[Date of Call]]),YEAR(Call_Table_Data[[#This Row],[Date of Call]])+1)</f>
        <v>2024</v>
      </c>
      <c r="I765" s="9" t="str">
        <f>TEXT(Call_Table_Data[[#This Row],[Date of Call]],"DDDD")</f>
        <v>Friday</v>
      </c>
      <c r="J765" s="9" t="str" cm="1">
        <f t="array" ref="J765">_xlfn.IFS(Call_Table_Data[[#This Row],[Duration]]&lt;=10,"Under 10 Mins",Call_Table_Data[[#This Row],[Duration]]&lt;=30,"10 to 30 Mins",Call_Table_Data[[#This Row],[Duration]]&lt;=60,"30 to 60 Mins",Call_Table_Data[[#This Row],[Duration]]&lt;=120,"1 to 2 Hours",TRUE,"More Than 2 Hours")</f>
        <v>1 to 2 Hours</v>
      </c>
      <c r="K765" s="9">
        <f>ROUND(Call_Table_Data[[#This Row],[Satisfaction Rating]],0)</f>
        <v>3</v>
      </c>
    </row>
    <row r="766" spans="1:11" x14ac:dyDescent="0.3">
      <c r="A766" s="9" t="s">
        <v>2392</v>
      </c>
      <c r="B766" s="9" t="s">
        <v>1649</v>
      </c>
      <c r="C766" s="9">
        <v>64</v>
      </c>
      <c r="D766" s="149" t="s">
        <v>1626</v>
      </c>
      <c r="E766" s="150">
        <v>45198</v>
      </c>
      <c r="F766" s="9">
        <v>112</v>
      </c>
      <c r="G766" s="9">
        <v>2</v>
      </c>
      <c r="H766" s="9">
        <f>IF(MONTH(Call_Table_Data[[#This Row],[Date of Call]])&lt;=6,YEAR(Call_Table_Data[[#This Row],[Date of Call]]),YEAR(Call_Table_Data[[#This Row],[Date of Call]])+1)</f>
        <v>2024</v>
      </c>
      <c r="I766" s="9" t="str">
        <f>TEXT(Call_Table_Data[[#This Row],[Date of Call]],"DDDD")</f>
        <v>Friday</v>
      </c>
      <c r="J766" s="9" t="str" cm="1">
        <f t="array" ref="J766">_xlfn.IFS(Call_Table_Data[[#This Row],[Duration]]&lt;=10,"Under 10 Mins",Call_Table_Data[[#This Row],[Duration]]&lt;=30,"10 to 30 Mins",Call_Table_Data[[#This Row],[Duration]]&lt;=60,"30 to 60 Mins",Call_Table_Data[[#This Row],[Duration]]&lt;=120,"1 to 2 Hours",TRUE,"More Than 2 Hours")</f>
        <v>1 to 2 Hours</v>
      </c>
      <c r="K766" s="9">
        <f>ROUND(Call_Table_Data[[#This Row],[Satisfaction Rating]],0)</f>
        <v>2</v>
      </c>
    </row>
    <row r="767" spans="1:11" x14ac:dyDescent="0.3">
      <c r="A767" s="9" t="s">
        <v>2393</v>
      </c>
      <c r="B767" s="9" t="s">
        <v>1641</v>
      </c>
      <c r="C767" s="9">
        <v>127</v>
      </c>
      <c r="D767" s="149" t="s">
        <v>1616</v>
      </c>
      <c r="E767" s="150">
        <v>45198</v>
      </c>
      <c r="F767" s="9">
        <v>112</v>
      </c>
      <c r="G767" s="9">
        <v>4.5999999999999996</v>
      </c>
      <c r="H767" s="9">
        <f>IF(MONTH(Call_Table_Data[[#This Row],[Date of Call]])&lt;=6,YEAR(Call_Table_Data[[#This Row],[Date of Call]]),YEAR(Call_Table_Data[[#This Row],[Date of Call]])+1)</f>
        <v>2024</v>
      </c>
      <c r="I767" s="9" t="str">
        <f>TEXT(Call_Table_Data[[#This Row],[Date of Call]],"DDDD")</f>
        <v>Friday</v>
      </c>
      <c r="J767" s="9" t="str" cm="1">
        <f t="array" ref="J767">_xlfn.IFS(Call_Table_Data[[#This Row],[Duration]]&lt;=10,"Under 10 Mins",Call_Table_Data[[#This Row],[Duration]]&lt;=30,"10 to 30 Mins",Call_Table_Data[[#This Row],[Duration]]&lt;=60,"30 to 60 Mins",Call_Table_Data[[#This Row],[Duration]]&lt;=120,"1 to 2 Hours",TRUE,"More Than 2 Hours")</f>
        <v>More Than 2 Hours</v>
      </c>
      <c r="K767" s="9">
        <f>ROUND(Call_Table_Data[[#This Row],[Satisfaction Rating]],0)</f>
        <v>5</v>
      </c>
    </row>
    <row r="768" spans="1:11" x14ac:dyDescent="0.3">
      <c r="A768" s="9" t="s">
        <v>2394</v>
      </c>
      <c r="B768" s="9" t="s">
        <v>1682</v>
      </c>
      <c r="C768" s="9">
        <v>124</v>
      </c>
      <c r="D768" s="149" t="s">
        <v>1621</v>
      </c>
      <c r="E768" s="150">
        <v>45198</v>
      </c>
      <c r="F768" s="9">
        <v>48</v>
      </c>
      <c r="G768" s="9">
        <v>3.7</v>
      </c>
      <c r="H768" s="9">
        <f>IF(MONTH(Call_Table_Data[[#This Row],[Date of Call]])&lt;=6,YEAR(Call_Table_Data[[#This Row],[Date of Call]]),YEAR(Call_Table_Data[[#This Row],[Date of Call]])+1)</f>
        <v>2024</v>
      </c>
      <c r="I768" s="9" t="str">
        <f>TEXT(Call_Table_Data[[#This Row],[Date of Call]],"DDDD")</f>
        <v>Friday</v>
      </c>
      <c r="J768" s="9" t="str" cm="1">
        <f t="array" ref="J768">_xlfn.IFS(Call_Table_Data[[#This Row],[Duration]]&lt;=10,"Under 10 Mins",Call_Table_Data[[#This Row],[Duration]]&lt;=30,"10 to 30 Mins",Call_Table_Data[[#This Row],[Duration]]&lt;=60,"30 to 60 Mins",Call_Table_Data[[#This Row],[Duration]]&lt;=120,"1 to 2 Hours",TRUE,"More Than 2 Hours")</f>
        <v>More Than 2 Hours</v>
      </c>
      <c r="K768" s="9">
        <f>ROUND(Call_Table_Data[[#This Row],[Satisfaction Rating]],0)</f>
        <v>4</v>
      </c>
    </row>
    <row r="769" spans="1:11" x14ac:dyDescent="0.3">
      <c r="A769" s="9" t="s">
        <v>2395</v>
      </c>
      <c r="B769" s="9" t="s">
        <v>1649</v>
      </c>
      <c r="C769" s="9">
        <v>125</v>
      </c>
      <c r="D769" s="149" t="s">
        <v>1616</v>
      </c>
      <c r="E769" s="150">
        <v>45198</v>
      </c>
      <c r="F769" s="9">
        <v>116</v>
      </c>
      <c r="G769" s="9">
        <v>4.4000000000000004</v>
      </c>
      <c r="H769" s="9">
        <f>IF(MONTH(Call_Table_Data[[#This Row],[Date of Call]])&lt;=6,YEAR(Call_Table_Data[[#This Row],[Date of Call]]),YEAR(Call_Table_Data[[#This Row],[Date of Call]])+1)</f>
        <v>2024</v>
      </c>
      <c r="I769" s="9" t="str">
        <f>TEXT(Call_Table_Data[[#This Row],[Date of Call]],"DDDD")</f>
        <v>Friday</v>
      </c>
      <c r="J769" s="9" t="str" cm="1">
        <f t="array" ref="J769">_xlfn.IFS(Call_Table_Data[[#This Row],[Duration]]&lt;=10,"Under 10 Mins",Call_Table_Data[[#This Row],[Duration]]&lt;=30,"10 to 30 Mins",Call_Table_Data[[#This Row],[Duration]]&lt;=60,"30 to 60 Mins",Call_Table_Data[[#This Row],[Duration]]&lt;=120,"1 to 2 Hours",TRUE,"More Than 2 Hours")</f>
        <v>More Than 2 Hours</v>
      </c>
      <c r="K769" s="9">
        <f>ROUND(Call_Table_Data[[#This Row],[Satisfaction Rating]],0)</f>
        <v>4</v>
      </c>
    </row>
    <row r="770" spans="1:11" x14ac:dyDescent="0.3">
      <c r="A770" s="9" t="s">
        <v>2396</v>
      </c>
      <c r="B770" s="9" t="s">
        <v>1613</v>
      </c>
      <c r="C770" s="9">
        <v>70</v>
      </c>
      <c r="D770" s="149" t="s">
        <v>1616</v>
      </c>
      <c r="E770" s="150">
        <v>45198</v>
      </c>
      <c r="F770" s="9">
        <v>29</v>
      </c>
      <c r="G770" s="9">
        <v>2.1</v>
      </c>
      <c r="H770" s="9">
        <f>IF(MONTH(Call_Table_Data[[#This Row],[Date of Call]])&lt;=6,YEAR(Call_Table_Data[[#This Row],[Date of Call]]),YEAR(Call_Table_Data[[#This Row],[Date of Call]])+1)</f>
        <v>2024</v>
      </c>
      <c r="I770" s="9" t="str">
        <f>TEXT(Call_Table_Data[[#This Row],[Date of Call]],"DDDD")</f>
        <v>Friday</v>
      </c>
      <c r="J770" s="9" t="str" cm="1">
        <f t="array" ref="J770">_xlfn.IFS(Call_Table_Data[[#This Row],[Duration]]&lt;=10,"Under 10 Mins",Call_Table_Data[[#This Row],[Duration]]&lt;=30,"10 to 30 Mins",Call_Table_Data[[#This Row],[Duration]]&lt;=60,"30 to 60 Mins",Call_Table_Data[[#This Row],[Duration]]&lt;=120,"1 to 2 Hours",TRUE,"More Than 2 Hours")</f>
        <v>1 to 2 Hours</v>
      </c>
      <c r="K770" s="9">
        <f>ROUND(Call_Table_Data[[#This Row],[Satisfaction Rating]],0)</f>
        <v>2</v>
      </c>
    </row>
    <row r="771" spans="1:11" x14ac:dyDescent="0.3">
      <c r="A771" s="9" t="s">
        <v>2397</v>
      </c>
      <c r="B771" s="9" t="s">
        <v>1641</v>
      </c>
      <c r="C771" s="9">
        <v>93</v>
      </c>
      <c r="D771" s="149" t="s">
        <v>1626</v>
      </c>
      <c r="E771" s="150">
        <v>45199</v>
      </c>
      <c r="F771" s="9">
        <v>170</v>
      </c>
      <c r="G771" s="9">
        <v>2.2000000000000002</v>
      </c>
      <c r="H771" s="9">
        <f>IF(MONTH(Call_Table_Data[[#This Row],[Date of Call]])&lt;=6,YEAR(Call_Table_Data[[#This Row],[Date of Call]]),YEAR(Call_Table_Data[[#This Row],[Date of Call]])+1)</f>
        <v>2024</v>
      </c>
      <c r="I771" s="9" t="str">
        <f>TEXT(Call_Table_Data[[#This Row],[Date of Call]],"DDDD")</f>
        <v>Saturday</v>
      </c>
      <c r="J771" s="9" t="str" cm="1">
        <f t="array" ref="J771">_xlfn.IFS(Call_Table_Data[[#This Row],[Duration]]&lt;=10,"Under 10 Mins",Call_Table_Data[[#This Row],[Duration]]&lt;=30,"10 to 30 Mins",Call_Table_Data[[#This Row],[Duration]]&lt;=60,"30 to 60 Mins",Call_Table_Data[[#This Row],[Duration]]&lt;=120,"1 to 2 Hours",TRUE,"More Than 2 Hours")</f>
        <v>1 to 2 Hours</v>
      </c>
      <c r="K771" s="9">
        <f>ROUND(Call_Table_Data[[#This Row],[Satisfaction Rating]],0)</f>
        <v>2</v>
      </c>
    </row>
    <row r="772" spans="1:11" x14ac:dyDescent="0.3">
      <c r="A772" s="9" t="s">
        <v>2398</v>
      </c>
      <c r="B772" s="9" t="s">
        <v>1613</v>
      </c>
      <c r="C772" s="9">
        <v>120</v>
      </c>
      <c r="D772" s="149" t="s">
        <v>1630</v>
      </c>
      <c r="E772" s="150">
        <v>45199</v>
      </c>
      <c r="F772" s="9">
        <v>68</v>
      </c>
      <c r="G772" s="9">
        <v>3.4</v>
      </c>
      <c r="H772" s="9">
        <f>IF(MONTH(Call_Table_Data[[#This Row],[Date of Call]])&lt;=6,YEAR(Call_Table_Data[[#This Row],[Date of Call]]),YEAR(Call_Table_Data[[#This Row],[Date of Call]])+1)</f>
        <v>2024</v>
      </c>
      <c r="I772" s="9" t="str">
        <f>TEXT(Call_Table_Data[[#This Row],[Date of Call]],"DDDD")</f>
        <v>Saturday</v>
      </c>
      <c r="J772" s="9" t="str" cm="1">
        <f t="array" ref="J772">_xlfn.IFS(Call_Table_Data[[#This Row],[Duration]]&lt;=10,"Under 10 Mins",Call_Table_Data[[#This Row],[Duration]]&lt;=30,"10 to 30 Mins",Call_Table_Data[[#This Row],[Duration]]&lt;=60,"30 to 60 Mins",Call_Table_Data[[#This Row],[Duration]]&lt;=120,"1 to 2 Hours",TRUE,"More Than 2 Hours")</f>
        <v>1 to 2 Hours</v>
      </c>
      <c r="K772" s="9">
        <f>ROUND(Call_Table_Data[[#This Row],[Satisfaction Rating]],0)</f>
        <v>3</v>
      </c>
    </row>
    <row r="773" spans="1:11" x14ac:dyDescent="0.3">
      <c r="A773" s="9" t="s">
        <v>2399</v>
      </c>
      <c r="B773" s="9" t="s">
        <v>1620</v>
      </c>
      <c r="C773" s="9">
        <v>96</v>
      </c>
      <c r="D773" s="149" t="s">
        <v>1611</v>
      </c>
      <c r="E773" s="150">
        <v>45199</v>
      </c>
      <c r="F773" s="9">
        <v>195</v>
      </c>
      <c r="G773" s="9">
        <v>2.7</v>
      </c>
      <c r="H773" s="9">
        <f>IF(MONTH(Call_Table_Data[[#This Row],[Date of Call]])&lt;=6,YEAR(Call_Table_Data[[#This Row],[Date of Call]]),YEAR(Call_Table_Data[[#This Row],[Date of Call]])+1)</f>
        <v>2024</v>
      </c>
      <c r="I773" s="9" t="str">
        <f>TEXT(Call_Table_Data[[#This Row],[Date of Call]],"DDDD")</f>
        <v>Saturday</v>
      </c>
      <c r="J773" s="9" t="str" cm="1">
        <f t="array" ref="J773">_xlfn.IFS(Call_Table_Data[[#This Row],[Duration]]&lt;=10,"Under 10 Mins",Call_Table_Data[[#This Row],[Duration]]&lt;=30,"10 to 30 Mins",Call_Table_Data[[#This Row],[Duration]]&lt;=60,"30 to 60 Mins",Call_Table_Data[[#This Row],[Duration]]&lt;=120,"1 to 2 Hours",TRUE,"More Than 2 Hours")</f>
        <v>1 to 2 Hours</v>
      </c>
      <c r="K773" s="9">
        <f>ROUND(Call_Table_Data[[#This Row],[Satisfaction Rating]],0)</f>
        <v>3</v>
      </c>
    </row>
    <row r="774" spans="1:11" x14ac:dyDescent="0.3">
      <c r="A774" s="9" t="s">
        <v>2400</v>
      </c>
      <c r="B774" s="9" t="s">
        <v>1618</v>
      </c>
      <c r="C774" s="9">
        <v>67</v>
      </c>
      <c r="D774" s="149" t="s">
        <v>1611</v>
      </c>
      <c r="E774" s="150">
        <v>45199</v>
      </c>
      <c r="F774" s="9">
        <v>96</v>
      </c>
      <c r="G774" s="9">
        <v>3.7</v>
      </c>
      <c r="H774" s="9">
        <f>IF(MONTH(Call_Table_Data[[#This Row],[Date of Call]])&lt;=6,YEAR(Call_Table_Data[[#This Row],[Date of Call]]),YEAR(Call_Table_Data[[#This Row],[Date of Call]])+1)</f>
        <v>2024</v>
      </c>
      <c r="I774" s="9" t="str">
        <f>TEXT(Call_Table_Data[[#This Row],[Date of Call]],"DDDD")</f>
        <v>Saturday</v>
      </c>
      <c r="J774" s="9" t="str" cm="1">
        <f t="array" ref="J774">_xlfn.IFS(Call_Table_Data[[#This Row],[Duration]]&lt;=10,"Under 10 Mins",Call_Table_Data[[#This Row],[Duration]]&lt;=30,"10 to 30 Mins",Call_Table_Data[[#This Row],[Duration]]&lt;=60,"30 to 60 Mins",Call_Table_Data[[#This Row],[Duration]]&lt;=120,"1 to 2 Hours",TRUE,"More Than 2 Hours")</f>
        <v>1 to 2 Hours</v>
      </c>
      <c r="K774" s="9">
        <f>ROUND(Call_Table_Data[[#This Row],[Satisfaction Rating]],0)</f>
        <v>4</v>
      </c>
    </row>
    <row r="775" spans="1:11" x14ac:dyDescent="0.3">
      <c r="A775" s="9" t="s">
        <v>2401</v>
      </c>
      <c r="B775" s="9" t="s">
        <v>1649</v>
      </c>
      <c r="C775" s="9">
        <v>119</v>
      </c>
      <c r="D775" s="149" t="s">
        <v>1611</v>
      </c>
      <c r="E775" s="150">
        <v>45199</v>
      </c>
      <c r="F775" s="9">
        <v>96</v>
      </c>
      <c r="G775" s="9">
        <v>3.1</v>
      </c>
      <c r="H775" s="9">
        <f>IF(MONTH(Call_Table_Data[[#This Row],[Date of Call]])&lt;=6,YEAR(Call_Table_Data[[#This Row],[Date of Call]]),YEAR(Call_Table_Data[[#This Row],[Date of Call]])+1)</f>
        <v>2024</v>
      </c>
      <c r="I775" s="9" t="str">
        <f>TEXT(Call_Table_Data[[#This Row],[Date of Call]],"DDDD")</f>
        <v>Saturday</v>
      </c>
      <c r="J775" s="9" t="str" cm="1">
        <f t="array" ref="J775">_xlfn.IFS(Call_Table_Data[[#This Row],[Duration]]&lt;=10,"Under 10 Mins",Call_Table_Data[[#This Row],[Duration]]&lt;=30,"10 to 30 Mins",Call_Table_Data[[#This Row],[Duration]]&lt;=60,"30 to 60 Mins",Call_Table_Data[[#This Row],[Duration]]&lt;=120,"1 to 2 Hours",TRUE,"More Than 2 Hours")</f>
        <v>1 to 2 Hours</v>
      </c>
      <c r="K775" s="9">
        <f>ROUND(Call_Table_Data[[#This Row],[Satisfaction Rating]],0)</f>
        <v>3</v>
      </c>
    </row>
    <row r="776" spans="1:11" x14ac:dyDescent="0.3">
      <c r="A776" s="9" t="s">
        <v>2402</v>
      </c>
      <c r="B776" s="9" t="s">
        <v>1682</v>
      </c>
      <c r="C776" s="9">
        <v>61</v>
      </c>
      <c r="D776" s="149" t="s">
        <v>1621</v>
      </c>
      <c r="E776" s="150">
        <v>45199</v>
      </c>
      <c r="F776" s="9">
        <v>117</v>
      </c>
      <c r="G776" s="9">
        <v>4.0999999999999996</v>
      </c>
      <c r="H776" s="9">
        <f>IF(MONTH(Call_Table_Data[[#This Row],[Date of Call]])&lt;=6,YEAR(Call_Table_Data[[#This Row],[Date of Call]]),YEAR(Call_Table_Data[[#This Row],[Date of Call]])+1)</f>
        <v>2024</v>
      </c>
      <c r="I776" s="9" t="str">
        <f>TEXT(Call_Table_Data[[#This Row],[Date of Call]],"DDDD")</f>
        <v>Saturday</v>
      </c>
      <c r="J776" s="9" t="str" cm="1">
        <f t="array" ref="J776">_xlfn.IFS(Call_Table_Data[[#This Row],[Duration]]&lt;=10,"Under 10 Mins",Call_Table_Data[[#This Row],[Duration]]&lt;=30,"10 to 30 Mins",Call_Table_Data[[#This Row],[Duration]]&lt;=60,"30 to 60 Mins",Call_Table_Data[[#This Row],[Duration]]&lt;=120,"1 to 2 Hours",TRUE,"More Than 2 Hours")</f>
        <v>1 to 2 Hours</v>
      </c>
      <c r="K776" s="9">
        <f>ROUND(Call_Table_Data[[#This Row],[Satisfaction Rating]],0)</f>
        <v>4</v>
      </c>
    </row>
    <row r="777" spans="1:11" x14ac:dyDescent="0.3">
      <c r="A777" s="9" t="s">
        <v>2403</v>
      </c>
      <c r="B777" s="9" t="s">
        <v>1620</v>
      </c>
      <c r="C777" s="9">
        <v>29</v>
      </c>
      <c r="D777" s="149" t="s">
        <v>1626</v>
      </c>
      <c r="E777" s="150">
        <v>45199</v>
      </c>
      <c r="F777" s="9">
        <v>80</v>
      </c>
      <c r="G777" s="9">
        <v>4.8</v>
      </c>
      <c r="H777" s="9">
        <f>IF(MONTH(Call_Table_Data[[#This Row],[Date of Call]])&lt;=6,YEAR(Call_Table_Data[[#This Row],[Date of Call]]),YEAR(Call_Table_Data[[#This Row],[Date of Call]])+1)</f>
        <v>2024</v>
      </c>
      <c r="I777" s="9" t="str">
        <f>TEXT(Call_Table_Data[[#This Row],[Date of Call]],"DDDD")</f>
        <v>Saturday</v>
      </c>
      <c r="J777" s="9" t="str" cm="1">
        <f t="array" ref="J777">_xlfn.IFS(Call_Table_Data[[#This Row],[Duration]]&lt;=10,"Under 10 Mins",Call_Table_Data[[#This Row],[Duration]]&lt;=30,"10 to 30 Mins",Call_Table_Data[[#This Row],[Duration]]&lt;=60,"30 to 60 Mins",Call_Table_Data[[#This Row],[Duration]]&lt;=120,"1 to 2 Hours",TRUE,"More Than 2 Hours")</f>
        <v>10 to 30 Mins</v>
      </c>
      <c r="K777" s="9">
        <f>ROUND(Call_Table_Data[[#This Row],[Satisfaction Rating]],0)</f>
        <v>5</v>
      </c>
    </row>
    <row r="778" spans="1:11" x14ac:dyDescent="0.3">
      <c r="A778" s="9" t="s">
        <v>2404</v>
      </c>
      <c r="B778" s="9" t="s">
        <v>1635</v>
      </c>
      <c r="C778" s="9">
        <v>134</v>
      </c>
      <c r="D778" s="149" t="s">
        <v>1630</v>
      </c>
      <c r="E778" s="150">
        <v>45199</v>
      </c>
      <c r="F778" s="9">
        <v>117</v>
      </c>
      <c r="G778" s="9">
        <v>4</v>
      </c>
      <c r="H778" s="9">
        <f>IF(MONTH(Call_Table_Data[[#This Row],[Date of Call]])&lt;=6,YEAR(Call_Table_Data[[#This Row],[Date of Call]]),YEAR(Call_Table_Data[[#This Row],[Date of Call]])+1)</f>
        <v>2024</v>
      </c>
      <c r="I778" s="9" t="str">
        <f>TEXT(Call_Table_Data[[#This Row],[Date of Call]],"DDDD")</f>
        <v>Saturday</v>
      </c>
      <c r="J778" s="9" t="str" cm="1">
        <f t="array" ref="J778">_xlfn.IFS(Call_Table_Data[[#This Row],[Duration]]&lt;=10,"Under 10 Mins",Call_Table_Data[[#This Row],[Duration]]&lt;=30,"10 to 30 Mins",Call_Table_Data[[#This Row],[Duration]]&lt;=60,"30 to 60 Mins",Call_Table_Data[[#This Row],[Duration]]&lt;=120,"1 to 2 Hours",TRUE,"More Than 2 Hours")</f>
        <v>More Than 2 Hours</v>
      </c>
      <c r="K778" s="9">
        <f>ROUND(Call_Table_Data[[#This Row],[Satisfaction Rating]],0)</f>
        <v>4</v>
      </c>
    </row>
    <row r="779" spans="1:11" x14ac:dyDescent="0.3">
      <c r="A779" s="9" t="s">
        <v>2405</v>
      </c>
      <c r="B779" s="9" t="s">
        <v>1644</v>
      </c>
      <c r="C779" s="9">
        <v>113</v>
      </c>
      <c r="D779" s="149" t="s">
        <v>1611</v>
      </c>
      <c r="E779" s="150">
        <v>45200</v>
      </c>
      <c r="F779" s="9">
        <v>40</v>
      </c>
      <c r="G779" s="9">
        <v>3</v>
      </c>
      <c r="H779" s="9">
        <f>IF(MONTH(Call_Table_Data[[#This Row],[Date of Call]])&lt;=6,YEAR(Call_Table_Data[[#This Row],[Date of Call]]),YEAR(Call_Table_Data[[#This Row],[Date of Call]])+1)</f>
        <v>2024</v>
      </c>
      <c r="I779" s="9" t="str">
        <f>TEXT(Call_Table_Data[[#This Row],[Date of Call]],"DDDD")</f>
        <v>Sunday</v>
      </c>
      <c r="J779" s="9" t="str" cm="1">
        <f t="array" ref="J779">_xlfn.IFS(Call_Table_Data[[#This Row],[Duration]]&lt;=10,"Under 10 Mins",Call_Table_Data[[#This Row],[Duration]]&lt;=30,"10 to 30 Mins",Call_Table_Data[[#This Row],[Duration]]&lt;=60,"30 to 60 Mins",Call_Table_Data[[#This Row],[Duration]]&lt;=120,"1 to 2 Hours",TRUE,"More Than 2 Hours")</f>
        <v>1 to 2 Hours</v>
      </c>
      <c r="K779" s="9">
        <f>ROUND(Call_Table_Data[[#This Row],[Satisfaction Rating]],0)</f>
        <v>3</v>
      </c>
    </row>
    <row r="780" spans="1:11" x14ac:dyDescent="0.3">
      <c r="A780" s="9" t="s">
        <v>2406</v>
      </c>
      <c r="B780" s="9" t="s">
        <v>1662</v>
      </c>
      <c r="C780" s="9">
        <v>12</v>
      </c>
      <c r="D780" s="149" t="s">
        <v>1630</v>
      </c>
      <c r="E780" s="150">
        <v>45200</v>
      </c>
      <c r="F780" s="9">
        <v>117</v>
      </c>
      <c r="G780" s="9">
        <v>4.8</v>
      </c>
      <c r="H780" s="9">
        <f>IF(MONTH(Call_Table_Data[[#This Row],[Date of Call]])&lt;=6,YEAR(Call_Table_Data[[#This Row],[Date of Call]]),YEAR(Call_Table_Data[[#This Row],[Date of Call]])+1)</f>
        <v>2024</v>
      </c>
      <c r="I780" s="9" t="str">
        <f>TEXT(Call_Table_Data[[#This Row],[Date of Call]],"DDDD")</f>
        <v>Sunday</v>
      </c>
      <c r="J780" s="9" t="str" cm="1">
        <f t="array" ref="J780">_xlfn.IFS(Call_Table_Data[[#This Row],[Duration]]&lt;=10,"Under 10 Mins",Call_Table_Data[[#This Row],[Duration]]&lt;=30,"10 to 30 Mins",Call_Table_Data[[#This Row],[Duration]]&lt;=60,"30 to 60 Mins",Call_Table_Data[[#This Row],[Duration]]&lt;=120,"1 to 2 Hours",TRUE,"More Than 2 Hours")</f>
        <v>10 to 30 Mins</v>
      </c>
      <c r="K780" s="9">
        <f>ROUND(Call_Table_Data[[#This Row],[Satisfaction Rating]],0)</f>
        <v>5</v>
      </c>
    </row>
    <row r="781" spans="1:11" x14ac:dyDescent="0.3">
      <c r="A781" s="9" t="s">
        <v>2407</v>
      </c>
      <c r="B781" s="9" t="s">
        <v>1633</v>
      </c>
      <c r="C781" s="9">
        <v>78</v>
      </c>
      <c r="D781" s="149" t="s">
        <v>1626</v>
      </c>
      <c r="E781" s="150">
        <v>45200</v>
      </c>
      <c r="F781" s="9">
        <v>135</v>
      </c>
      <c r="G781" s="9">
        <v>4.0999999999999996</v>
      </c>
      <c r="H781" s="9">
        <f>IF(MONTH(Call_Table_Data[[#This Row],[Date of Call]])&lt;=6,YEAR(Call_Table_Data[[#This Row],[Date of Call]]),YEAR(Call_Table_Data[[#This Row],[Date of Call]])+1)</f>
        <v>2024</v>
      </c>
      <c r="I781" s="9" t="str">
        <f>TEXT(Call_Table_Data[[#This Row],[Date of Call]],"DDDD")</f>
        <v>Sunday</v>
      </c>
      <c r="J781" s="9" t="str" cm="1">
        <f t="array" ref="J781">_xlfn.IFS(Call_Table_Data[[#This Row],[Duration]]&lt;=10,"Under 10 Mins",Call_Table_Data[[#This Row],[Duration]]&lt;=30,"10 to 30 Mins",Call_Table_Data[[#This Row],[Duration]]&lt;=60,"30 to 60 Mins",Call_Table_Data[[#This Row],[Duration]]&lt;=120,"1 to 2 Hours",TRUE,"More Than 2 Hours")</f>
        <v>1 to 2 Hours</v>
      </c>
      <c r="K781" s="9">
        <f>ROUND(Call_Table_Data[[#This Row],[Satisfaction Rating]],0)</f>
        <v>4</v>
      </c>
    </row>
    <row r="782" spans="1:11" x14ac:dyDescent="0.3">
      <c r="A782" s="9" t="s">
        <v>2408</v>
      </c>
      <c r="B782" s="9" t="s">
        <v>1649</v>
      </c>
      <c r="C782" s="9">
        <v>82</v>
      </c>
      <c r="D782" s="149" t="s">
        <v>1616</v>
      </c>
      <c r="E782" s="150">
        <v>45200</v>
      </c>
      <c r="F782" s="9">
        <v>99</v>
      </c>
      <c r="G782" s="9">
        <v>4.2</v>
      </c>
      <c r="H782" s="9">
        <f>IF(MONTH(Call_Table_Data[[#This Row],[Date of Call]])&lt;=6,YEAR(Call_Table_Data[[#This Row],[Date of Call]]),YEAR(Call_Table_Data[[#This Row],[Date of Call]])+1)</f>
        <v>2024</v>
      </c>
      <c r="I782" s="9" t="str">
        <f>TEXT(Call_Table_Data[[#This Row],[Date of Call]],"DDDD")</f>
        <v>Sunday</v>
      </c>
      <c r="J782" s="9" t="str" cm="1">
        <f t="array" ref="J782">_xlfn.IFS(Call_Table_Data[[#This Row],[Duration]]&lt;=10,"Under 10 Mins",Call_Table_Data[[#This Row],[Duration]]&lt;=30,"10 to 30 Mins",Call_Table_Data[[#This Row],[Duration]]&lt;=60,"30 to 60 Mins",Call_Table_Data[[#This Row],[Duration]]&lt;=120,"1 to 2 Hours",TRUE,"More Than 2 Hours")</f>
        <v>1 to 2 Hours</v>
      </c>
      <c r="K782" s="9">
        <f>ROUND(Call_Table_Data[[#This Row],[Satisfaction Rating]],0)</f>
        <v>4</v>
      </c>
    </row>
    <row r="783" spans="1:11" x14ac:dyDescent="0.3">
      <c r="A783" s="9" t="s">
        <v>2409</v>
      </c>
      <c r="B783" s="9" t="s">
        <v>1629</v>
      </c>
      <c r="C783" s="9">
        <v>149</v>
      </c>
      <c r="D783" s="149" t="s">
        <v>1621</v>
      </c>
      <c r="E783" s="150">
        <v>45200</v>
      </c>
      <c r="F783" s="9">
        <v>130</v>
      </c>
      <c r="G783" s="9">
        <v>3.3</v>
      </c>
      <c r="H783" s="9">
        <f>IF(MONTH(Call_Table_Data[[#This Row],[Date of Call]])&lt;=6,YEAR(Call_Table_Data[[#This Row],[Date of Call]]),YEAR(Call_Table_Data[[#This Row],[Date of Call]])+1)</f>
        <v>2024</v>
      </c>
      <c r="I783" s="9" t="str">
        <f>TEXT(Call_Table_Data[[#This Row],[Date of Call]],"DDDD")</f>
        <v>Sunday</v>
      </c>
      <c r="J783" s="9" t="str" cm="1">
        <f t="array" ref="J783">_xlfn.IFS(Call_Table_Data[[#This Row],[Duration]]&lt;=10,"Under 10 Mins",Call_Table_Data[[#This Row],[Duration]]&lt;=30,"10 to 30 Mins",Call_Table_Data[[#This Row],[Duration]]&lt;=60,"30 to 60 Mins",Call_Table_Data[[#This Row],[Duration]]&lt;=120,"1 to 2 Hours",TRUE,"More Than 2 Hours")</f>
        <v>More Than 2 Hours</v>
      </c>
      <c r="K783" s="9">
        <f>ROUND(Call_Table_Data[[#This Row],[Satisfaction Rating]],0)</f>
        <v>3</v>
      </c>
    </row>
    <row r="784" spans="1:11" x14ac:dyDescent="0.3">
      <c r="A784" s="9" t="s">
        <v>2410</v>
      </c>
      <c r="B784" s="9" t="s">
        <v>1624</v>
      </c>
      <c r="C784" s="9">
        <v>56</v>
      </c>
      <c r="D784" s="149" t="s">
        <v>1630</v>
      </c>
      <c r="E784" s="150">
        <v>45200</v>
      </c>
      <c r="F784" s="9">
        <v>96</v>
      </c>
      <c r="G784" s="9">
        <v>4.7</v>
      </c>
      <c r="H784" s="9">
        <f>IF(MONTH(Call_Table_Data[[#This Row],[Date of Call]])&lt;=6,YEAR(Call_Table_Data[[#This Row],[Date of Call]]),YEAR(Call_Table_Data[[#This Row],[Date of Call]])+1)</f>
        <v>2024</v>
      </c>
      <c r="I784" s="9" t="str">
        <f>TEXT(Call_Table_Data[[#This Row],[Date of Call]],"DDDD")</f>
        <v>Sunday</v>
      </c>
      <c r="J784" s="9" t="str" cm="1">
        <f t="array" ref="J784">_xlfn.IFS(Call_Table_Data[[#This Row],[Duration]]&lt;=10,"Under 10 Mins",Call_Table_Data[[#This Row],[Duration]]&lt;=30,"10 to 30 Mins",Call_Table_Data[[#This Row],[Duration]]&lt;=60,"30 to 60 Mins",Call_Table_Data[[#This Row],[Duration]]&lt;=120,"1 to 2 Hours",TRUE,"More Than 2 Hours")</f>
        <v>30 to 60 Mins</v>
      </c>
      <c r="K784" s="9">
        <f>ROUND(Call_Table_Data[[#This Row],[Satisfaction Rating]],0)</f>
        <v>5</v>
      </c>
    </row>
    <row r="785" spans="1:11" x14ac:dyDescent="0.3">
      <c r="A785" s="9" t="s">
        <v>2411</v>
      </c>
      <c r="B785" s="9" t="s">
        <v>1620</v>
      </c>
      <c r="C785" s="9">
        <v>80</v>
      </c>
      <c r="D785" s="149" t="s">
        <v>1621</v>
      </c>
      <c r="E785" s="150">
        <v>45200</v>
      </c>
      <c r="F785" s="9">
        <v>128</v>
      </c>
      <c r="G785" s="9">
        <v>3.7</v>
      </c>
      <c r="H785" s="9">
        <f>IF(MONTH(Call_Table_Data[[#This Row],[Date of Call]])&lt;=6,YEAR(Call_Table_Data[[#This Row],[Date of Call]]),YEAR(Call_Table_Data[[#This Row],[Date of Call]])+1)</f>
        <v>2024</v>
      </c>
      <c r="I785" s="9" t="str">
        <f>TEXT(Call_Table_Data[[#This Row],[Date of Call]],"DDDD")</f>
        <v>Sunday</v>
      </c>
      <c r="J785" s="9" t="str" cm="1">
        <f t="array" ref="J785">_xlfn.IFS(Call_Table_Data[[#This Row],[Duration]]&lt;=10,"Under 10 Mins",Call_Table_Data[[#This Row],[Duration]]&lt;=30,"10 to 30 Mins",Call_Table_Data[[#This Row],[Duration]]&lt;=60,"30 to 60 Mins",Call_Table_Data[[#This Row],[Duration]]&lt;=120,"1 to 2 Hours",TRUE,"More Than 2 Hours")</f>
        <v>1 to 2 Hours</v>
      </c>
      <c r="K785" s="9">
        <f>ROUND(Call_Table_Data[[#This Row],[Satisfaction Rating]],0)</f>
        <v>4</v>
      </c>
    </row>
    <row r="786" spans="1:11" x14ac:dyDescent="0.3">
      <c r="A786" s="9" t="s">
        <v>2412</v>
      </c>
      <c r="B786" s="9" t="s">
        <v>1682</v>
      </c>
      <c r="C786" s="9">
        <v>131</v>
      </c>
      <c r="D786" s="149" t="s">
        <v>1611</v>
      </c>
      <c r="E786" s="150">
        <v>45200</v>
      </c>
      <c r="F786" s="9">
        <v>69</v>
      </c>
      <c r="G786" s="9">
        <v>4.7</v>
      </c>
      <c r="H786" s="9">
        <f>IF(MONTH(Call_Table_Data[[#This Row],[Date of Call]])&lt;=6,YEAR(Call_Table_Data[[#This Row],[Date of Call]]),YEAR(Call_Table_Data[[#This Row],[Date of Call]])+1)</f>
        <v>2024</v>
      </c>
      <c r="I786" s="9" t="str">
        <f>TEXT(Call_Table_Data[[#This Row],[Date of Call]],"DDDD")</f>
        <v>Sunday</v>
      </c>
      <c r="J786" s="9" t="str" cm="1">
        <f t="array" ref="J786">_xlfn.IFS(Call_Table_Data[[#This Row],[Duration]]&lt;=10,"Under 10 Mins",Call_Table_Data[[#This Row],[Duration]]&lt;=30,"10 to 30 Mins",Call_Table_Data[[#This Row],[Duration]]&lt;=60,"30 to 60 Mins",Call_Table_Data[[#This Row],[Duration]]&lt;=120,"1 to 2 Hours",TRUE,"More Than 2 Hours")</f>
        <v>More Than 2 Hours</v>
      </c>
      <c r="K786" s="9">
        <f>ROUND(Call_Table_Data[[#This Row],[Satisfaction Rating]],0)</f>
        <v>5</v>
      </c>
    </row>
    <row r="787" spans="1:11" x14ac:dyDescent="0.3">
      <c r="A787" s="9" t="s">
        <v>2413</v>
      </c>
      <c r="B787" s="9" t="s">
        <v>1682</v>
      </c>
      <c r="C787" s="9">
        <v>109</v>
      </c>
      <c r="D787" s="149" t="s">
        <v>1611</v>
      </c>
      <c r="E787" s="150">
        <v>45200</v>
      </c>
      <c r="F787" s="9">
        <v>44</v>
      </c>
      <c r="G787" s="9">
        <v>4.5999999999999996</v>
      </c>
      <c r="H787" s="9">
        <f>IF(MONTH(Call_Table_Data[[#This Row],[Date of Call]])&lt;=6,YEAR(Call_Table_Data[[#This Row],[Date of Call]]),YEAR(Call_Table_Data[[#This Row],[Date of Call]])+1)</f>
        <v>2024</v>
      </c>
      <c r="I787" s="9" t="str">
        <f>TEXT(Call_Table_Data[[#This Row],[Date of Call]],"DDDD")</f>
        <v>Sunday</v>
      </c>
      <c r="J787" s="9" t="str" cm="1">
        <f t="array" ref="J787">_xlfn.IFS(Call_Table_Data[[#This Row],[Duration]]&lt;=10,"Under 10 Mins",Call_Table_Data[[#This Row],[Duration]]&lt;=30,"10 to 30 Mins",Call_Table_Data[[#This Row],[Duration]]&lt;=60,"30 to 60 Mins",Call_Table_Data[[#This Row],[Duration]]&lt;=120,"1 to 2 Hours",TRUE,"More Than 2 Hours")</f>
        <v>1 to 2 Hours</v>
      </c>
      <c r="K787" s="9">
        <f>ROUND(Call_Table_Data[[#This Row],[Satisfaction Rating]],0)</f>
        <v>5</v>
      </c>
    </row>
    <row r="788" spans="1:11" x14ac:dyDescent="0.3">
      <c r="A788" s="9" t="s">
        <v>2414</v>
      </c>
      <c r="B788" s="9" t="s">
        <v>1624</v>
      </c>
      <c r="C788" s="9">
        <v>142</v>
      </c>
      <c r="D788" s="149" t="s">
        <v>1611</v>
      </c>
      <c r="E788" s="150">
        <v>45200</v>
      </c>
      <c r="F788" s="9">
        <v>44</v>
      </c>
      <c r="G788" s="9">
        <v>4.8</v>
      </c>
      <c r="H788" s="9">
        <f>IF(MONTH(Call_Table_Data[[#This Row],[Date of Call]])&lt;=6,YEAR(Call_Table_Data[[#This Row],[Date of Call]]),YEAR(Call_Table_Data[[#This Row],[Date of Call]])+1)</f>
        <v>2024</v>
      </c>
      <c r="I788" s="9" t="str">
        <f>TEXT(Call_Table_Data[[#This Row],[Date of Call]],"DDDD")</f>
        <v>Sunday</v>
      </c>
      <c r="J788" s="9" t="str" cm="1">
        <f t="array" ref="J788">_xlfn.IFS(Call_Table_Data[[#This Row],[Duration]]&lt;=10,"Under 10 Mins",Call_Table_Data[[#This Row],[Duration]]&lt;=30,"10 to 30 Mins",Call_Table_Data[[#This Row],[Duration]]&lt;=60,"30 to 60 Mins",Call_Table_Data[[#This Row],[Duration]]&lt;=120,"1 to 2 Hours",TRUE,"More Than 2 Hours")</f>
        <v>More Than 2 Hours</v>
      </c>
      <c r="K788" s="9">
        <f>ROUND(Call_Table_Data[[#This Row],[Satisfaction Rating]],0)</f>
        <v>5</v>
      </c>
    </row>
    <row r="789" spans="1:11" x14ac:dyDescent="0.3">
      <c r="A789" s="9" t="s">
        <v>2415</v>
      </c>
      <c r="B789" s="9" t="s">
        <v>1641</v>
      </c>
      <c r="C789" s="9">
        <v>114</v>
      </c>
      <c r="D789" s="149" t="s">
        <v>1630</v>
      </c>
      <c r="E789" s="150">
        <v>45201</v>
      </c>
      <c r="F789" s="9">
        <v>135</v>
      </c>
      <c r="G789" s="9">
        <v>2</v>
      </c>
      <c r="H789" s="9">
        <f>IF(MONTH(Call_Table_Data[[#This Row],[Date of Call]])&lt;=6,YEAR(Call_Table_Data[[#This Row],[Date of Call]]),YEAR(Call_Table_Data[[#This Row],[Date of Call]])+1)</f>
        <v>2024</v>
      </c>
      <c r="I789" s="9" t="str">
        <f>TEXT(Call_Table_Data[[#This Row],[Date of Call]],"DDDD")</f>
        <v>Monday</v>
      </c>
      <c r="J789" s="9" t="str" cm="1">
        <f t="array" ref="J789">_xlfn.IFS(Call_Table_Data[[#This Row],[Duration]]&lt;=10,"Under 10 Mins",Call_Table_Data[[#This Row],[Duration]]&lt;=30,"10 to 30 Mins",Call_Table_Data[[#This Row],[Duration]]&lt;=60,"30 to 60 Mins",Call_Table_Data[[#This Row],[Duration]]&lt;=120,"1 to 2 Hours",TRUE,"More Than 2 Hours")</f>
        <v>1 to 2 Hours</v>
      </c>
      <c r="K789" s="9">
        <f>ROUND(Call_Table_Data[[#This Row],[Satisfaction Rating]],0)</f>
        <v>2</v>
      </c>
    </row>
    <row r="790" spans="1:11" x14ac:dyDescent="0.3">
      <c r="A790" s="9" t="s">
        <v>2416</v>
      </c>
      <c r="B790" s="9" t="s">
        <v>1618</v>
      </c>
      <c r="C790" s="9">
        <v>93</v>
      </c>
      <c r="D790" s="149" t="s">
        <v>1621</v>
      </c>
      <c r="E790" s="150">
        <v>45201</v>
      </c>
      <c r="F790" s="9">
        <v>45</v>
      </c>
      <c r="G790" s="9">
        <v>3.9</v>
      </c>
      <c r="H790" s="9">
        <f>IF(MONTH(Call_Table_Data[[#This Row],[Date of Call]])&lt;=6,YEAR(Call_Table_Data[[#This Row],[Date of Call]]),YEAR(Call_Table_Data[[#This Row],[Date of Call]])+1)</f>
        <v>2024</v>
      </c>
      <c r="I790" s="9" t="str">
        <f>TEXT(Call_Table_Data[[#This Row],[Date of Call]],"DDDD")</f>
        <v>Monday</v>
      </c>
      <c r="J790" s="9" t="str" cm="1">
        <f t="array" ref="J790">_xlfn.IFS(Call_Table_Data[[#This Row],[Duration]]&lt;=10,"Under 10 Mins",Call_Table_Data[[#This Row],[Duration]]&lt;=30,"10 to 30 Mins",Call_Table_Data[[#This Row],[Duration]]&lt;=60,"30 to 60 Mins",Call_Table_Data[[#This Row],[Duration]]&lt;=120,"1 to 2 Hours",TRUE,"More Than 2 Hours")</f>
        <v>1 to 2 Hours</v>
      </c>
      <c r="K790" s="9">
        <f>ROUND(Call_Table_Data[[#This Row],[Satisfaction Rating]],0)</f>
        <v>4</v>
      </c>
    </row>
    <row r="791" spans="1:11" x14ac:dyDescent="0.3">
      <c r="A791" s="9" t="s">
        <v>2417</v>
      </c>
      <c r="B791" s="9" t="s">
        <v>1662</v>
      </c>
      <c r="C791" s="9">
        <v>43</v>
      </c>
      <c r="D791" s="149" t="s">
        <v>1621</v>
      </c>
      <c r="E791" s="150">
        <v>45201</v>
      </c>
      <c r="F791" s="9">
        <v>87</v>
      </c>
      <c r="G791" s="9">
        <v>3</v>
      </c>
      <c r="H791" s="9">
        <f>IF(MONTH(Call_Table_Data[[#This Row],[Date of Call]])&lt;=6,YEAR(Call_Table_Data[[#This Row],[Date of Call]]),YEAR(Call_Table_Data[[#This Row],[Date of Call]])+1)</f>
        <v>2024</v>
      </c>
      <c r="I791" s="9" t="str">
        <f>TEXT(Call_Table_Data[[#This Row],[Date of Call]],"DDDD")</f>
        <v>Monday</v>
      </c>
      <c r="J791" s="9" t="str" cm="1">
        <f t="array" ref="J791">_xlfn.IFS(Call_Table_Data[[#This Row],[Duration]]&lt;=10,"Under 10 Mins",Call_Table_Data[[#This Row],[Duration]]&lt;=30,"10 to 30 Mins",Call_Table_Data[[#This Row],[Duration]]&lt;=60,"30 to 60 Mins",Call_Table_Data[[#This Row],[Duration]]&lt;=120,"1 to 2 Hours",TRUE,"More Than 2 Hours")</f>
        <v>30 to 60 Mins</v>
      </c>
      <c r="K791" s="9">
        <f>ROUND(Call_Table_Data[[#This Row],[Satisfaction Rating]],0)</f>
        <v>3</v>
      </c>
    </row>
    <row r="792" spans="1:11" x14ac:dyDescent="0.3">
      <c r="A792" s="9" t="s">
        <v>2418</v>
      </c>
      <c r="B792" s="9" t="s">
        <v>1635</v>
      </c>
      <c r="C792" s="9">
        <v>78</v>
      </c>
      <c r="D792" s="149" t="s">
        <v>1626</v>
      </c>
      <c r="E792" s="150">
        <v>45202</v>
      </c>
      <c r="F792" s="9">
        <v>84</v>
      </c>
      <c r="G792" s="9">
        <v>4.5999999999999996</v>
      </c>
      <c r="H792" s="9">
        <f>IF(MONTH(Call_Table_Data[[#This Row],[Date of Call]])&lt;=6,YEAR(Call_Table_Data[[#This Row],[Date of Call]]),YEAR(Call_Table_Data[[#This Row],[Date of Call]])+1)</f>
        <v>2024</v>
      </c>
      <c r="I792" s="9" t="str">
        <f>TEXT(Call_Table_Data[[#This Row],[Date of Call]],"DDDD")</f>
        <v>Tuesday</v>
      </c>
      <c r="J792" s="9" t="str" cm="1">
        <f t="array" ref="J792">_xlfn.IFS(Call_Table_Data[[#This Row],[Duration]]&lt;=10,"Under 10 Mins",Call_Table_Data[[#This Row],[Duration]]&lt;=30,"10 to 30 Mins",Call_Table_Data[[#This Row],[Duration]]&lt;=60,"30 to 60 Mins",Call_Table_Data[[#This Row],[Duration]]&lt;=120,"1 to 2 Hours",TRUE,"More Than 2 Hours")</f>
        <v>1 to 2 Hours</v>
      </c>
      <c r="K792" s="9">
        <f>ROUND(Call_Table_Data[[#This Row],[Satisfaction Rating]],0)</f>
        <v>5</v>
      </c>
    </row>
    <row r="793" spans="1:11" x14ac:dyDescent="0.3">
      <c r="A793" s="9" t="s">
        <v>2419</v>
      </c>
      <c r="B793" s="9" t="s">
        <v>1641</v>
      </c>
      <c r="C793" s="9">
        <v>89</v>
      </c>
      <c r="D793" s="149" t="s">
        <v>1611</v>
      </c>
      <c r="E793" s="150">
        <v>45202</v>
      </c>
      <c r="F793" s="9">
        <v>81</v>
      </c>
      <c r="G793" s="9">
        <v>3.8</v>
      </c>
      <c r="H793" s="9">
        <f>IF(MONTH(Call_Table_Data[[#This Row],[Date of Call]])&lt;=6,YEAR(Call_Table_Data[[#This Row],[Date of Call]]),YEAR(Call_Table_Data[[#This Row],[Date of Call]])+1)</f>
        <v>2024</v>
      </c>
      <c r="I793" s="9" t="str">
        <f>TEXT(Call_Table_Data[[#This Row],[Date of Call]],"DDDD")</f>
        <v>Tuesday</v>
      </c>
      <c r="J793" s="9" t="str" cm="1">
        <f t="array" ref="J793">_xlfn.IFS(Call_Table_Data[[#This Row],[Duration]]&lt;=10,"Under 10 Mins",Call_Table_Data[[#This Row],[Duration]]&lt;=30,"10 to 30 Mins",Call_Table_Data[[#This Row],[Duration]]&lt;=60,"30 to 60 Mins",Call_Table_Data[[#This Row],[Duration]]&lt;=120,"1 to 2 Hours",TRUE,"More Than 2 Hours")</f>
        <v>1 to 2 Hours</v>
      </c>
      <c r="K793" s="9">
        <f>ROUND(Call_Table_Data[[#This Row],[Satisfaction Rating]],0)</f>
        <v>4</v>
      </c>
    </row>
    <row r="794" spans="1:11" x14ac:dyDescent="0.3">
      <c r="A794" s="9" t="s">
        <v>2420</v>
      </c>
      <c r="B794" s="9" t="s">
        <v>1624</v>
      </c>
      <c r="C794" s="9">
        <v>82</v>
      </c>
      <c r="D794" s="149" t="s">
        <v>1616</v>
      </c>
      <c r="E794" s="150">
        <v>45202</v>
      </c>
      <c r="F794" s="9">
        <v>130</v>
      </c>
      <c r="G794" s="9">
        <v>4.4000000000000004</v>
      </c>
      <c r="H794" s="9">
        <f>IF(MONTH(Call_Table_Data[[#This Row],[Date of Call]])&lt;=6,YEAR(Call_Table_Data[[#This Row],[Date of Call]]),YEAR(Call_Table_Data[[#This Row],[Date of Call]])+1)</f>
        <v>2024</v>
      </c>
      <c r="I794" s="9" t="str">
        <f>TEXT(Call_Table_Data[[#This Row],[Date of Call]],"DDDD")</f>
        <v>Tuesday</v>
      </c>
      <c r="J794" s="9" t="str" cm="1">
        <f t="array" ref="J794">_xlfn.IFS(Call_Table_Data[[#This Row],[Duration]]&lt;=10,"Under 10 Mins",Call_Table_Data[[#This Row],[Duration]]&lt;=30,"10 to 30 Mins",Call_Table_Data[[#This Row],[Duration]]&lt;=60,"30 to 60 Mins",Call_Table_Data[[#This Row],[Duration]]&lt;=120,"1 to 2 Hours",TRUE,"More Than 2 Hours")</f>
        <v>1 to 2 Hours</v>
      </c>
      <c r="K794" s="9">
        <f>ROUND(Call_Table_Data[[#This Row],[Satisfaction Rating]],0)</f>
        <v>4</v>
      </c>
    </row>
    <row r="795" spans="1:11" x14ac:dyDescent="0.3">
      <c r="A795" s="9" t="s">
        <v>2421</v>
      </c>
      <c r="B795" s="9" t="s">
        <v>1620</v>
      </c>
      <c r="C795" s="9">
        <v>86</v>
      </c>
      <c r="D795" s="149" t="s">
        <v>1611</v>
      </c>
      <c r="E795" s="150">
        <v>45203</v>
      </c>
      <c r="F795" s="9">
        <v>92</v>
      </c>
      <c r="G795" s="9">
        <v>2.4</v>
      </c>
      <c r="H795" s="9">
        <f>IF(MONTH(Call_Table_Data[[#This Row],[Date of Call]])&lt;=6,YEAR(Call_Table_Data[[#This Row],[Date of Call]]),YEAR(Call_Table_Data[[#This Row],[Date of Call]])+1)</f>
        <v>2024</v>
      </c>
      <c r="I795" s="9" t="str">
        <f>TEXT(Call_Table_Data[[#This Row],[Date of Call]],"DDDD")</f>
        <v>Wednesday</v>
      </c>
      <c r="J795" s="9" t="str" cm="1">
        <f t="array" ref="J795">_xlfn.IFS(Call_Table_Data[[#This Row],[Duration]]&lt;=10,"Under 10 Mins",Call_Table_Data[[#This Row],[Duration]]&lt;=30,"10 to 30 Mins",Call_Table_Data[[#This Row],[Duration]]&lt;=60,"30 to 60 Mins",Call_Table_Data[[#This Row],[Duration]]&lt;=120,"1 to 2 Hours",TRUE,"More Than 2 Hours")</f>
        <v>1 to 2 Hours</v>
      </c>
      <c r="K795" s="9">
        <f>ROUND(Call_Table_Data[[#This Row],[Satisfaction Rating]],0)</f>
        <v>2</v>
      </c>
    </row>
    <row r="796" spans="1:11" x14ac:dyDescent="0.3">
      <c r="A796" s="9" t="s">
        <v>2422</v>
      </c>
      <c r="B796" s="9" t="s">
        <v>1652</v>
      </c>
      <c r="C796" s="9">
        <v>57</v>
      </c>
      <c r="D796" s="149" t="s">
        <v>1626</v>
      </c>
      <c r="E796" s="150">
        <v>45203</v>
      </c>
      <c r="F796" s="9">
        <v>48</v>
      </c>
      <c r="G796" s="9">
        <v>4.5</v>
      </c>
      <c r="H796" s="9">
        <f>IF(MONTH(Call_Table_Data[[#This Row],[Date of Call]])&lt;=6,YEAR(Call_Table_Data[[#This Row],[Date of Call]]),YEAR(Call_Table_Data[[#This Row],[Date of Call]])+1)</f>
        <v>2024</v>
      </c>
      <c r="I796" s="9" t="str">
        <f>TEXT(Call_Table_Data[[#This Row],[Date of Call]],"DDDD")</f>
        <v>Wednesday</v>
      </c>
      <c r="J796" s="9" t="str" cm="1">
        <f t="array" ref="J796">_xlfn.IFS(Call_Table_Data[[#This Row],[Duration]]&lt;=10,"Under 10 Mins",Call_Table_Data[[#This Row],[Duration]]&lt;=30,"10 to 30 Mins",Call_Table_Data[[#This Row],[Duration]]&lt;=60,"30 to 60 Mins",Call_Table_Data[[#This Row],[Duration]]&lt;=120,"1 to 2 Hours",TRUE,"More Than 2 Hours")</f>
        <v>30 to 60 Mins</v>
      </c>
      <c r="K796" s="9">
        <f>ROUND(Call_Table_Data[[#This Row],[Satisfaction Rating]],0)</f>
        <v>5</v>
      </c>
    </row>
    <row r="797" spans="1:11" x14ac:dyDescent="0.3">
      <c r="A797" s="9" t="s">
        <v>2423</v>
      </c>
      <c r="B797" s="9" t="s">
        <v>1618</v>
      </c>
      <c r="C797" s="9">
        <v>103</v>
      </c>
      <c r="D797" s="149" t="s">
        <v>1630</v>
      </c>
      <c r="E797" s="150">
        <v>45203</v>
      </c>
      <c r="F797" s="9">
        <v>160</v>
      </c>
      <c r="G797" s="9">
        <v>4.5</v>
      </c>
      <c r="H797" s="9">
        <f>IF(MONTH(Call_Table_Data[[#This Row],[Date of Call]])&lt;=6,YEAR(Call_Table_Data[[#This Row],[Date of Call]]),YEAR(Call_Table_Data[[#This Row],[Date of Call]])+1)</f>
        <v>2024</v>
      </c>
      <c r="I797" s="9" t="str">
        <f>TEXT(Call_Table_Data[[#This Row],[Date of Call]],"DDDD")</f>
        <v>Wednesday</v>
      </c>
      <c r="J797" s="9" t="str" cm="1">
        <f t="array" ref="J797">_xlfn.IFS(Call_Table_Data[[#This Row],[Duration]]&lt;=10,"Under 10 Mins",Call_Table_Data[[#This Row],[Duration]]&lt;=30,"10 to 30 Mins",Call_Table_Data[[#This Row],[Duration]]&lt;=60,"30 to 60 Mins",Call_Table_Data[[#This Row],[Duration]]&lt;=120,"1 to 2 Hours",TRUE,"More Than 2 Hours")</f>
        <v>1 to 2 Hours</v>
      </c>
      <c r="K797" s="9">
        <f>ROUND(Call_Table_Data[[#This Row],[Satisfaction Rating]],0)</f>
        <v>5</v>
      </c>
    </row>
    <row r="798" spans="1:11" x14ac:dyDescent="0.3">
      <c r="A798" s="9" t="s">
        <v>2424</v>
      </c>
      <c r="B798" s="9" t="s">
        <v>1633</v>
      </c>
      <c r="C798" s="9">
        <v>138</v>
      </c>
      <c r="D798" s="149" t="s">
        <v>1626</v>
      </c>
      <c r="E798" s="150">
        <v>45204</v>
      </c>
      <c r="F798" s="9">
        <v>155</v>
      </c>
      <c r="G798" s="9">
        <v>2.7</v>
      </c>
      <c r="H798" s="9">
        <f>IF(MONTH(Call_Table_Data[[#This Row],[Date of Call]])&lt;=6,YEAR(Call_Table_Data[[#This Row],[Date of Call]]),YEAR(Call_Table_Data[[#This Row],[Date of Call]])+1)</f>
        <v>2024</v>
      </c>
      <c r="I798" s="9" t="str">
        <f>TEXT(Call_Table_Data[[#This Row],[Date of Call]],"DDDD")</f>
        <v>Thursday</v>
      </c>
      <c r="J798" s="9" t="str" cm="1">
        <f t="array" ref="J798">_xlfn.IFS(Call_Table_Data[[#This Row],[Duration]]&lt;=10,"Under 10 Mins",Call_Table_Data[[#This Row],[Duration]]&lt;=30,"10 to 30 Mins",Call_Table_Data[[#This Row],[Duration]]&lt;=60,"30 to 60 Mins",Call_Table_Data[[#This Row],[Duration]]&lt;=120,"1 to 2 Hours",TRUE,"More Than 2 Hours")</f>
        <v>More Than 2 Hours</v>
      </c>
      <c r="K798" s="9">
        <f>ROUND(Call_Table_Data[[#This Row],[Satisfaction Rating]],0)</f>
        <v>3</v>
      </c>
    </row>
    <row r="799" spans="1:11" x14ac:dyDescent="0.3">
      <c r="A799" s="9" t="s">
        <v>2425</v>
      </c>
      <c r="B799" s="9" t="s">
        <v>1629</v>
      </c>
      <c r="C799" s="9">
        <v>88</v>
      </c>
      <c r="D799" s="149" t="s">
        <v>1616</v>
      </c>
      <c r="E799" s="150">
        <v>45204</v>
      </c>
      <c r="F799" s="9">
        <v>100</v>
      </c>
      <c r="G799" s="9">
        <v>4.9000000000000004</v>
      </c>
      <c r="H799" s="9">
        <f>IF(MONTH(Call_Table_Data[[#This Row],[Date of Call]])&lt;=6,YEAR(Call_Table_Data[[#This Row],[Date of Call]]),YEAR(Call_Table_Data[[#This Row],[Date of Call]])+1)</f>
        <v>2024</v>
      </c>
      <c r="I799" s="9" t="str">
        <f>TEXT(Call_Table_Data[[#This Row],[Date of Call]],"DDDD")</f>
        <v>Thursday</v>
      </c>
      <c r="J799" s="9" t="str" cm="1">
        <f t="array" ref="J799">_xlfn.IFS(Call_Table_Data[[#This Row],[Duration]]&lt;=10,"Under 10 Mins",Call_Table_Data[[#This Row],[Duration]]&lt;=30,"10 to 30 Mins",Call_Table_Data[[#This Row],[Duration]]&lt;=60,"30 to 60 Mins",Call_Table_Data[[#This Row],[Duration]]&lt;=120,"1 to 2 Hours",TRUE,"More Than 2 Hours")</f>
        <v>1 to 2 Hours</v>
      </c>
      <c r="K799" s="9">
        <f>ROUND(Call_Table_Data[[#This Row],[Satisfaction Rating]],0)</f>
        <v>5</v>
      </c>
    </row>
    <row r="800" spans="1:11" x14ac:dyDescent="0.3">
      <c r="A800" s="9" t="s">
        <v>2426</v>
      </c>
      <c r="B800" s="9" t="s">
        <v>1641</v>
      </c>
      <c r="C800" s="9">
        <v>118</v>
      </c>
      <c r="D800" s="149" t="s">
        <v>1621</v>
      </c>
      <c r="E800" s="150">
        <v>45204</v>
      </c>
      <c r="F800" s="9">
        <v>56</v>
      </c>
      <c r="G800" s="9">
        <v>3.7</v>
      </c>
      <c r="H800" s="9">
        <f>IF(MONTH(Call_Table_Data[[#This Row],[Date of Call]])&lt;=6,YEAR(Call_Table_Data[[#This Row],[Date of Call]]),YEAR(Call_Table_Data[[#This Row],[Date of Call]])+1)</f>
        <v>2024</v>
      </c>
      <c r="I800" s="9" t="str">
        <f>TEXT(Call_Table_Data[[#This Row],[Date of Call]],"DDDD")</f>
        <v>Thursday</v>
      </c>
      <c r="J800" s="9" t="str" cm="1">
        <f t="array" ref="J800">_xlfn.IFS(Call_Table_Data[[#This Row],[Duration]]&lt;=10,"Under 10 Mins",Call_Table_Data[[#This Row],[Duration]]&lt;=30,"10 to 30 Mins",Call_Table_Data[[#This Row],[Duration]]&lt;=60,"30 to 60 Mins",Call_Table_Data[[#This Row],[Duration]]&lt;=120,"1 to 2 Hours",TRUE,"More Than 2 Hours")</f>
        <v>1 to 2 Hours</v>
      </c>
      <c r="K800" s="9">
        <f>ROUND(Call_Table_Data[[#This Row],[Satisfaction Rating]],0)</f>
        <v>4</v>
      </c>
    </row>
    <row r="801" spans="1:11" x14ac:dyDescent="0.3">
      <c r="A801" s="9" t="s">
        <v>2427</v>
      </c>
      <c r="B801" s="9" t="s">
        <v>1620</v>
      </c>
      <c r="C801" s="9">
        <v>4</v>
      </c>
      <c r="D801" s="149" t="s">
        <v>1611</v>
      </c>
      <c r="E801" s="150">
        <v>45204</v>
      </c>
      <c r="F801" s="9">
        <v>170</v>
      </c>
      <c r="G801" s="9">
        <v>3.9</v>
      </c>
      <c r="H801" s="9">
        <f>IF(MONTH(Call_Table_Data[[#This Row],[Date of Call]])&lt;=6,YEAR(Call_Table_Data[[#This Row],[Date of Call]]),YEAR(Call_Table_Data[[#This Row],[Date of Call]])+1)</f>
        <v>2024</v>
      </c>
      <c r="I801" s="9" t="str">
        <f>TEXT(Call_Table_Data[[#This Row],[Date of Call]],"DDDD")</f>
        <v>Thursday</v>
      </c>
      <c r="J801" s="9" t="str" cm="1">
        <f t="array" ref="J801">_xlfn.IFS(Call_Table_Data[[#This Row],[Duration]]&lt;=10,"Under 10 Mins",Call_Table_Data[[#This Row],[Duration]]&lt;=30,"10 to 30 Mins",Call_Table_Data[[#This Row],[Duration]]&lt;=60,"30 to 60 Mins",Call_Table_Data[[#This Row],[Duration]]&lt;=120,"1 to 2 Hours",TRUE,"More Than 2 Hours")</f>
        <v>Under 10 Mins</v>
      </c>
      <c r="K801" s="9">
        <f>ROUND(Call_Table_Data[[#This Row],[Satisfaction Rating]],0)</f>
        <v>4</v>
      </c>
    </row>
    <row r="802" spans="1:11" x14ac:dyDescent="0.3">
      <c r="A802" s="9" t="s">
        <v>2428</v>
      </c>
      <c r="B802" s="9" t="s">
        <v>1662</v>
      </c>
      <c r="C802" s="9">
        <v>78</v>
      </c>
      <c r="D802" s="149" t="s">
        <v>1630</v>
      </c>
      <c r="E802" s="150">
        <v>45205</v>
      </c>
      <c r="F802" s="9">
        <v>74</v>
      </c>
      <c r="G802" s="9">
        <v>3.5</v>
      </c>
      <c r="H802" s="9">
        <f>IF(MONTH(Call_Table_Data[[#This Row],[Date of Call]])&lt;=6,YEAR(Call_Table_Data[[#This Row],[Date of Call]]),YEAR(Call_Table_Data[[#This Row],[Date of Call]])+1)</f>
        <v>2024</v>
      </c>
      <c r="I802" s="9" t="str">
        <f>TEXT(Call_Table_Data[[#This Row],[Date of Call]],"DDDD")</f>
        <v>Friday</v>
      </c>
      <c r="J802" s="9" t="str" cm="1">
        <f t="array" ref="J802">_xlfn.IFS(Call_Table_Data[[#This Row],[Duration]]&lt;=10,"Under 10 Mins",Call_Table_Data[[#This Row],[Duration]]&lt;=30,"10 to 30 Mins",Call_Table_Data[[#This Row],[Duration]]&lt;=60,"30 to 60 Mins",Call_Table_Data[[#This Row],[Duration]]&lt;=120,"1 to 2 Hours",TRUE,"More Than 2 Hours")</f>
        <v>1 to 2 Hours</v>
      </c>
      <c r="K802" s="9">
        <f>ROUND(Call_Table_Data[[#This Row],[Satisfaction Rating]],0)</f>
        <v>4</v>
      </c>
    </row>
    <row r="803" spans="1:11" x14ac:dyDescent="0.3">
      <c r="A803" s="9" t="s">
        <v>2429</v>
      </c>
      <c r="B803" s="9" t="s">
        <v>1644</v>
      </c>
      <c r="C803" s="9">
        <v>69</v>
      </c>
      <c r="D803" s="149" t="s">
        <v>1611</v>
      </c>
      <c r="E803" s="150">
        <v>45205</v>
      </c>
      <c r="F803" s="9">
        <v>99</v>
      </c>
      <c r="G803" s="9">
        <v>2.7</v>
      </c>
      <c r="H803" s="9">
        <f>IF(MONTH(Call_Table_Data[[#This Row],[Date of Call]])&lt;=6,YEAR(Call_Table_Data[[#This Row],[Date of Call]]),YEAR(Call_Table_Data[[#This Row],[Date of Call]])+1)</f>
        <v>2024</v>
      </c>
      <c r="I803" s="9" t="str">
        <f>TEXT(Call_Table_Data[[#This Row],[Date of Call]],"DDDD")</f>
        <v>Friday</v>
      </c>
      <c r="J803" s="9" t="str" cm="1">
        <f t="array" ref="J803">_xlfn.IFS(Call_Table_Data[[#This Row],[Duration]]&lt;=10,"Under 10 Mins",Call_Table_Data[[#This Row],[Duration]]&lt;=30,"10 to 30 Mins",Call_Table_Data[[#This Row],[Duration]]&lt;=60,"30 to 60 Mins",Call_Table_Data[[#This Row],[Duration]]&lt;=120,"1 to 2 Hours",TRUE,"More Than 2 Hours")</f>
        <v>1 to 2 Hours</v>
      </c>
      <c r="K803" s="9">
        <f>ROUND(Call_Table_Data[[#This Row],[Satisfaction Rating]],0)</f>
        <v>3</v>
      </c>
    </row>
    <row r="804" spans="1:11" x14ac:dyDescent="0.3">
      <c r="A804" s="9" t="s">
        <v>2430</v>
      </c>
      <c r="B804" s="9" t="s">
        <v>1624</v>
      </c>
      <c r="C804" s="9">
        <v>90</v>
      </c>
      <c r="D804" s="149" t="s">
        <v>1626</v>
      </c>
      <c r="E804" s="150">
        <v>45205</v>
      </c>
      <c r="F804" s="9">
        <v>84</v>
      </c>
      <c r="G804" s="9">
        <v>3.9</v>
      </c>
      <c r="H804" s="9">
        <f>IF(MONTH(Call_Table_Data[[#This Row],[Date of Call]])&lt;=6,YEAR(Call_Table_Data[[#This Row],[Date of Call]]),YEAR(Call_Table_Data[[#This Row],[Date of Call]])+1)</f>
        <v>2024</v>
      </c>
      <c r="I804" s="9" t="str">
        <f>TEXT(Call_Table_Data[[#This Row],[Date of Call]],"DDDD")</f>
        <v>Friday</v>
      </c>
      <c r="J804" s="9" t="str" cm="1">
        <f t="array" ref="J804">_xlfn.IFS(Call_Table_Data[[#This Row],[Duration]]&lt;=10,"Under 10 Mins",Call_Table_Data[[#This Row],[Duration]]&lt;=30,"10 to 30 Mins",Call_Table_Data[[#This Row],[Duration]]&lt;=60,"30 to 60 Mins",Call_Table_Data[[#This Row],[Duration]]&lt;=120,"1 to 2 Hours",TRUE,"More Than 2 Hours")</f>
        <v>1 to 2 Hours</v>
      </c>
      <c r="K804" s="9">
        <f>ROUND(Call_Table_Data[[#This Row],[Satisfaction Rating]],0)</f>
        <v>4</v>
      </c>
    </row>
    <row r="805" spans="1:11" x14ac:dyDescent="0.3">
      <c r="A805" s="9" t="s">
        <v>2431</v>
      </c>
      <c r="B805" s="9" t="s">
        <v>1644</v>
      </c>
      <c r="C805" s="9">
        <v>134</v>
      </c>
      <c r="D805" s="149" t="s">
        <v>1611</v>
      </c>
      <c r="E805" s="150">
        <v>45205</v>
      </c>
      <c r="F805" s="9">
        <v>35</v>
      </c>
      <c r="G805" s="9">
        <v>3.4</v>
      </c>
      <c r="H805" s="9">
        <f>IF(MONTH(Call_Table_Data[[#This Row],[Date of Call]])&lt;=6,YEAR(Call_Table_Data[[#This Row],[Date of Call]]),YEAR(Call_Table_Data[[#This Row],[Date of Call]])+1)</f>
        <v>2024</v>
      </c>
      <c r="I805" s="9" t="str">
        <f>TEXT(Call_Table_Data[[#This Row],[Date of Call]],"DDDD")</f>
        <v>Friday</v>
      </c>
      <c r="J805" s="9" t="str" cm="1">
        <f t="array" ref="J805">_xlfn.IFS(Call_Table_Data[[#This Row],[Duration]]&lt;=10,"Under 10 Mins",Call_Table_Data[[#This Row],[Duration]]&lt;=30,"10 to 30 Mins",Call_Table_Data[[#This Row],[Duration]]&lt;=60,"30 to 60 Mins",Call_Table_Data[[#This Row],[Duration]]&lt;=120,"1 to 2 Hours",TRUE,"More Than 2 Hours")</f>
        <v>More Than 2 Hours</v>
      </c>
      <c r="K805" s="9">
        <f>ROUND(Call_Table_Data[[#This Row],[Satisfaction Rating]],0)</f>
        <v>3</v>
      </c>
    </row>
    <row r="806" spans="1:11" x14ac:dyDescent="0.3">
      <c r="A806" s="9" t="s">
        <v>2432</v>
      </c>
      <c r="B806" s="9" t="s">
        <v>1613</v>
      </c>
      <c r="C806" s="9">
        <v>65</v>
      </c>
      <c r="D806" s="149" t="s">
        <v>1621</v>
      </c>
      <c r="E806" s="150">
        <v>45205</v>
      </c>
      <c r="F806" s="9">
        <v>150</v>
      </c>
      <c r="G806" s="9">
        <v>5</v>
      </c>
      <c r="H806" s="9">
        <f>IF(MONTH(Call_Table_Data[[#This Row],[Date of Call]])&lt;=6,YEAR(Call_Table_Data[[#This Row],[Date of Call]]),YEAR(Call_Table_Data[[#This Row],[Date of Call]])+1)</f>
        <v>2024</v>
      </c>
      <c r="I806" s="9" t="str">
        <f>TEXT(Call_Table_Data[[#This Row],[Date of Call]],"DDDD")</f>
        <v>Friday</v>
      </c>
      <c r="J806" s="9" t="str" cm="1">
        <f t="array" ref="J806">_xlfn.IFS(Call_Table_Data[[#This Row],[Duration]]&lt;=10,"Under 10 Mins",Call_Table_Data[[#This Row],[Duration]]&lt;=30,"10 to 30 Mins",Call_Table_Data[[#This Row],[Duration]]&lt;=60,"30 to 60 Mins",Call_Table_Data[[#This Row],[Duration]]&lt;=120,"1 to 2 Hours",TRUE,"More Than 2 Hours")</f>
        <v>1 to 2 Hours</v>
      </c>
      <c r="K806" s="9">
        <f>ROUND(Call_Table_Data[[#This Row],[Satisfaction Rating]],0)</f>
        <v>5</v>
      </c>
    </row>
    <row r="807" spans="1:11" x14ac:dyDescent="0.3">
      <c r="A807" s="9" t="s">
        <v>2433</v>
      </c>
      <c r="B807" s="9" t="s">
        <v>1615</v>
      </c>
      <c r="C807" s="9">
        <v>54</v>
      </c>
      <c r="D807" s="149" t="s">
        <v>1630</v>
      </c>
      <c r="E807" s="150">
        <v>45206</v>
      </c>
      <c r="F807" s="9">
        <v>176</v>
      </c>
      <c r="G807" s="9">
        <v>4.4000000000000004</v>
      </c>
      <c r="H807" s="9">
        <f>IF(MONTH(Call_Table_Data[[#This Row],[Date of Call]])&lt;=6,YEAR(Call_Table_Data[[#This Row],[Date of Call]]),YEAR(Call_Table_Data[[#This Row],[Date of Call]])+1)</f>
        <v>2024</v>
      </c>
      <c r="I807" s="9" t="str">
        <f>TEXT(Call_Table_Data[[#This Row],[Date of Call]],"DDDD")</f>
        <v>Saturday</v>
      </c>
      <c r="J807" s="9" t="str" cm="1">
        <f t="array" ref="J807">_xlfn.IFS(Call_Table_Data[[#This Row],[Duration]]&lt;=10,"Under 10 Mins",Call_Table_Data[[#This Row],[Duration]]&lt;=30,"10 to 30 Mins",Call_Table_Data[[#This Row],[Duration]]&lt;=60,"30 to 60 Mins",Call_Table_Data[[#This Row],[Duration]]&lt;=120,"1 to 2 Hours",TRUE,"More Than 2 Hours")</f>
        <v>30 to 60 Mins</v>
      </c>
      <c r="K807" s="9">
        <f>ROUND(Call_Table_Data[[#This Row],[Satisfaction Rating]],0)</f>
        <v>4</v>
      </c>
    </row>
    <row r="808" spans="1:11" x14ac:dyDescent="0.3">
      <c r="A808" s="9" t="s">
        <v>2434</v>
      </c>
      <c r="B808" s="9" t="s">
        <v>1615</v>
      </c>
      <c r="C808" s="9">
        <v>90</v>
      </c>
      <c r="D808" s="149" t="s">
        <v>1630</v>
      </c>
      <c r="E808" s="150">
        <v>45206</v>
      </c>
      <c r="F808" s="9">
        <v>84</v>
      </c>
      <c r="G808" s="9">
        <v>4.3</v>
      </c>
      <c r="H808" s="9">
        <f>IF(MONTH(Call_Table_Data[[#This Row],[Date of Call]])&lt;=6,YEAR(Call_Table_Data[[#This Row],[Date of Call]]),YEAR(Call_Table_Data[[#This Row],[Date of Call]])+1)</f>
        <v>2024</v>
      </c>
      <c r="I808" s="9" t="str">
        <f>TEXT(Call_Table_Data[[#This Row],[Date of Call]],"DDDD")</f>
        <v>Saturday</v>
      </c>
      <c r="J808" s="9" t="str" cm="1">
        <f t="array" ref="J808">_xlfn.IFS(Call_Table_Data[[#This Row],[Duration]]&lt;=10,"Under 10 Mins",Call_Table_Data[[#This Row],[Duration]]&lt;=30,"10 to 30 Mins",Call_Table_Data[[#This Row],[Duration]]&lt;=60,"30 to 60 Mins",Call_Table_Data[[#This Row],[Duration]]&lt;=120,"1 to 2 Hours",TRUE,"More Than 2 Hours")</f>
        <v>1 to 2 Hours</v>
      </c>
      <c r="K808" s="9">
        <f>ROUND(Call_Table_Data[[#This Row],[Satisfaction Rating]],0)</f>
        <v>4</v>
      </c>
    </row>
    <row r="809" spans="1:11" x14ac:dyDescent="0.3">
      <c r="A809" s="9" t="s">
        <v>2435</v>
      </c>
      <c r="B809" s="9" t="s">
        <v>1624</v>
      </c>
      <c r="C809" s="9">
        <v>66</v>
      </c>
      <c r="D809" s="149" t="s">
        <v>1630</v>
      </c>
      <c r="E809" s="150">
        <v>45206</v>
      </c>
      <c r="F809" s="9">
        <v>136</v>
      </c>
      <c r="G809" s="9">
        <v>4.7</v>
      </c>
      <c r="H809" s="9">
        <f>IF(MONTH(Call_Table_Data[[#This Row],[Date of Call]])&lt;=6,YEAR(Call_Table_Data[[#This Row],[Date of Call]]),YEAR(Call_Table_Data[[#This Row],[Date of Call]])+1)</f>
        <v>2024</v>
      </c>
      <c r="I809" s="9" t="str">
        <f>TEXT(Call_Table_Data[[#This Row],[Date of Call]],"DDDD")</f>
        <v>Saturday</v>
      </c>
      <c r="J809" s="9" t="str" cm="1">
        <f t="array" ref="J809">_xlfn.IFS(Call_Table_Data[[#This Row],[Duration]]&lt;=10,"Under 10 Mins",Call_Table_Data[[#This Row],[Duration]]&lt;=30,"10 to 30 Mins",Call_Table_Data[[#This Row],[Duration]]&lt;=60,"30 to 60 Mins",Call_Table_Data[[#This Row],[Duration]]&lt;=120,"1 to 2 Hours",TRUE,"More Than 2 Hours")</f>
        <v>1 to 2 Hours</v>
      </c>
      <c r="K809" s="9">
        <f>ROUND(Call_Table_Data[[#This Row],[Satisfaction Rating]],0)</f>
        <v>5</v>
      </c>
    </row>
    <row r="810" spans="1:11" x14ac:dyDescent="0.3">
      <c r="A810" s="9" t="s">
        <v>2436</v>
      </c>
      <c r="B810" s="9" t="s">
        <v>1620</v>
      </c>
      <c r="C810" s="9">
        <v>150</v>
      </c>
      <c r="D810" s="149" t="s">
        <v>1630</v>
      </c>
      <c r="E810" s="150">
        <v>45207</v>
      </c>
      <c r="F810" s="9">
        <v>70</v>
      </c>
      <c r="G810" s="9">
        <v>4.0999999999999996</v>
      </c>
      <c r="H810" s="9">
        <f>IF(MONTH(Call_Table_Data[[#This Row],[Date of Call]])&lt;=6,YEAR(Call_Table_Data[[#This Row],[Date of Call]]),YEAR(Call_Table_Data[[#This Row],[Date of Call]])+1)</f>
        <v>2024</v>
      </c>
      <c r="I810" s="9" t="str">
        <f>TEXT(Call_Table_Data[[#This Row],[Date of Call]],"DDDD")</f>
        <v>Sunday</v>
      </c>
      <c r="J810" s="9" t="str" cm="1">
        <f t="array" ref="J810">_xlfn.IFS(Call_Table_Data[[#This Row],[Duration]]&lt;=10,"Under 10 Mins",Call_Table_Data[[#This Row],[Duration]]&lt;=30,"10 to 30 Mins",Call_Table_Data[[#This Row],[Duration]]&lt;=60,"30 to 60 Mins",Call_Table_Data[[#This Row],[Duration]]&lt;=120,"1 to 2 Hours",TRUE,"More Than 2 Hours")</f>
        <v>More Than 2 Hours</v>
      </c>
      <c r="K810" s="9">
        <f>ROUND(Call_Table_Data[[#This Row],[Satisfaction Rating]],0)</f>
        <v>4</v>
      </c>
    </row>
    <row r="811" spans="1:11" x14ac:dyDescent="0.3">
      <c r="A811" s="9" t="s">
        <v>2437</v>
      </c>
      <c r="B811" s="9" t="s">
        <v>1635</v>
      </c>
      <c r="C811" s="9">
        <v>18</v>
      </c>
      <c r="D811" s="149" t="s">
        <v>1621</v>
      </c>
      <c r="E811" s="150">
        <v>45207</v>
      </c>
      <c r="F811" s="9">
        <v>96</v>
      </c>
      <c r="G811" s="9">
        <v>4.8</v>
      </c>
      <c r="H811" s="9">
        <f>IF(MONTH(Call_Table_Data[[#This Row],[Date of Call]])&lt;=6,YEAR(Call_Table_Data[[#This Row],[Date of Call]]),YEAR(Call_Table_Data[[#This Row],[Date of Call]])+1)</f>
        <v>2024</v>
      </c>
      <c r="I811" s="9" t="str">
        <f>TEXT(Call_Table_Data[[#This Row],[Date of Call]],"DDDD")</f>
        <v>Sunday</v>
      </c>
      <c r="J811" s="9" t="str" cm="1">
        <f t="array" ref="J811">_xlfn.IFS(Call_Table_Data[[#This Row],[Duration]]&lt;=10,"Under 10 Mins",Call_Table_Data[[#This Row],[Duration]]&lt;=30,"10 to 30 Mins",Call_Table_Data[[#This Row],[Duration]]&lt;=60,"30 to 60 Mins",Call_Table_Data[[#This Row],[Duration]]&lt;=120,"1 to 2 Hours",TRUE,"More Than 2 Hours")</f>
        <v>10 to 30 Mins</v>
      </c>
      <c r="K811" s="9">
        <f>ROUND(Call_Table_Data[[#This Row],[Satisfaction Rating]],0)</f>
        <v>5</v>
      </c>
    </row>
    <row r="812" spans="1:11" x14ac:dyDescent="0.3">
      <c r="A812" s="9" t="s">
        <v>2438</v>
      </c>
      <c r="B812" s="9" t="s">
        <v>1615</v>
      </c>
      <c r="C812" s="9">
        <v>87</v>
      </c>
      <c r="D812" s="149" t="s">
        <v>1621</v>
      </c>
      <c r="E812" s="150">
        <v>45207</v>
      </c>
      <c r="F812" s="9">
        <v>23</v>
      </c>
      <c r="G812" s="9">
        <v>4.2</v>
      </c>
      <c r="H812" s="9">
        <f>IF(MONTH(Call_Table_Data[[#This Row],[Date of Call]])&lt;=6,YEAR(Call_Table_Data[[#This Row],[Date of Call]]),YEAR(Call_Table_Data[[#This Row],[Date of Call]])+1)</f>
        <v>2024</v>
      </c>
      <c r="I812" s="9" t="str">
        <f>TEXT(Call_Table_Data[[#This Row],[Date of Call]],"DDDD")</f>
        <v>Sunday</v>
      </c>
      <c r="J812" s="9" t="str" cm="1">
        <f t="array" ref="J812">_xlfn.IFS(Call_Table_Data[[#This Row],[Duration]]&lt;=10,"Under 10 Mins",Call_Table_Data[[#This Row],[Duration]]&lt;=30,"10 to 30 Mins",Call_Table_Data[[#This Row],[Duration]]&lt;=60,"30 to 60 Mins",Call_Table_Data[[#This Row],[Duration]]&lt;=120,"1 to 2 Hours",TRUE,"More Than 2 Hours")</f>
        <v>1 to 2 Hours</v>
      </c>
      <c r="K812" s="9">
        <f>ROUND(Call_Table_Data[[#This Row],[Satisfaction Rating]],0)</f>
        <v>4</v>
      </c>
    </row>
    <row r="813" spans="1:11" x14ac:dyDescent="0.3">
      <c r="A813" s="9" t="s">
        <v>2439</v>
      </c>
      <c r="B813" s="9" t="s">
        <v>1633</v>
      </c>
      <c r="C813" s="9">
        <v>94</v>
      </c>
      <c r="D813" s="149" t="s">
        <v>1630</v>
      </c>
      <c r="E813" s="150">
        <v>45208</v>
      </c>
      <c r="F813" s="9">
        <v>120</v>
      </c>
      <c r="G813" s="9">
        <v>3.4</v>
      </c>
      <c r="H813" s="9">
        <f>IF(MONTH(Call_Table_Data[[#This Row],[Date of Call]])&lt;=6,YEAR(Call_Table_Data[[#This Row],[Date of Call]]),YEAR(Call_Table_Data[[#This Row],[Date of Call]])+1)</f>
        <v>2024</v>
      </c>
      <c r="I813" s="9" t="str">
        <f>TEXT(Call_Table_Data[[#This Row],[Date of Call]],"DDDD")</f>
        <v>Monday</v>
      </c>
      <c r="J813" s="9" t="str" cm="1">
        <f t="array" ref="J813">_xlfn.IFS(Call_Table_Data[[#This Row],[Duration]]&lt;=10,"Under 10 Mins",Call_Table_Data[[#This Row],[Duration]]&lt;=30,"10 to 30 Mins",Call_Table_Data[[#This Row],[Duration]]&lt;=60,"30 to 60 Mins",Call_Table_Data[[#This Row],[Duration]]&lt;=120,"1 to 2 Hours",TRUE,"More Than 2 Hours")</f>
        <v>1 to 2 Hours</v>
      </c>
      <c r="K813" s="9">
        <f>ROUND(Call_Table_Data[[#This Row],[Satisfaction Rating]],0)</f>
        <v>3</v>
      </c>
    </row>
    <row r="814" spans="1:11" x14ac:dyDescent="0.3">
      <c r="A814" s="9" t="s">
        <v>2440</v>
      </c>
      <c r="B814" s="9" t="s">
        <v>1652</v>
      </c>
      <c r="C814" s="9">
        <v>56</v>
      </c>
      <c r="D814" s="149" t="s">
        <v>1630</v>
      </c>
      <c r="E814" s="150">
        <v>45208</v>
      </c>
      <c r="F814" s="9">
        <v>205</v>
      </c>
      <c r="G814" s="9">
        <v>3.3</v>
      </c>
      <c r="H814" s="9">
        <f>IF(MONTH(Call_Table_Data[[#This Row],[Date of Call]])&lt;=6,YEAR(Call_Table_Data[[#This Row],[Date of Call]]),YEAR(Call_Table_Data[[#This Row],[Date of Call]])+1)</f>
        <v>2024</v>
      </c>
      <c r="I814" s="9" t="str">
        <f>TEXT(Call_Table_Data[[#This Row],[Date of Call]],"DDDD")</f>
        <v>Monday</v>
      </c>
      <c r="J814" s="9" t="str" cm="1">
        <f t="array" ref="J814">_xlfn.IFS(Call_Table_Data[[#This Row],[Duration]]&lt;=10,"Under 10 Mins",Call_Table_Data[[#This Row],[Duration]]&lt;=30,"10 to 30 Mins",Call_Table_Data[[#This Row],[Duration]]&lt;=60,"30 to 60 Mins",Call_Table_Data[[#This Row],[Duration]]&lt;=120,"1 to 2 Hours",TRUE,"More Than 2 Hours")</f>
        <v>30 to 60 Mins</v>
      </c>
      <c r="K814" s="9">
        <f>ROUND(Call_Table_Data[[#This Row],[Satisfaction Rating]],0)</f>
        <v>3</v>
      </c>
    </row>
    <row r="815" spans="1:11" x14ac:dyDescent="0.3">
      <c r="A815" s="9" t="s">
        <v>2441</v>
      </c>
      <c r="B815" s="9" t="s">
        <v>1641</v>
      </c>
      <c r="C815" s="9">
        <v>41</v>
      </c>
      <c r="D815" s="149" t="s">
        <v>1616</v>
      </c>
      <c r="E815" s="150">
        <v>45209</v>
      </c>
      <c r="F815" s="9">
        <v>42</v>
      </c>
      <c r="G815" s="9">
        <v>3.8</v>
      </c>
      <c r="H815" s="9">
        <f>IF(MONTH(Call_Table_Data[[#This Row],[Date of Call]])&lt;=6,YEAR(Call_Table_Data[[#This Row],[Date of Call]]),YEAR(Call_Table_Data[[#This Row],[Date of Call]])+1)</f>
        <v>2024</v>
      </c>
      <c r="I815" s="9" t="str">
        <f>TEXT(Call_Table_Data[[#This Row],[Date of Call]],"DDDD")</f>
        <v>Tuesday</v>
      </c>
      <c r="J815" s="9" t="str" cm="1">
        <f t="array" ref="J815">_xlfn.IFS(Call_Table_Data[[#This Row],[Duration]]&lt;=10,"Under 10 Mins",Call_Table_Data[[#This Row],[Duration]]&lt;=30,"10 to 30 Mins",Call_Table_Data[[#This Row],[Duration]]&lt;=60,"30 to 60 Mins",Call_Table_Data[[#This Row],[Duration]]&lt;=120,"1 to 2 Hours",TRUE,"More Than 2 Hours")</f>
        <v>30 to 60 Mins</v>
      </c>
      <c r="K815" s="9">
        <f>ROUND(Call_Table_Data[[#This Row],[Satisfaction Rating]],0)</f>
        <v>4</v>
      </c>
    </row>
    <row r="816" spans="1:11" x14ac:dyDescent="0.3">
      <c r="A816" s="9" t="s">
        <v>2442</v>
      </c>
      <c r="B816" s="9" t="s">
        <v>1620</v>
      </c>
      <c r="C816" s="9">
        <v>119</v>
      </c>
      <c r="D816" s="149" t="s">
        <v>1626</v>
      </c>
      <c r="E816" s="150">
        <v>45209</v>
      </c>
      <c r="F816" s="9">
        <v>111</v>
      </c>
      <c r="G816" s="9">
        <v>3.9</v>
      </c>
      <c r="H816" s="9">
        <f>IF(MONTH(Call_Table_Data[[#This Row],[Date of Call]])&lt;=6,YEAR(Call_Table_Data[[#This Row],[Date of Call]]),YEAR(Call_Table_Data[[#This Row],[Date of Call]])+1)</f>
        <v>2024</v>
      </c>
      <c r="I816" s="9" t="str">
        <f>TEXT(Call_Table_Data[[#This Row],[Date of Call]],"DDDD")</f>
        <v>Tuesday</v>
      </c>
      <c r="J816" s="9" t="str" cm="1">
        <f t="array" ref="J816">_xlfn.IFS(Call_Table_Data[[#This Row],[Duration]]&lt;=10,"Under 10 Mins",Call_Table_Data[[#This Row],[Duration]]&lt;=30,"10 to 30 Mins",Call_Table_Data[[#This Row],[Duration]]&lt;=60,"30 to 60 Mins",Call_Table_Data[[#This Row],[Duration]]&lt;=120,"1 to 2 Hours",TRUE,"More Than 2 Hours")</f>
        <v>1 to 2 Hours</v>
      </c>
      <c r="K816" s="9">
        <f>ROUND(Call_Table_Data[[#This Row],[Satisfaction Rating]],0)</f>
        <v>4</v>
      </c>
    </row>
    <row r="817" spans="1:11" x14ac:dyDescent="0.3">
      <c r="A817" s="9" t="s">
        <v>2443</v>
      </c>
      <c r="B817" s="9" t="s">
        <v>1618</v>
      </c>
      <c r="C817" s="9">
        <v>108</v>
      </c>
      <c r="D817" s="149" t="s">
        <v>1630</v>
      </c>
      <c r="E817" s="150">
        <v>45209</v>
      </c>
      <c r="F817" s="9">
        <v>68</v>
      </c>
      <c r="G817" s="9">
        <v>2.5</v>
      </c>
      <c r="H817" s="9">
        <f>IF(MONTH(Call_Table_Data[[#This Row],[Date of Call]])&lt;=6,YEAR(Call_Table_Data[[#This Row],[Date of Call]]),YEAR(Call_Table_Data[[#This Row],[Date of Call]])+1)</f>
        <v>2024</v>
      </c>
      <c r="I817" s="9" t="str">
        <f>TEXT(Call_Table_Data[[#This Row],[Date of Call]],"DDDD")</f>
        <v>Tuesday</v>
      </c>
      <c r="J817" s="9" t="str" cm="1">
        <f t="array" ref="J817">_xlfn.IFS(Call_Table_Data[[#This Row],[Duration]]&lt;=10,"Under 10 Mins",Call_Table_Data[[#This Row],[Duration]]&lt;=30,"10 to 30 Mins",Call_Table_Data[[#This Row],[Duration]]&lt;=60,"30 to 60 Mins",Call_Table_Data[[#This Row],[Duration]]&lt;=120,"1 to 2 Hours",TRUE,"More Than 2 Hours")</f>
        <v>1 to 2 Hours</v>
      </c>
      <c r="K817" s="9">
        <f>ROUND(Call_Table_Data[[#This Row],[Satisfaction Rating]],0)</f>
        <v>3</v>
      </c>
    </row>
    <row r="818" spans="1:11" x14ac:dyDescent="0.3">
      <c r="A818" s="9" t="s">
        <v>2444</v>
      </c>
      <c r="B818" s="9" t="s">
        <v>1662</v>
      </c>
      <c r="C818" s="9">
        <v>63</v>
      </c>
      <c r="D818" s="149" t="s">
        <v>1611</v>
      </c>
      <c r="E818" s="150">
        <v>45209</v>
      </c>
      <c r="F818" s="9">
        <v>172</v>
      </c>
      <c r="G818" s="9">
        <v>4.9000000000000004</v>
      </c>
      <c r="H818" s="9">
        <f>IF(MONTH(Call_Table_Data[[#This Row],[Date of Call]])&lt;=6,YEAR(Call_Table_Data[[#This Row],[Date of Call]]),YEAR(Call_Table_Data[[#This Row],[Date of Call]])+1)</f>
        <v>2024</v>
      </c>
      <c r="I818" s="9" t="str">
        <f>TEXT(Call_Table_Data[[#This Row],[Date of Call]],"DDDD")</f>
        <v>Tuesday</v>
      </c>
      <c r="J818" s="9" t="str" cm="1">
        <f t="array" ref="J818">_xlfn.IFS(Call_Table_Data[[#This Row],[Duration]]&lt;=10,"Under 10 Mins",Call_Table_Data[[#This Row],[Duration]]&lt;=30,"10 to 30 Mins",Call_Table_Data[[#This Row],[Duration]]&lt;=60,"30 to 60 Mins",Call_Table_Data[[#This Row],[Duration]]&lt;=120,"1 to 2 Hours",TRUE,"More Than 2 Hours")</f>
        <v>1 to 2 Hours</v>
      </c>
      <c r="K818" s="9">
        <f>ROUND(Call_Table_Data[[#This Row],[Satisfaction Rating]],0)</f>
        <v>5</v>
      </c>
    </row>
    <row r="819" spans="1:11" x14ac:dyDescent="0.3">
      <c r="A819" s="9" t="s">
        <v>2445</v>
      </c>
      <c r="B819" s="9" t="s">
        <v>1649</v>
      </c>
      <c r="C819" s="9">
        <v>59</v>
      </c>
      <c r="D819" s="149" t="s">
        <v>1630</v>
      </c>
      <c r="E819" s="150">
        <v>45209</v>
      </c>
      <c r="F819" s="9">
        <v>152</v>
      </c>
      <c r="G819" s="9">
        <v>4.8</v>
      </c>
      <c r="H819" s="9">
        <f>IF(MONTH(Call_Table_Data[[#This Row],[Date of Call]])&lt;=6,YEAR(Call_Table_Data[[#This Row],[Date of Call]]),YEAR(Call_Table_Data[[#This Row],[Date of Call]])+1)</f>
        <v>2024</v>
      </c>
      <c r="I819" s="9" t="str">
        <f>TEXT(Call_Table_Data[[#This Row],[Date of Call]],"DDDD")</f>
        <v>Tuesday</v>
      </c>
      <c r="J819" s="9" t="str" cm="1">
        <f t="array" ref="J819">_xlfn.IFS(Call_Table_Data[[#This Row],[Duration]]&lt;=10,"Under 10 Mins",Call_Table_Data[[#This Row],[Duration]]&lt;=30,"10 to 30 Mins",Call_Table_Data[[#This Row],[Duration]]&lt;=60,"30 to 60 Mins",Call_Table_Data[[#This Row],[Duration]]&lt;=120,"1 to 2 Hours",TRUE,"More Than 2 Hours")</f>
        <v>30 to 60 Mins</v>
      </c>
      <c r="K819" s="9">
        <f>ROUND(Call_Table_Data[[#This Row],[Satisfaction Rating]],0)</f>
        <v>5</v>
      </c>
    </row>
    <row r="820" spans="1:11" x14ac:dyDescent="0.3">
      <c r="A820" s="9" t="s">
        <v>2446</v>
      </c>
      <c r="B820" s="9" t="s">
        <v>1649</v>
      </c>
      <c r="C820" s="9">
        <v>90</v>
      </c>
      <c r="D820" s="149" t="s">
        <v>1616</v>
      </c>
      <c r="E820" s="150">
        <v>45209</v>
      </c>
      <c r="F820" s="9">
        <v>48</v>
      </c>
      <c r="G820" s="9">
        <v>4.7</v>
      </c>
      <c r="H820" s="9">
        <f>IF(MONTH(Call_Table_Data[[#This Row],[Date of Call]])&lt;=6,YEAR(Call_Table_Data[[#This Row],[Date of Call]]),YEAR(Call_Table_Data[[#This Row],[Date of Call]])+1)</f>
        <v>2024</v>
      </c>
      <c r="I820" s="9" t="str">
        <f>TEXT(Call_Table_Data[[#This Row],[Date of Call]],"DDDD")</f>
        <v>Tuesday</v>
      </c>
      <c r="J820" s="9" t="str" cm="1">
        <f t="array" ref="J820">_xlfn.IFS(Call_Table_Data[[#This Row],[Duration]]&lt;=10,"Under 10 Mins",Call_Table_Data[[#This Row],[Duration]]&lt;=30,"10 to 30 Mins",Call_Table_Data[[#This Row],[Duration]]&lt;=60,"30 to 60 Mins",Call_Table_Data[[#This Row],[Duration]]&lt;=120,"1 to 2 Hours",TRUE,"More Than 2 Hours")</f>
        <v>1 to 2 Hours</v>
      </c>
      <c r="K820" s="9">
        <f>ROUND(Call_Table_Data[[#This Row],[Satisfaction Rating]],0)</f>
        <v>5</v>
      </c>
    </row>
    <row r="821" spans="1:11" x14ac:dyDescent="0.3">
      <c r="A821" s="9" t="s">
        <v>2447</v>
      </c>
      <c r="B821" s="9" t="s">
        <v>1629</v>
      </c>
      <c r="C821" s="9">
        <v>55</v>
      </c>
      <c r="D821" s="149" t="s">
        <v>1616</v>
      </c>
      <c r="E821" s="150">
        <v>45209</v>
      </c>
      <c r="F821" s="9">
        <v>25</v>
      </c>
      <c r="G821" s="9">
        <v>4.7</v>
      </c>
      <c r="H821" s="9">
        <f>IF(MONTH(Call_Table_Data[[#This Row],[Date of Call]])&lt;=6,YEAR(Call_Table_Data[[#This Row],[Date of Call]]),YEAR(Call_Table_Data[[#This Row],[Date of Call]])+1)</f>
        <v>2024</v>
      </c>
      <c r="I821" s="9" t="str">
        <f>TEXT(Call_Table_Data[[#This Row],[Date of Call]],"DDDD")</f>
        <v>Tuesday</v>
      </c>
      <c r="J821" s="9" t="str" cm="1">
        <f t="array" ref="J821">_xlfn.IFS(Call_Table_Data[[#This Row],[Duration]]&lt;=10,"Under 10 Mins",Call_Table_Data[[#This Row],[Duration]]&lt;=30,"10 to 30 Mins",Call_Table_Data[[#This Row],[Duration]]&lt;=60,"30 to 60 Mins",Call_Table_Data[[#This Row],[Duration]]&lt;=120,"1 to 2 Hours",TRUE,"More Than 2 Hours")</f>
        <v>30 to 60 Mins</v>
      </c>
      <c r="K821" s="9">
        <f>ROUND(Call_Table_Data[[#This Row],[Satisfaction Rating]],0)</f>
        <v>5</v>
      </c>
    </row>
    <row r="822" spans="1:11" x14ac:dyDescent="0.3">
      <c r="A822" s="9" t="s">
        <v>2448</v>
      </c>
      <c r="B822" s="9" t="s">
        <v>1618</v>
      </c>
      <c r="C822" s="9">
        <v>84</v>
      </c>
      <c r="D822" s="149" t="s">
        <v>1626</v>
      </c>
      <c r="E822" s="150">
        <v>45210</v>
      </c>
      <c r="F822" s="9">
        <v>54</v>
      </c>
      <c r="G822" s="9">
        <v>3.3</v>
      </c>
      <c r="H822" s="9">
        <f>IF(MONTH(Call_Table_Data[[#This Row],[Date of Call]])&lt;=6,YEAR(Call_Table_Data[[#This Row],[Date of Call]]),YEAR(Call_Table_Data[[#This Row],[Date of Call]])+1)</f>
        <v>2024</v>
      </c>
      <c r="I822" s="9" t="str">
        <f>TEXT(Call_Table_Data[[#This Row],[Date of Call]],"DDDD")</f>
        <v>Wednesday</v>
      </c>
      <c r="J822" s="9" t="str" cm="1">
        <f t="array" ref="J822">_xlfn.IFS(Call_Table_Data[[#This Row],[Duration]]&lt;=10,"Under 10 Mins",Call_Table_Data[[#This Row],[Duration]]&lt;=30,"10 to 30 Mins",Call_Table_Data[[#This Row],[Duration]]&lt;=60,"30 to 60 Mins",Call_Table_Data[[#This Row],[Duration]]&lt;=120,"1 to 2 Hours",TRUE,"More Than 2 Hours")</f>
        <v>1 to 2 Hours</v>
      </c>
      <c r="K822" s="9">
        <f>ROUND(Call_Table_Data[[#This Row],[Satisfaction Rating]],0)</f>
        <v>3</v>
      </c>
    </row>
    <row r="823" spans="1:11" x14ac:dyDescent="0.3">
      <c r="A823" s="9" t="s">
        <v>2449</v>
      </c>
      <c r="B823" s="9" t="s">
        <v>1618</v>
      </c>
      <c r="C823" s="9">
        <v>150</v>
      </c>
      <c r="D823" s="149" t="s">
        <v>1621</v>
      </c>
      <c r="E823" s="150">
        <v>45210</v>
      </c>
      <c r="F823" s="9">
        <v>108</v>
      </c>
      <c r="G823" s="9">
        <v>4.7</v>
      </c>
      <c r="H823" s="9">
        <f>IF(MONTH(Call_Table_Data[[#This Row],[Date of Call]])&lt;=6,YEAR(Call_Table_Data[[#This Row],[Date of Call]]),YEAR(Call_Table_Data[[#This Row],[Date of Call]])+1)</f>
        <v>2024</v>
      </c>
      <c r="I823" s="9" t="str">
        <f>TEXT(Call_Table_Data[[#This Row],[Date of Call]],"DDDD")</f>
        <v>Wednesday</v>
      </c>
      <c r="J823" s="9" t="str" cm="1">
        <f t="array" ref="J823">_xlfn.IFS(Call_Table_Data[[#This Row],[Duration]]&lt;=10,"Under 10 Mins",Call_Table_Data[[#This Row],[Duration]]&lt;=30,"10 to 30 Mins",Call_Table_Data[[#This Row],[Duration]]&lt;=60,"30 to 60 Mins",Call_Table_Data[[#This Row],[Duration]]&lt;=120,"1 to 2 Hours",TRUE,"More Than 2 Hours")</f>
        <v>More Than 2 Hours</v>
      </c>
      <c r="K823" s="9">
        <f>ROUND(Call_Table_Data[[#This Row],[Satisfaction Rating]],0)</f>
        <v>5</v>
      </c>
    </row>
    <row r="824" spans="1:11" x14ac:dyDescent="0.3">
      <c r="A824" s="9" t="s">
        <v>2450</v>
      </c>
      <c r="B824" s="9" t="s">
        <v>1682</v>
      </c>
      <c r="C824" s="9">
        <v>69</v>
      </c>
      <c r="D824" s="149" t="s">
        <v>1630</v>
      </c>
      <c r="E824" s="150">
        <v>45210</v>
      </c>
      <c r="F824" s="9">
        <v>36</v>
      </c>
      <c r="G824" s="9">
        <v>4.5</v>
      </c>
      <c r="H824" s="9">
        <f>IF(MONTH(Call_Table_Data[[#This Row],[Date of Call]])&lt;=6,YEAR(Call_Table_Data[[#This Row],[Date of Call]]),YEAR(Call_Table_Data[[#This Row],[Date of Call]])+1)</f>
        <v>2024</v>
      </c>
      <c r="I824" s="9" t="str">
        <f>TEXT(Call_Table_Data[[#This Row],[Date of Call]],"DDDD")</f>
        <v>Wednesday</v>
      </c>
      <c r="J824" s="9" t="str" cm="1">
        <f t="array" ref="J824">_xlfn.IFS(Call_Table_Data[[#This Row],[Duration]]&lt;=10,"Under 10 Mins",Call_Table_Data[[#This Row],[Duration]]&lt;=30,"10 to 30 Mins",Call_Table_Data[[#This Row],[Duration]]&lt;=60,"30 to 60 Mins",Call_Table_Data[[#This Row],[Duration]]&lt;=120,"1 to 2 Hours",TRUE,"More Than 2 Hours")</f>
        <v>1 to 2 Hours</v>
      </c>
      <c r="K824" s="9">
        <f>ROUND(Call_Table_Data[[#This Row],[Satisfaction Rating]],0)</f>
        <v>5</v>
      </c>
    </row>
    <row r="825" spans="1:11" x14ac:dyDescent="0.3">
      <c r="A825" s="9" t="s">
        <v>2451</v>
      </c>
      <c r="B825" s="9" t="s">
        <v>1610</v>
      </c>
      <c r="C825" s="9">
        <v>120</v>
      </c>
      <c r="D825" s="149" t="s">
        <v>1616</v>
      </c>
      <c r="E825" s="150">
        <v>45211</v>
      </c>
      <c r="F825" s="9">
        <v>140</v>
      </c>
      <c r="G825" s="9">
        <v>4.5999999999999996</v>
      </c>
      <c r="H825" s="9">
        <f>IF(MONTH(Call_Table_Data[[#This Row],[Date of Call]])&lt;=6,YEAR(Call_Table_Data[[#This Row],[Date of Call]]),YEAR(Call_Table_Data[[#This Row],[Date of Call]])+1)</f>
        <v>2024</v>
      </c>
      <c r="I825" s="9" t="str">
        <f>TEXT(Call_Table_Data[[#This Row],[Date of Call]],"DDDD")</f>
        <v>Thursday</v>
      </c>
      <c r="J825" s="9" t="str" cm="1">
        <f t="array" ref="J825">_xlfn.IFS(Call_Table_Data[[#This Row],[Duration]]&lt;=10,"Under 10 Mins",Call_Table_Data[[#This Row],[Duration]]&lt;=30,"10 to 30 Mins",Call_Table_Data[[#This Row],[Duration]]&lt;=60,"30 to 60 Mins",Call_Table_Data[[#This Row],[Duration]]&lt;=120,"1 to 2 Hours",TRUE,"More Than 2 Hours")</f>
        <v>1 to 2 Hours</v>
      </c>
      <c r="K825" s="9">
        <f>ROUND(Call_Table_Data[[#This Row],[Satisfaction Rating]],0)</f>
        <v>5</v>
      </c>
    </row>
    <row r="826" spans="1:11" x14ac:dyDescent="0.3">
      <c r="A826" s="9" t="s">
        <v>2452</v>
      </c>
      <c r="B826" s="9" t="s">
        <v>1615</v>
      </c>
      <c r="C826" s="9">
        <v>126</v>
      </c>
      <c r="D826" s="149" t="s">
        <v>1626</v>
      </c>
      <c r="E826" s="150">
        <v>45211</v>
      </c>
      <c r="F826" s="9">
        <v>50</v>
      </c>
      <c r="G826" s="9">
        <v>4.8</v>
      </c>
      <c r="H826" s="9">
        <f>IF(MONTH(Call_Table_Data[[#This Row],[Date of Call]])&lt;=6,YEAR(Call_Table_Data[[#This Row],[Date of Call]]),YEAR(Call_Table_Data[[#This Row],[Date of Call]])+1)</f>
        <v>2024</v>
      </c>
      <c r="I826" s="9" t="str">
        <f>TEXT(Call_Table_Data[[#This Row],[Date of Call]],"DDDD")</f>
        <v>Thursday</v>
      </c>
      <c r="J826" s="9" t="str" cm="1">
        <f t="array" ref="J826">_xlfn.IFS(Call_Table_Data[[#This Row],[Duration]]&lt;=10,"Under 10 Mins",Call_Table_Data[[#This Row],[Duration]]&lt;=30,"10 to 30 Mins",Call_Table_Data[[#This Row],[Duration]]&lt;=60,"30 to 60 Mins",Call_Table_Data[[#This Row],[Duration]]&lt;=120,"1 to 2 Hours",TRUE,"More Than 2 Hours")</f>
        <v>More Than 2 Hours</v>
      </c>
      <c r="K826" s="9">
        <f>ROUND(Call_Table_Data[[#This Row],[Satisfaction Rating]],0)</f>
        <v>5</v>
      </c>
    </row>
    <row r="827" spans="1:11" x14ac:dyDescent="0.3">
      <c r="A827" s="9" t="s">
        <v>2453</v>
      </c>
      <c r="B827" s="9" t="s">
        <v>1682</v>
      </c>
      <c r="C827" s="9">
        <v>120</v>
      </c>
      <c r="D827" s="149" t="s">
        <v>1611</v>
      </c>
      <c r="E827" s="150">
        <v>45211</v>
      </c>
      <c r="F827" s="9">
        <v>195</v>
      </c>
      <c r="G827" s="9">
        <v>4.3</v>
      </c>
      <c r="H827" s="9">
        <f>IF(MONTH(Call_Table_Data[[#This Row],[Date of Call]])&lt;=6,YEAR(Call_Table_Data[[#This Row],[Date of Call]]),YEAR(Call_Table_Data[[#This Row],[Date of Call]])+1)</f>
        <v>2024</v>
      </c>
      <c r="I827" s="9" t="str">
        <f>TEXT(Call_Table_Data[[#This Row],[Date of Call]],"DDDD")</f>
        <v>Thursday</v>
      </c>
      <c r="J827" s="9" t="str" cm="1">
        <f t="array" ref="J827">_xlfn.IFS(Call_Table_Data[[#This Row],[Duration]]&lt;=10,"Under 10 Mins",Call_Table_Data[[#This Row],[Duration]]&lt;=30,"10 to 30 Mins",Call_Table_Data[[#This Row],[Duration]]&lt;=60,"30 to 60 Mins",Call_Table_Data[[#This Row],[Duration]]&lt;=120,"1 to 2 Hours",TRUE,"More Than 2 Hours")</f>
        <v>1 to 2 Hours</v>
      </c>
      <c r="K827" s="9">
        <f>ROUND(Call_Table_Data[[#This Row],[Satisfaction Rating]],0)</f>
        <v>4</v>
      </c>
    </row>
    <row r="828" spans="1:11" x14ac:dyDescent="0.3">
      <c r="A828" s="9" t="s">
        <v>2454</v>
      </c>
      <c r="B828" s="9" t="s">
        <v>1615</v>
      </c>
      <c r="C828" s="9">
        <v>139</v>
      </c>
      <c r="D828" s="149" t="s">
        <v>1616</v>
      </c>
      <c r="E828" s="150">
        <v>45212</v>
      </c>
      <c r="F828" s="9">
        <v>48</v>
      </c>
      <c r="G828" s="9">
        <v>4.7</v>
      </c>
      <c r="H828" s="9">
        <f>IF(MONTH(Call_Table_Data[[#This Row],[Date of Call]])&lt;=6,YEAR(Call_Table_Data[[#This Row],[Date of Call]]),YEAR(Call_Table_Data[[#This Row],[Date of Call]])+1)</f>
        <v>2024</v>
      </c>
      <c r="I828" s="9" t="str">
        <f>TEXT(Call_Table_Data[[#This Row],[Date of Call]],"DDDD")</f>
        <v>Friday</v>
      </c>
      <c r="J828" s="9" t="str" cm="1">
        <f t="array" ref="J828">_xlfn.IFS(Call_Table_Data[[#This Row],[Duration]]&lt;=10,"Under 10 Mins",Call_Table_Data[[#This Row],[Duration]]&lt;=30,"10 to 30 Mins",Call_Table_Data[[#This Row],[Duration]]&lt;=60,"30 to 60 Mins",Call_Table_Data[[#This Row],[Duration]]&lt;=120,"1 to 2 Hours",TRUE,"More Than 2 Hours")</f>
        <v>More Than 2 Hours</v>
      </c>
      <c r="K828" s="9">
        <f>ROUND(Call_Table_Data[[#This Row],[Satisfaction Rating]],0)</f>
        <v>5</v>
      </c>
    </row>
    <row r="829" spans="1:11" x14ac:dyDescent="0.3">
      <c r="A829" s="9" t="s">
        <v>2455</v>
      </c>
      <c r="B829" s="9" t="s">
        <v>1629</v>
      </c>
      <c r="C829" s="9">
        <v>124</v>
      </c>
      <c r="D829" s="149" t="s">
        <v>1630</v>
      </c>
      <c r="E829" s="150">
        <v>45213</v>
      </c>
      <c r="F829" s="9">
        <v>29</v>
      </c>
      <c r="G829" s="9">
        <v>4.8</v>
      </c>
      <c r="H829" s="9">
        <f>IF(MONTH(Call_Table_Data[[#This Row],[Date of Call]])&lt;=6,YEAR(Call_Table_Data[[#This Row],[Date of Call]]),YEAR(Call_Table_Data[[#This Row],[Date of Call]])+1)</f>
        <v>2024</v>
      </c>
      <c r="I829" s="9" t="str">
        <f>TEXT(Call_Table_Data[[#This Row],[Date of Call]],"DDDD")</f>
        <v>Saturday</v>
      </c>
      <c r="J829" s="9" t="str" cm="1">
        <f t="array" ref="J829">_xlfn.IFS(Call_Table_Data[[#This Row],[Duration]]&lt;=10,"Under 10 Mins",Call_Table_Data[[#This Row],[Duration]]&lt;=30,"10 to 30 Mins",Call_Table_Data[[#This Row],[Duration]]&lt;=60,"30 to 60 Mins",Call_Table_Data[[#This Row],[Duration]]&lt;=120,"1 to 2 Hours",TRUE,"More Than 2 Hours")</f>
        <v>More Than 2 Hours</v>
      </c>
      <c r="K829" s="9">
        <f>ROUND(Call_Table_Data[[#This Row],[Satisfaction Rating]],0)</f>
        <v>5</v>
      </c>
    </row>
    <row r="830" spans="1:11" x14ac:dyDescent="0.3">
      <c r="A830" s="9" t="s">
        <v>2456</v>
      </c>
      <c r="B830" s="9" t="s">
        <v>1610</v>
      </c>
      <c r="C830" s="9">
        <v>108</v>
      </c>
      <c r="D830" s="149" t="s">
        <v>1611</v>
      </c>
      <c r="E830" s="150">
        <v>45213</v>
      </c>
      <c r="F830" s="9">
        <v>44</v>
      </c>
      <c r="G830" s="9">
        <v>4.7</v>
      </c>
      <c r="H830" s="9">
        <f>IF(MONTH(Call_Table_Data[[#This Row],[Date of Call]])&lt;=6,YEAR(Call_Table_Data[[#This Row],[Date of Call]]),YEAR(Call_Table_Data[[#This Row],[Date of Call]])+1)</f>
        <v>2024</v>
      </c>
      <c r="I830" s="9" t="str">
        <f>TEXT(Call_Table_Data[[#This Row],[Date of Call]],"DDDD")</f>
        <v>Saturday</v>
      </c>
      <c r="J830" s="9" t="str" cm="1">
        <f t="array" ref="J830">_xlfn.IFS(Call_Table_Data[[#This Row],[Duration]]&lt;=10,"Under 10 Mins",Call_Table_Data[[#This Row],[Duration]]&lt;=30,"10 to 30 Mins",Call_Table_Data[[#This Row],[Duration]]&lt;=60,"30 to 60 Mins",Call_Table_Data[[#This Row],[Duration]]&lt;=120,"1 to 2 Hours",TRUE,"More Than 2 Hours")</f>
        <v>1 to 2 Hours</v>
      </c>
      <c r="K830" s="9">
        <f>ROUND(Call_Table_Data[[#This Row],[Satisfaction Rating]],0)</f>
        <v>5</v>
      </c>
    </row>
    <row r="831" spans="1:11" x14ac:dyDescent="0.3">
      <c r="A831" s="9" t="s">
        <v>2457</v>
      </c>
      <c r="B831" s="9" t="s">
        <v>1613</v>
      </c>
      <c r="C831" s="9">
        <v>132</v>
      </c>
      <c r="D831" s="149" t="s">
        <v>1621</v>
      </c>
      <c r="E831" s="150">
        <v>45213</v>
      </c>
      <c r="F831" s="9">
        <v>140</v>
      </c>
      <c r="G831" s="9">
        <v>4.3</v>
      </c>
      <c r="H831" s="9">
        <f>IF(MONTH(Call_Table_Data[[#This Row],[Date of Call]])&lt;=6,YEAR(Call_Table_Data[[#This Row],[Date of Call]]),YEAR(Call_Table_Data[[#This Row],[Date of Call]])+1)</f>
        <v>2024</v>
      </c>
      <c r="I831" s="9" t="str">
        <f>TEXT(Call_Table_Data[[#This Row],[Date of Call]],"DDDD")</f>
        <v>Saturday</v>
      </c>
      <c r="J831" s="9" t="str" cm="1">
        <f t="array" ref="J831">_xlfn.IFS(Call_Table_Data[[#This Row],[Duration]]&lt;=10,"Under 10 Mins",Call_Table_Data[[#This Row],[Duration]]&lt;=30,"10 to 30 Mins",Call_Table_Data[[#This Row],[Duration]]&lt;=60,"30 to 60 Mins",Call_Table_Data[[#This Row],[Duration]]&lt;=120,"1 to 2 Hours",TRUE,"More Than 2 Hours")</f>
        <v>More Than 2 Hours</v>
      </c>
      <c r="K831" s="9">
        <f>ROUND(Call_Table_Data[[#This Row],[Satisfaction Rating]],0)</f>
        <v>4</v>
      </c>
    </row>
    <row r="832" spans="1:11" x14ac:dyDescent="0.3">
      <c r="A832" s="9" t="s">
        <v>2458</v>
      </c>
      <c r="B832" s="9" t="s">
        <v>1662</v>
      </c>
      <c r="C832" s="9">
        <v>67</v>
      </c>
      <c r="D832" s="149" t="s">
        <v>1621</v>
      </c>
      <c r="E832" s="150">
        <v>45213</v>
      </c>
      <c r="F832" s="9">
        <v>105</v>
      </c>
      <c r="G832" s="9">
        <v>3.8</v>
      </c>
      <c r="H832" s="9">
        <f>IF(MONTH(Call_Table_Data[[#This Row],[Date of Call]])&lt;=6,YEAR(Call_Table_Data[[#This Row],[Date of Call]]),YEAR(Call_Table_Data[[#This Row],[Date of Call]])+1)</f>
        <v>2024</v>
      </c>
      <c r="I832" s="9" t="str">
        <f>TEXT(Call_Table_Data[[#This Row],[Date of Call]],"DDDD")</f>
        <v>Saturday</v>
      </c>
      <c r="J832" s="9" t="str" cm="1">
        <f t="array" ref="J832">_xlfn.IFS(Call_Table_Data[[#This Row],[Duration]]&lt;=10,"Under 10 Mins",Call_Table_Data[[#This Row],[Duration]]&lt;=30,"10 to 30 Mins",Call_Table_Data[[#This Row],[Duration]]&lt;=60,"30 to 60 Mins",Call_Table_Data[[#This Row],[Duration]]&lt;=120,"1 to 2 Hours",TRUE,"More Than 2 Hours")</f>
        <v>1 to 2 Hours</v>
      </c>
      <c r="K832" s="9">
        <f>ROUND(Call_Table_Data[[#This Row],[Satisfaction Rating]],0)</f>
        <v>4</v>
      </c>
    </row>
    <row r="833" spans="1:11" x14ac:dyDescent="0.3">
      <c r="A833" s="9" t="s">
        <v>2459</v>
      </c>
      <c r="B833" s="9" t="s">
        <v>1624</v>
      </c>
      <c r="C833" s="9">
        <v>125</v>
      </c>
      <c r="D833" s="149" t="s">
        <v>1621</v>
      </c>
      <c r="E833" s="150">
        <v>45213</v>
      </c>
      <c r="F833" s="9">
        <v>82</v>
      </c>
      <c r="G833" s="9">
        <v>4.5999999999999996</v>
      </c>
      <c r="H833" s="9">
        <f>IF(MONTH(Call_Table_Data[[#This Row],[Date of Call]])&lt;=6,YEAR(Call_Table_Data[[#This Row],[Date of Call]]),YEAR(Call_Table_Data[[#This Row],[Date of Call]])+1)</f>
        <v>2024</v>
      </c>
      <c r="I833" s="9" t="str">
        <f>TEXT(Call_Table_Data[[#This Row],[Date of Call]],"DDDD")</f>
        <v>Saturday</v>
      </c>
      <c r="J833" s="9" t="str" cm="1">
        <f t="array" ref="J833">_xlfn.IFS(Call_Table_Data[[#This Row],[Duration]]&lt;=10,"Under 10 Mins",Call_Table_Data[[#This Row],[Duration]]&lt;=30,"10 to 30 Mins",Call_Table_Data[[#This Row],[Duration]]&lt;=60,"30 to 60 Mins",Call_Table_Data[[#This Row],[Duration]]&lt;=120,"1 to 2 Hours",TRUE,"More Than 2 Hours")</f>
        <v>More Than 2 Hours</v>
      </c>
      <c r="K833" s="9">
        <f>ROUND(Call_Table_Data[[#This Row],[Satisfaction Rating]],0)</f>
        <v>5</v>
      </c>
    </row>
    <row r="834" spans="1:11" x14ac:dyDescent="0.3">
      <c r="A834" s="9" t="s">
        <v>2460</v>
      </c>
      <c r="B834" s="9" t="s">
        <v>1610</v>
      </c>
      <c r="C834" s="9">
        <v>23</v>
      </c>
      <c r="D834" s="149" t="s">
        <v>1611</v>
      </c>
      <c r="E834" s="150">
        <v>45213</v>
      </c>
      <c r="F834" s="9">
        <v>24</v>
      </c>
      <c r="G834" s="9">
        <v>2.9</v>
      </c>
      <c r="H834" s="9">
        <f>IF(MONTH(Call_Table_Data[[#This Row],[Date of Call]])&lt;=6,YEAR(Call_Table_Data[[#This Row],[Date of Call]]),YEAR(Call_Table_Data[[#This Row],[Date of Call]])+1)</f>
        <v>2024</v>
      </c>
      <c r="I834" s="9" t="str">
        <f>TEXT(Call_Table_Data[[#This Row],[Date of Call]],"DDDD")</f>
        <v>Saturday</v>
      </c>
      <c r="J834" s="9" t="str" cm="1">
        <f t="array" ref="J834">_xlfn.IFS(Call_Table_Data[[#This Row],[Duration]]&lt;=10,"Under 10 Mins",Call_Table_Data[[#This Row],[Duration]]&lt;=30,"10 to 30 Mins",Call_Table_Data[[#This Row],[Duration]]&lt;=60,"30 to 60 Mins",Call_Table_Data[[#This Row],[Duration]]&lt;=120,"1 to 2 Hours",TRUE,"More Than 2 Hours")</f>
        <v>10 to 30 Mins</v>
      </c>
      <c r="K834" s="9">
        <f>ROUND(Call_Table_Data[[#This Row],[Satisfaction Rating]],0)</f>
        <v>3</v>
      </c>
    </row>
    <row r="835" spans="1:11" x14ac:dyDescent="0.3">
      <c r="A835" s="9" t="s">
        <v>2461</v>
      </c>
      <c r="B835" s="9" t="s">
        <v>1620</v>
      </c>
      <c r="C835" s="9">
        <v>131</v>
      </c>
      <c r="D835" s="149" t="s">
        <v>1630</v>
      </c>
      <c r="E835" s="150">
        <v>45214</v>
      </c>
      <c r="F835" s="9">
        <v>205</v>
      </c>
      <c r="G835" s="9">
        <v>4.8</v>
      </c>
      <c r="H835" s="9">
        <f>IF(MONTH(Call_Table_Data[[#This Row],[Date of Call]])&lt;=6,YEAR(Call_Table_Data[[#This Row],[Date of Call]]),YEAR(Call_Table_Data[[#This Row],[Date of Call]])+1)</f>
        <v>2024</v>
      </c>
      <c r="I835" s="9" t="str">
        <f>TEXT(Call_Table_Data[[#This Row],[Date of Call]],"DDDD")</f>
        <v>Sunday</v>
      </c>
      <c r="J835" s="9" t="str" cm="1">
        <f t="array" ref="J835">_xlfn.IFS(Call_Table_Data[[#This Row],[Duration]]&lt;=10,"Under 10 Mins",Call_Table_Data[[#This Row],[Duration]]&lt;=30,"10 to 30 Mins",Call_Table_Data[[#This Row],[Duration]]&lt;=60,"30 to 60 Mins",Call_Table_Data[[#This Row],[Duration]]&lt;=120,"1 to 2 Hours",TRUE,"More Than 2 Hours")</f>
        <v>More Than 2 Hours</v>
      </c>
      <c r="K835" s="9">
        <f>ROUND(Call_Table_Data[[#This Row],[Satisfaction Rating]],0)</f>
        <v>5</v>
      </c>
    </row>
    <row r="836" spans="1:11" x14ac:dyDescent="0.3">
      <c r="A836" s="9" t="s">
        <v>2462</v>
      </c>
      <c r="B836" s="9" t="s">
        <v>1613</v>
      </c>
      <c r="C836" s="9">
        <v>56</v>
      </c>
      <c r="D836" s="149" t="s">
        <v>1616</v>
      </c>
      <c r="E836" s="150">
        <v>45214</v>
      </c>
      <c r="F836" s="9">
        <v>225</v>
      </c>
      <c r="G836" s="9">
        <v>4.9000000000000004</v>
      </c>
      <c r="H836" s="9">
        <f>IF(MONTH(Call_Table_Data[[#This Row],[Date of Call]])&lt;=6,YEAR(Call_Table_Data[[#This Row],[Date of Call]]),YEAR(Call_Table_Data[[#This Row],[Date of Call]])+1)</f>
        <v>2024</v>
      </c>
      <c r="I836" s="9" t="str">
        <f>TEXT(Call_Table_Data[[#This Row],[Date of Call]],"DDDD")</f>
        <v>Sunday</v>
      </c>
      <c r="J836" s="9" t="str" cm="1">
        <f t="array" ref="J836">_xlfn.IFS(Call_Table_Data[[#This Row],[Duration]]&lt;=10,"Under 10 Mins",Call_Table_Data[[#This Row],[Duration]]&lt;=30,"10 to 30 Mins",Call_Table_Data[[#This Row],[Duration]]&lt;=60,"30 to 60 Mins",Call_Table_Data[[#This Row],[Duration]]&lt;=120,"1 to 2 Hours",TRUE,"More Than 2 Hours")</f>
        <v>30 to 60 Mins</v>
      </c>
      <c r="K836" s="9">
        <f>ROUND(Call_Table_Data[[#This Row],[Satisfaction Rating]],0)</f>
        <v>5</v>
      </c>
    </row>
    <row r="837" spans="1:11" x14ac:dyDescent="0.3">
      <c r="A837" s="9" t="s">
        <v>2463</v>
      </c>
      <c r="B837" s="9" t="s">
        <v>1620</v>
      </c>
      <c r="C837" s="9">
        <v>70</v>
      </c>
      <c r="D837" s="149" t="s">
        <v>1630</v>
      </c>
      <c r="E837" s="150">
        <v>45214</v>
      </c>
      <c r="F837" s="9">
        <v>50</v>
      </c>
      <c r="G837" s="9">
        <v>3.4</v>
      </c>
      <c r="H837" s="9">
        <f>IF(MONTH(Call_Table_Data[[#This Row],[Date of Call]])&lt;=6,YEAR(Call_Table_Data[[#This Row],[Date of Call]]),YEAR(Call_Table_Data[[#This Row],[Date of Call]])+1)</f>
        <v>2024</v>
      </c>
      <c r="I837" s="9" t="str">
        <f>TEXT(Call_Table_Data[[#This Row],[Date of Call]],"DDDD")</f>
        <v>Sunday</v>
      </c>
      <c r="J837" s="9" t="str" cm="1">
        <f t="array" ref="J837">_xlfn.IFS(Call_Table_Data[[#This Row],[Duration]]&lt;=10,"Under 10 Mins",Call_Table_Data[[#This Row],[Duration]]&lt;=30,"10 to 30 Mins",Call_Table_Data[[#This Row],[Duration]]&lt;=60,"30 to 60 Mins",Call_Table_Data[[#This Row],[Duration]]&lt;=120,"1 to 2 Hours",TRUE,"More Than 2 Hours")</f>
        <v>1 to 2 Hours</v>
      </c>
      <c r="K837" s="9">
        <f>ROUND(Call_Table_Data[[#This Row],[Satisfaction Rating]],0)</f>
        <v>3</v>
      </c>
    </row>
    <row r="838" spans="1:11" x14ac:dyDescent="0.3">
      <c r="A838" s="9" t="s">
        <v>2464</v>
      </c>
      <c r="B838" s="9" t="s">
        <v>1620</v>
      </c>
      <c r="C838" s="9">
        <v>55</v>
      </c>
      <c r="D838" s="149" t="s">
        <v>1621</v>
      </c>
      <c r="E838" s="150">
        <v>45214</v>
      </c>
      <c r="F838" s="9">
        <v>80</v>
      </c>
      <c r="G838" s="9">
        <v>4.3</v>
      </c>
      <c r="H838" s="9">
        <f>IF(MONTH(Call_Table_Data[[#This Row],[Date of Call]])&lt;=6,YEAR(Call_Table_Data[[#This Row],[Date of Call]]),YEAR(Call_Table_Data[[#This Row],[Date of Call]])+1)</f>
        <v>2024</v>
      </c>
      <c r="I838" s="9" t="str">
        <f>TEXT(Call_Table_Data[[#This Row],[Date of Call]],"DDDD")</f>
        <v>Sunday</v>
      </c>
      <c r="J838" s="9" t="str" cm="1">
        <f t="array" ref="J838">_xlfn.IFS(Call_Table_Data[[#This Row],[Duration]]&lt;=10,"Under 10 Mins",Call_Table_Data[[#This Row],[Duration]]&lt;=30,"10 to 30 Mins",Call_Table_Data[[#This Row],[Duration]]&lt;=60,"30 to 60 Mins",Call_Table_Data[[#This Row],[Duration]]&lt;=120,"1 to 2 Hours",TRUE,"More Than 2 Hours")</f>
        <v>30 to 60 Mins</v>
      </c>
      <c r="K838" s="9">
        <f>ROUND(Call_Table_Data[[#This Row],[Satisfaction Rating]],0)</f>
        <v>4</v>
      </c>
    </row>
    <row r="839" spans="1:11" x14ac:dyDescent="0.3">
      <c r="A839" s="9" t="s">
        <v>2465</v>
      </c>
      <c r="B839" s="9" t="s">
        <v>1624</v>
      </c>
      <c r="C839" s="9">
        <v>77</v>
      </c>
      <c r="D839" s="149" t="s">
        <v>1616</v>
      </c>
      <c r="E839" s="150">
        <v>45214</v>
      </c>
      <c r="F839" s="9">
        <v>78</v>
      </c>
      <c r="G839" s="9">
        <v>3.9</v>
      </c>
      <c r="H839" s="9">
        <f>IF(MONTH(Call_Table_Data[[#This Row],[Date of Call]])&lt;=6,YEAR(Call_Table_Data[[#This Row],[Date of Call]]),YEAR(Call_Table_Data[[#This Row],[Date of Call]])+1)</f>
        <v>2024</v>
      </c>
      <c r="I839" s="9" t="str">
        <f>TEXT(Call_Table_Data[[#This Row],[Date of Call]],"DDDD")</f>
        <v>Sunday</v>
      </c>
      <c r="J839" s="9" t="str" cm="1">
        <f t="array" ref="J839">_xlfn.IFS(Call_Table_Data[[#This Row],[Duration]]&lt;=10,"Under 10 Mins",Call_Table_Data[[#This Row],[Duration]]&lt;=30,"10 to 30 Mins",Call_Table_Data[[#This Row],[Duration]]&lt;=60,"30 to 60 Mins",Call_Table_Data[[#This Row],[Duration]]&lt;=120,"1 to 2 Hours",TRUE,"More Than 2 Hours")</f>
        <v>1 to 2 Hours</v>
      </c>
      <c r="K839" s="9">
        <f>ROUND(Call_Table_Data[[#This Row],[Satisfaction Rating]],0)</f>
        <v>4</v>
      </c>
    </row>
    <row r="840" spans="1:11" x14ac:dyDescent="0.3">
      <c r="A840" s="9" t="s">
        <v>2466</v>
      </c>
      <c r="B840" s="9" t="s">
        <v>1618</v>
      </c>
      <c r="C840" s="9">
        <v>133</v>
      </c>
      <c r="D840" s="149" t="s">
        <v>1630</v>
      </c>
      <c r="E840" s="150">
        <v>45215</v>
      </c>
      <c r="F840" s="9">
        <v>40</v>
      </c>
      <c r="G840" s="9">
        <v>3.9</v>
      </c>
      <c r="H840" s="9">
        <f>IF(MONTH(Call_Table_Data[[#This Row],[Date of Call]])&lt;=6,YEAR(Call_Table_Data[[#This Row],[Date of Call]]),YEAR(Call_Table_Data[[#This Row],[Date of Call]])+1)</f>
        <v>2024</v>
      </c>
      <c r="I840" s="9" t="str">
        <f>TEXT(Call_Table_Data[[#This Row],[Date of Call]],"DDDD")</f>
        <v>Monday</v>
      </c>
      <c r="J840" s="9" t="str" cm="1">
        <f t="array" ref="J840">_xlfn.IFS(Call_Table_Data[[#This Row],[Duration]]&lt;=10,"Under 10 Mins",Call_Table_Data[[#This Row],[Duration]]&lt;=30,"10 to 30 Mins",Call_Table_Data[[#This Row],[Duration]]&lt;=60,"30 to 60 Mins",Call_Table_Data[[#This Row],[Duration]]&lt;=120,"1 to 2 Hours",TRUE,"More Than 2 Hours")</f>
        <v>More Than 2 Hours</v>
      </c>
      <c r="K840" s="9">
        <f>ROUND(Call_Table_Data[[#This Row],[Satisfaction Rating]],0)</f>
        <v>4</v>
      </c>
    </row>
    <row r="841" spans="1:11" x14ac:dyDescent="0.3">
      <c r="A841" s="9" t="s">
        <v>2467</v>
      </c>
      <c r="B841" s="9" t="s">
        <v>1624</v>
      </c>
      <c r="C841" s="9">
        <v>77</v>
      </c>
      <c r="D841" s="149" t="s">
        <v>1616</v>
      </c>
      <c r="E841" s="150">
        <v>45215</v>
      </c>
      <c r="F841" s="9">
        <v>176</v>
      </c>
      <c r="G841" s="9">
        <v>1.5</v>
      </c>
      <c r="H841" s="9">
        <f>IF(MONTH(Call_Table_Data[[#This Row],[Date of Call]])&lt;=6,YEAR(Call_Table_Data[[#This Row],[Date of Call]]),YEAR(Call_Table_Data[[#This Row],[Date of Call]])+1)</f>
        <v>2024</v>
      </c>
      <c r="I841" s="9" t="str">
        <f>TEXT(Call_Table_Data[[#This Row],[Date of Call]],"DDDD")</f>
        <v>Monday</v>
      </c>
      <c r="J841" s="9" t="str" cm="1">
        <f t="array" ref="J841">_xlfn.IFS(Call_Table_Data[[#This Row],[Duration]]&lt;=10,"Under 10 Mins",Call_Table_Data[[#This Row],[Duration]]&lt;=30,"10 to 30 Mins",Call_Table_Data[[#This Row],[Duration]]&lt;=60,"30 to 60 Mins",Call_Table_Data[[#This Row],[Duration]]&lt;=120,"1 to 2 Hours",TRUE,"More Than 2 Hours")</f>
        <v>1 to 2 Hours</v>
      </c>
      <c r="K841" s="9">
        <f>ROUND(Call_Table_Data[[#This Row],[Satisfaction Rating]],0)</f>
        <v>2</v>
      </c>
    </row>
    <row r="842" spans="1:11" x14ac:dyDescent="0.3">
      <c r="A842" s="9" t="s">
        <v>2468</v>
      </c>
      <c r="B842" s="9" t="s">
        <v>1649</v>
      </c>
      <c r="C842" s="9">
        <v>103</v>
      </c>
      <c r="D842" s="149" t="s">
        <v>1630</v>
      </c>
      <c r="E842" s="150">
        <v>45215</v>
      </c>
      <c r="F842" s="9">
        <v>78</v>
      </c>
      <c r="G842" s="9">
        <v>3</v>
      </c>
      <c r="H842" s="9">
        <f>IF(MONTH(Call_Table_Data[[#This Row],[Date of Call]])&lt;=6,YEAR(Call_Table_Data[[#This Row],[Date of Call]]),YEAR(Call_Table_Data[[#This Row],[Date of Call]])+1)</f>
        <v>2024</v>
      </c>
      <c r="I842" s="9" t="str">
        <f>TEXT(Call_Table_Data[[#This Row],[Date of Call]],"DDDD")</f>
        <v>Monday</v>
      </c>
      <c r="J842" s="9" t="str" cm="1">
        <f t="array" ref="J842">_xlfn.IFS(Call_Table_Data[[#This Row],[Duration]]&lt;=10,"Under 10 Mins",Call_Table_Data[[#This Row],[Duration]]&lt;=30,"10 to 30 Mins",Call_Table_Data[[#This Row],[Duration]]&lt;=60,"30 to 60 Mins",Call_Table_Data[[#This Row],[Duration]]&lt;=120,"1 to 2 Hours",TRUE,"More Than 2 Hours")</f>
        <v>1 to 2 Hours</v>
      </c>
      <c r="K842" s="9">
        <f>ROUND(Call_Table_Data[[#This Row],[Satisfaction Rating]],0)</f>
        <v>3</v>
      </c>
    </row>
    <row r="843" spans="1:11" x14ac:dyDescent="0.3">
      <c r="A843" s="9" t="s">
        <v>2469</v>
      </c>
      <c r="B843" s="9" t="s">
        <v>1682</v>
      </c>
      <c r="C843" s="9">
        <v>32</v>
      </c>
      <c r="D843" s="149" t="s">
        <v>1616</v>
      </c>
      <c r="E843" s="150">
        <v>45215</v>
      </c>
      <c r="F843" s="9">
        <v>42</v>
      </c>
      <c r="G843" s="9">
        <v>4.2</v>
      </c>
      <c r="H843" s="9">
        <f>IF(MONTH(Call_Table_Data[[#This Row],[Date of Call]])&lt;=6,YEAR(Call_Table_Data[[#This Row],[Date of Call]]),YEAR(Call_Table_Data[[#This Row],[Date of Call]])+1)</f>
        <v>2024</v>
      </c>
      <c r="I843" s="9" t="str">
        <f>TEXT(Call_Table_Data[[#This Row],[Date of Call]],"DDDD")</f>
        <v>Monday</v>
      </c>
      <c r="J843" s="9" t="str" cm="1">
        <f t="array" ref="J843">_xlfn.IFS(Call_Table_Data[[#This Row],[Duration]]&lt;=10,"Under 10 Mins",Call_Table_Data[[#This Row],[Duration]]&lt;=30,"10 to 30 Mins",Call_Table_Data[[#This Row],[Duration]]&lt;=60,"30 to 60 Mins",Call_Table_Data[[#This Row],[Duration]]&lt;=120,"1 to 2 Hours",TRUE,"More Than 2 Hours")</f>
        <v>30 to 60 Mins</v>
      </c>
      <c r="K843" s="9">
        <f>ROUND(Call_Table_Data[[#This Row],[Satisfaction Rating]],0)</f>
        <v>4</v>
      </c>
    </row>
    <row r="844" spans="1:11" x14ac:dyDescent="0.3">
      <c r="A844" s="9" t="s">
        <v>2470</v>
      </c>
      <c r="B844" s="9" t="s">
        <v>1618</v>
      </c>
      <c r="C844" s="9">
        <v>30</v>
      </c>
      <c r="D844" s="149" t="s">
        <v>1630</v>
      </c>
      <c r="E844" s="150">
        <v>45215</v>
      </c>
      <c r="F844" s="9">
        <v>38</v>
      </c>
      <c r="G844" s="9">
        <v>3.7</v>
      </c>
      <c r="H844" s="9">
        <f>IF(MONTH(Call_Table_Data[[#This Row],[Date of Call]])&lt;=6,YEAR(Call_Table_Data[[#This Row],[Date of Call]]),YEAR(Call_Table_Data[[#This Row],[Date of Call]])+1)</f>
        <v>2024</v>
      </c>
      <c r="I844" s="9" t="str">
        <f>TEXT(Call_Table_Data[[#This Row],[Date of Call]],"DDDD")</f>
        <v>Monday</v>
      </c>
      <c r="J844" s="9" t="str" cm="1">
        <f t="array" ref="J844">_xlfn.IFS(Call_Table_Data[[#This Row],[Duration]]&lt;=10,"Under 10 Mins",Call_Table_Data[[#This Row],[Duration]]&lt;=30,"10 to 30 Mins",Call_Table_Data[[#This Row],[Duration]]&lt;=60,"30 to 60 Mins",Call_Table_Data[[#This Row],[Duration]]&lt;=120,"1 to 2 Hours",TRUE,"More Than 2 Hours")</f>
        <v>10 to 30 Mins</v>
      </c>
      <c r="K844" s="9">
        <f>ROUND(Call_Table_Data[[#This Row],[Satisfaction Rating]],0)</f>
        <v>4</v>
      </c>
    </row>
    <row r="845" spans="1:11" x14ac:dyDescent="0.3">
      <c r="A845" s="9" t="s">
        <v>2471</v>
      </c>
      <c r="B845" s="9" t="s">
        <v>1615</v>
      </c>
      <c r="C845" s="9">
        <v>87</v>
      </c>
      <c r="D845" s="149" t="s">
        <v>1626</v>
      </c>
      <c r="E845" s="150">
        <v>45215</v>
      </c>
      <c r="F845" s="9">
        <v>27</v>
      </c>
      <c r="G845" s="9">
        <v>4.2</v>
      </c>
      <c r="H845" s="9">
        <f>IF(MONTH(Call_Table_Data[[#This Row],[Date of Call]])&lt;=6,YEAR(Call_Table_Data[[#This Row],[Date of Call]]),YEAR(Call_Table_Data[[#This Row],[Date of Call]])+1)</f>
        <v>2024</v>
      </c>
      <c r="I845" s="9" t="str">
        <f>TEXT(Call_Table_Data[[#This Row],[Date of Call]],"DDDD")</f>
        <v>Monday</v>
      </c>
      <c r="J845" s="9" t="str" cm="1">
        <f t="array" ref="J845">_xlfn.IFS(Call_Table_Data[[#This Row],[Duration]]&lt;=10,"Under 10 Mins",Call_Table_Data[[#This Row],[Duration]]&lt;=30,"10 to 30 Mins",Call_Table_Data[[#This Row],[Duration]]&lt;=60,"30 to 60 Mins",Call_Table_Data[[#This Row],[Duration]]&lt;=120,"1 to 2 Hours",TRUE,"More Than 2 Hours")</f>
        <v>1 to 2 Hours</v>
      </c>
      <c r="K845" s="9">
        <f>ROUND(Call_Table_Data[[#This Row],[Satisfaction Rating]],0)</f>
        <v>4</v>
      </c>
    </row>
    <row r="846" spans="1:11" x14ac:dyDescent="0.3">
      <c r="A846" s="9" t="s">
        <v>2472</v>
      </c>
      <c r="B846" s="9" t="s">
        <v>1624</v>
      </c>
      <c r="C846" s="9">
        <v>137</v>
      </c>
      <c r="D846" s="149" t="s">
        <v>1611</v>
      </c>
      <c r="E846" s="150">
        <v>45216</v>
      </c>
      <c r="F846" s="9">
        <v>45</v>
      </c>
      <c r="G846" s="9">
        <v>4.4000000000000004</v>
      </c>
      <c r="H846" s="9">
        <f>IF(MONTH(Call_Table_Data[[#This Row],[Date of Call]])&lt;=6,YEAR(Call_Table_Data[[#This Row],[Date of Call]]),YEAR(Call_Table_Data[[#This Row],[Date of Call]])+1)</f>
        <v>2024</v>
      </c>
      <c r="I846" s="9" t="str">
        <f>TEXT(Call_Table_Data[[#This Row],[Date of Call]],"DDDD")</f>
        <v>Tuesday</v>
      </c>
      <c r="J846" s="9" t="str" cm="1">
        <f t="array" ref="J846">_xlfn.IFS(Call_Table_Data[[#This Row],[Duration]]&lt;=10,"Under 10 Mins",Call_Table_Data[[#This Row],[Duration]]&lt;=30,"10 to 30 Mins",Call_Table_Data[[#This Row],[Duration]]&lt;=60,"30 to 60 Mins",Call_Table_Data[[#This Row],[Duration]]&lt;=120,"1 to 2 Hours",TRUE,"More Than 2 Hours")</f>
        <v>More Than 2 Hours</v>
      </c>
      <c r="K846" s="9">
        <f>ROUND(Call_Table_Data[[#This Row],[Satisfaction Rating]],0)</f>
        <v>4</v>
      </c>
    </row>
    <row r="847" spans="1:11" x14ac:dyDescent="0.3">
      <c r="A847" s="9" t="s">
        <v>2473</v>
      </c>
      <c r="B847" s="9" t="s">
        <v>1633</v>
      </c>
      <c r="C847" s="9">
        <v>96</v>
      </c>
      <c r="D847" s="149" t="s">
        <v>1630</v>
      </c>
      <c r="E847" s="150">
        <v>45216</v>
      </c>
      <c r="F847" s="9">
        <v>215</v>
      </c>
      <c r="G847" s="9">
        <v>4</v>
      </c>
      <c r="H847" s="9">
        <f>IF(MONTH(Call_Table_Data[[#This Row],[Date of Call]])&lt;=6,YEAR(Call_Table_Data[[#This Row],[Date of Call]]),YEAR(Call_Table_Data[[#This Row],[Date of Call]])+1)</f>
        <v>2024</v>
      </c>
      <c r="I847" s="9" t="str">
        <f>TEXT(Call_Table_Data[[#This Row],[Date of Call]],"DDDD")</f>
        <v>Tuesday</v>
      </c>
      <c r="J847" s="9" t="str" cm="1">
        <f t="array" ref="J847">_xlfn.IFS(Call_Table_Data[[#This Row],[Duration]]&lt;=10,"Under 10 Mins",Call_Table_Data[[#This Row],[Duration]]&lt;=30,"10 to 30 Mins",Call_Table_Data[[#This Row],[Duration]]&lt;=60,"30 to 60 Mins",Call_Table_Data[[#This Row],[Duration]]&lt;=120,"1 to 2 Hours",TRUE,"More Than 2 Hours")</f>
        <v>1 to 2 Hours</v>
      </c>
      <c r="K847" s="9">
        <f>ROUND(Call_Table_Data[[#This Row],[Satisfaction Rating]],0)</f>
        <v>4</v>
      </c>
    </row>
    <row r="848" spans="1:11" x14ac:dyDescent="0.3">
      <c r="A848" s="9" t="s">
        <v>2474</v>
      </c>
      <c r="B848" s="9" t="s">
        <v>1629</v>
      </c>
      <c r="C848" s="9">
        <v>155</v>
      </c>
      <c r="D848" s="149" t="s">
        <v>1630</v>
      </c>
      <c r="E848" s="150">
        <v>45217</v>
      </c>
      <c r="F848" s="9">
        <v>72</v>
      </c>
      <c r="G848" s="9">
        <v>4.7</v>
      </c>
      <c r="H848" s="9">
        <f>IF(MONTH(Call_Table_Data[[#This Row],[Date of Call]])&lt;=6,YEAR(Call_Table_Data[[#This Row],[Date of Call]]),YEAR(Call_Table_Data[[#This Row],[Date of Call]])+1)</f>
        <v>2024</v>
      </c>
      <c r="I848" s="9" t="str">
        <f>TEXT(Call_Table_Data[[#This Row],[Date of Call]],"DDDD")</f>
        <v>Wednesday</v>
      </c>
      <c r="J848" s="9" t="str" cm="1">
        <f t="array" ref="J848">_xlfn.IFS(Call_Table_Data[[#This Row],[Duration]]&lt;=10,"Under 10 Mins",Call_Table_Data[[#This Row],[Duration]]&lt;=30,"10 to 30 Mins",Call_Table_Data[[#This Row],[Duration]]&lt;=60,"30 to 60 Mins",Call_Table_Data[[#This Row],[Duration]]&lt;=120,"1 to 2 Hours",TRUE,"More Than 2 Hours")</f>
        <v>More Than 2 Hours</v>
      </c>
      <c r="K848" s="9">
        <f>ROUND(Call_Table_Data[[#This Row],[Satisfaction Rating]],0)</f>
        <v>5</v>
      </c>
    </row>
    <row r="849" spans="1:11" x14ac:dyDescent="0.3">
      <c r="A849" s="9" t="s">
        <v>2475</v>
      </c>
      <c r="B849" s="9" t="s">
        <v>1618</v>
      </c>
      <c r="C849" s="9">
        <v>173</v>
      </c>
      <c r="D849" s="149" t="s">
        <v>1621</v>
      </c>
      <c r="E849" s="150">
        <v>45217</v>
      </c>
      <c r="F849" s="9">
        <v>160</v>
      </c>
      <c r="G849" s="9">
        <v>2.8</v>
      </c>
      <c r="H849" s="9">
        <f>IF(MONTH(Call_Table_Data[[#This Row],[Date of Call]])&lt;=6,YEAR(Call_Table_Data[[#This Row],[Date of Call]]),YEAR(Call_Table_Data[[#This Row],[Date of Call]])+1)</f>
        <v>2024</v>
      </c>
      <c r="I849" s="9" t="str">
        <f>TEXT(Call_Table_Data[[#This Row],[Date of Call]],"DDDD")</f>
        <v>Wednesday</v>
      </c>
      <c r="J849" s="9" t="str" cm="1">
        <f t="array" ref="J849">_xlfn.IFS(Call_Table_Data[[#This Row],[Duration]]&lt;=10,"Under 10 Mins",Call_Table_Data[[#This Row],[Duration]]&lt;=30,"10 to 30 Mins",Call_Table_Data[[#This Row],[Duration]]&lt;=60,"30 to 60 Mins",Call_Table_Data[[#This Row],[Duration]]&lt;=120,"1 to 2 Hours",TRUE,"More Than 2 Hours")</f>
        <v>More Than 2 Hours</v>
      </c>
      <c r="K849" s="9">
        <f>ROUND(Call_Table_Data[[#This Row],[Satisfaction Rating]],0)</f>
        <v>3</v>
      </c>
    </row>
    <row r="850" spans="1:11" x14ac:dyDescent="0.3">
      <c r="A850" s="9" t="s">
        <v>2476</v>
      </c>
      <c r="B850" s="9" t="s">
        <v>1629</v>
      </c>
      <c r="C850" s="9">
        <v>127</v>
      </c>
      <c r="D850" s="149" t="s">
        <v>1630</v>
      </c>
      <c r="E850" s="150">
        <v>45217</v>
      </c>
      <c r="F850" s="9">
        <v>165</v>
      </c>
      <c r="G850" s="9">
        <v>2.5</v>
      </c>
      <c r="H850" s="9">
        <f>IF(MONTH(Call_Table_Data[[#This Row],[Date of Call]])&lt;=6,YEAR(Call_Table_Data[[#This Row],[Date of Call]]),YEAR(Call_Table_Data[[#This Row],[Date of Call]])+1)</f>
        <v>2024</v>
      </c>
      <c r="I850" s="9" t="str">
        <f>TEXT(Call_Table_Data[[#This Row],[Date of Call]],"DDDD")</f>
        <v>Wednesday</v>
      </c>
      <c r="J850" s="9" t="str" cm="1">
        <f t="array" ref="J850">_xlfn.IFS(Call_Table_Data[[#This Row],[Duration]]&lt;=10,"Under 10 Mins",Call_Table_Data[[#This Row],[Duration]]&lt;=30,"10 to 30 Mins",Call_Table_Data[[#This Row],[Duration]]&lt;=60,"30 to 60 Mins",Call_Table_Data[[#This Row],[Duration]]&lt;=120,"1 to 2 Hours",TRUE,"More Than 2 Hours")</f>
        <v>More Than 2 Hours</v>
      </c>
      <c r="K850" s="9">
        <f>ROUND(Call_Table_Data[[#This Row],[Satisfaction Rating]],0)</f>
        <v>3</v>
      </c>
    </row>
    <row r="851" spans="1:11" x14ac:dyDescent="0.3">
      <c r="A851" s="9" t="s">
        <v>2477</v>
      </c>
      <c r="B851" s="9" t="s">
        <v>1613</v>
      </c>
      <c r="C851" s="9">
        <v>117</v>
      </c>
      <c r="D851" s="149" t="s">
        <v>1621</v>
      </c>
      <c r="E851" s="150">
        <v>45217</v>
      </c>
      <c r="F851" s="9">
        <v>120</v>
      </c>
      <c r="G851" s="9">
        <v>3.4</v>
      </c>
      <c r="H851" s="9">
        <f>IF(MONTH(Call_Table_Data[[#This Row],[Date of Call]])&lt;=6,YEAR(Call_Table_Data[[#This Row],[Date of Call]]),YEAR(Call_Table_Data[[#This Row],[Date of Call]])+1)</f>
        <v>2024</v>
      </c>
      <c r="I851" s="9" t="str">
        <f>TEXT(Call_Table_Data[[#This Row],[Date of Call]],"DDDD")</f>
        <v>Wednesday</v>
      </c>
      <c r="J851" s="9" t="str" cm="1">
        <f t="array" ref="J851">_xlfn.IFS(Call_Table_Data[[#This Row],[Duration]]&lt;=10,"Under 10 Mins",Call_Table_Data[[#This Row],[Duration]]&lt;=30,"10 to 30 Mins",Call_Table_Data[[#This Row],[Duration]]&lt;=60,"30 to 60 Mins",Call_Table_Data[[#This Row],[Duration]]&lt;=120,"1 to 2 Hours",TRUE,"More Than 2 Hours")</f>
        <v>1 to 2 Hours</v>
      </c>
      <c r="K851" s="9">
        <f>ROUND(Call_Table_Data[[#This Row],[Satisfaction Rating]],0)</f>
        <v>3</v>
      </c>
    </row>
    <row r="852" spans="1:11" x14ac:dyDescent="0.3">
      <c r="A852" s="9" t="s">
        <v>2478</v>
      </c>
      <c r="B852" s="9" t="s">
        <v>1610</v>
      </c>
      <c r="C852" s="9">
        <v>133</v>
      </c>
      <c r="D852" s="149" t="s">
        <v>1616</v>
      </c>
      <c r="E852" s="150">
        <v>45217</v>
      </c>
      <c r="F852" s="9">
        <v>117</v>
      </c>
      <c r="G852" s="9">
        <v>4.8</v>
      </c>
      <c r="H852" s="9">
        <f>IF(MONTH(Call_Table_Data[[#This Row],[Date of Call]])&lt;=6,YEAR(Call_Table_Data[[#This Row],[Date of Call]]),YEAR(Call_Table_Data[[#This Row],[Date of Call]])+1)</f>
        <v>2024</v>
      </c>
      <c r="I852" s="9" t="str">
        <f>TEXT(Call_Table_Data[[#This Row],[Date of Call]],"DDDD")</f>
        <v>Wednesday</v>
      </c>
      <c r="J852" s="9" t="str" cm="1">
        <f t="array" ref="J852">_xlfn.IFS(Call_Table_Data[[#This Row],[Duration]]&lt;=10,"Under 10 Mins",Call_Table_Data[[#This Row],[Duration]]&lt;=30,"10 to 30 Mins",Call_Table_Data[[#This Row],[Duration]]&lt;=60,"30 to 60 Mins",Call_Table_Data[[#This Row],[Duration]]&lt;=120,"1 to 2 Hours",TRUE,"More Than 2 Hours")</f>
        <v>More Than 2 Hours</v>
      </c>
      <c r="K852" s="9">
        <f>ROUND(Call_Table_Data[[#This Row],[Satisfaction Rating]],0)</f>
        <v>5</v>
      </c>
    </row>
    <row r="853" spans="1:11" x14ac:dyDescent="0.3">
      <c r="A853" s="9" t="s">
        <v>2479</v>
      </c>
      <c r="B853" s="9" t="s">
        <v>1635</v>
      </c>
      <c r="C853" s="9">
        <v>166</v>
      </c>
      <c r="D853" s="149" t="s">
        <v>1626</v>
      </c>
      <c r="E853" s="150">
        <v>45218</v>
      </c>
      <c r="F853" s="9">
        <v>29</v>
      </c>
      <c r="G853" s="9">
        <v>4.3</v>
      </c>
      <c r="H853" s="9">
        <f>IF(MONTH(Call_Table_Data[[#This Row],[Date of Call]])&lt;=6,YEAR(Call_Table_Data[[#This Row],[Date of Call]]),YEAR(Call_Table_Data[[#This Row],[Date of Call]])+1)</f>
        <v>2024</v>
      </c>
      <c r="I853" s="9" t="str">
        <f>TEXT(Call_Table_Data[[#This Row],[Date of Call]],"DDDD")</f>
        <v>Thursday</v>
      </c>
      <c r="J853" s="9" t="str" cm="1">
        <f t="array" ref="J853">_xlfn.IFS(Call_Table_Data[[#This Row],[Duration]]&lt;=10,"Under 10 Mins",Call_Table_Data[[#This Row],[Duration]]&lt;=30,"10 to 30 Mins",Call_Table_Data[[#This Row],[Duration]]&lt;=60,"30 to 60 Mins",Call_Table_Data[[#This Row],[Duration]]&lt;=120,"1 to 2 Hours",TRUE,"More Than 2 Hours")</f>
        <v>More Than 2 Hours</v>
      </c>
      <c r="K853" s="9">
        <f>ROUND(Call_Table_Data[[#This Row],[Satisfaction Rating]],0)</f>
        <v>4</v>
      </c>
    </row>
    <row r="854" spans="1:11" x14ac:dyDescent="0.3">
      <c r="A854" s="9" t="s">
        <v>2480</v>
      </c>
      <c r="B854" s="9" t="s">
        <v>1610</v>
      </c>
      <c r="C854" s="9">
        <v>50</v>
      </c>
      <c r="D854" s="149" t="s">
        <v>1621</v>
      </c>
      <c r="E854" s="150">
        <v>45218</v>
      </c>
      <c r="F854" s="9">
        <v>64</v>
      </c>
      <c r="G854" s="9">
        <v>4.5</v>
      </c>
      <c r="H854" s="9">
        <f>IF(MONTH(Call_Table_Data[[#This Row],[Date of Call]])&lt;=6,YEAR(Call_Table_Data[[#This Row],[Date of Call]]),YEAR(Call_Table_Data[[#This Row],[Date of Call]])+1)</f>
        <v>2024</v>
      </c>
      <c r="I854" s="9" t="str">
        <f>TEXT(Call_Table_Data[[#This Row],[Date of Call]],"DDDD")</f>
        <v>Thursday</v>
      </c>
      <c r="J854" s="9" t="str" cm="1">
        <f t="array" ref="J854">_xlfn.IFS(Call_Table_Data[[#This Row],[Duration]]&lt;=10,"Under 10 Mins",Call_Table_Data[[#This Row],[Duration]]&lt;=30,"10 to 30 Mins",Call_Table_Data[[#This Row],[Duration]]&lt;=60,"30 to 60 Mins",Call_Table_Data[[#This Row],[Duration]]&lt;=120,"1 to 2 Hours",TRUE,"More Than 2 Hours")</f>
        <v>30 to 60 Mins</v>
      </c>
      <c r="K854" s="9">
        <f>ROUND(Call_Table_Data[[#This Row],[Satisfaction Rating]],0)</f>
        <v>5</v>
      </c>
    </row>
    <row r="855" spans="1:11" x14ac:dyDescent="0.3">
      <c r="A855" s="9" t="s">
        <v>2481</v>
      </c>
      <c r="B855" s="9" t="s">
        <v>1649</v>
      </c>
      <c r="C855" s="9">
        <v>43</v>
      </c>
      <c r="D855" s="149" t="s">
        <v>1616</v>
      </c>
      <c r="E855" s="150">
        <v>45218</v>
      </c>
      <c r="F855" s="9">
        <v>84</v>
      </c>
      <c r="G855" s="9">
        <v>3.6</v>
      </c>
      <c r="H855" s="9">
        <f>IF(MONTH(Call_Table_Data[[#This Row],[Date of Call]])&lt;=6,YEAR(Call_Table_Data[[#This Row],[Date of Call]]),YEAR(Call_Table_Data[[#This Row],[Date of Call]])+1)</f>
        <v>2024</v>
      </c>
      <c r="I855" s="9" t="str">
        <f>TEXT(Call_Table_Data[[#This Row],[Date of Call]],"DDDD")</f>
        <v>Thursday</v>
      </c>
      <c r="J855" s="9" t="str" cm="1">
        <f t="array" ref="J855">_xlfn.IFS(Call_Table_Data[[#This Row],[Duration]]&lt;=10,"Under 10 Mins",Call_Table_Data[[#This Row],[Duration]]&lt;=30,"10 to 30 Mins",Call_Table_Data[[#This Row],[Duration]]&lt;=60,"30 to 60 Mins",Call_Table_Data[[#This Row],[Duration]]&lt;=120,"1 to 2 Hours",TRUE,"More Than 2 Hours")</f>
        <v>30 to 60 Mins</v>
      </c>
      <c r="K855" s="9">
        <f>ROUND(Call_Table_Data[[#This Row],[Satisfaction Rating]],0)</f>
        <v>4</v>
      </c>
    </row>
    <row r="856" spans="1:11" x14ac:dyDescent="0.3">
      <c r="A856" s="9" t="s">
        <v>2482</v>
      </c>
      <c r="B856" s="9" t="s">
        <v>1633</v>
      </c>
      <c r="C856" s="9">
        <v>124</v>
      </c>
      <c r="D856" s="149" t="s">
        <v>1630</v>
      </c>
      <c r="E856" s="150">
        <v>45218</v>
      </c>
      <c r="F856" s="9">
        <v>42</v>
      </c>
      <c r="G856" s="9">
        <v>3.7</v>
      </c>
      <c r="H856" s="9">
        <f>IF(MONTH(Call_Table_Data[[#This Row],[Date of Call]])&lt;=6,YEAR(Call_Table_Data[[#This Row],[Date of Call]]),YEAR(Call_Table_Data[[#This Row],[Date of Call]])+1)</f>
        <v>2024</v>
      </c>
      <c r="I856" s="9" t="str">
        <f>TEXT(Call_Table_Data[[#This Row],[Date of Call]],"DDDD")</f>
        <v>Thursday</v>
      </c>
      <c r="J856" s="9" t="str" cm="1">
        <f t="array" ref="J856">_xlfn.IFS(Call_Table_Data[[#This Row],[Duration]]&lt;=10,"Under 10 Mins",Call_Table_Data[[#This Row],[Duration]]&lt;=30,"10 to 30 Mins",Call_Table_Data[[#This Row],[Duration]]&lt;=60,"30 to 60 Mins",Call_Table_Data[[#This Row],[Duration]]&lt;=120,"1 to 2 Hours",TRUE,"More Than 2 Hours")</f>
        <v>More Than 2 Hours</v>
      </c>
      <c r="K856" s="9">
        <f>ROUND(Call_Table_Data[[#This Row],[Satisfaction Rating]],0)</f>
        <v>4</v>
      </c>
    </row>
    <row r="857" spans="1:11" x14ac:dyDescent="0.3">
      <c r="A857" s="9" t="s">
        <v>2483</v>
      </c>
      <c r="B857" s="9" t="s">
        <v>1618</v>
      </c>
      <c r="C857" s="9">
        <v>94</v>
      </c>
      <c r="D857" s="149" t="s">
        <v>1630</v>
      </c>
      <c r="E857" s="150">
        <v>45218</v>
      </c>
      <c r="F857" s="9">
        <v>120</v>
      </c>
      <c r="G857" s="9">
        <v>3.5</v>
      </c>
      <c r="H857" s="9">
        <f>IF(MONTH(Call_Table_Data[[#This Row],[Date of Call]])&lt;=6,YEAR(Call_Table_Data[[#This Row],[Date of Call]]),YEAR(Call_Table_Data[[#This Row],[Date of Call]])+1)</f>
        <v>2024</v>
      </c>
      <c r="I857" s="9" t="str">
        <f>TEXT(Call_Table_Data[[#This Row],[Date of Call]],"DDDD")</f>
        <v>Thursday</v>
      </c>
      <c r="J857" s="9" t="str" cm="1">
        <f t="array" ref="J857">_xlfn.IFS(Call_Table_Data[[#This Row],[Duration]]&lt;=10,"Under 10 Mins",Call_Table_Data[[#This Row],[Duration]]&lt;=30,"10 to 30 Mins",Call_Table_Data[[#This Row],[Duration]]&lt;=60,"30 to 60 Mins",Call_Table_Data[[#This Row],[Duration]]&lt;=120,"1 to 2 Hours",TRUE,"More Than 2 Hours")</f>
        <v>1 to 2 Hours</v>
      </c>
      <c r="K857" s="9">
        <f>ROUND(Call_Table_Data[[#This Row],[Satisfaction Rating]],0)</f>
        <v>4</v>
      </c>
    </row>
    <row r="858" spans="1:11" x14ac:dyDescent="0.3">
      <c r="A858" s="9" t="s">
        <v>2484</v>
      </c>
      <c r="B858" s="9" t="s">
        <v>1649</v>
      </c>
      <c r="C858" s="9">
        <v>126</v>
      </c>
      <c r="D858" s="149" t="s">
        <v>1626</v>
      </c>
      <c r="E858" s="150">
        <v>45219</v>
      </c>
      <c r="F858" s="9">
        <v>80</v>
      </c>
      <c r="G858" s="9">
        <v>4.7</v>
      </c>
      <c r="H858" s="9">
        <f>IF(MONTH(Call_Table_Data[[#This Row],[Date of Call]])&lt;=6,YEAR(Call_Table_Data[[#This Row],[Date of Call]]),YEAR(Call_Table_Data[[#This Row],[Date of Call]])+1)</f>
        <v>2024</v>
      </c>
      <c r="I858" s="9" t="str">
        <f>TEXT(Call_Table_Data[[#This Row],[Date of Call]],"DDDD")</f>
        <v>Friday</v>
      </c>
      <c r="J858" s="9" t="str" cm="1">
        <f t="array" ref="J858">_xlfn.IFS(Call_Table_Data[[#This Row],[Duration]]&lt;=10,"Under 10 Mins",Call_Table_Data[[#This Row],[Duration]]&lt;=30,"10 to 30 Mins",Call_Table_Data[[#This Row],[Duration]]&lt;=60,"30 to 60 Mins",Call_Table_Data[[#This Row],[Duration]]&lt;=120,"1 to 2 Hours",TRUE,"More Than 2 Hours")</f>
        <v>More Than 2 Hours</v>
      </c>
      <c r="K858" s="9">
        <f>ROUND(Call_Table_Data[[#This Row],[Satisfaction Rating]],0)</f>
        <v>5</v>
      </c>
    </row>
    <row r="859" spans="1:11" x14ac:dyDescent="0.3">
      <c r="A859" s="9" t="s">
        <v>2485</v>
      </c>
      <c r="B859" s="9" t="s">
        <v>1635</v>
      </c>
      <c r="C859" s="9">
        <v>105</v>
      </c>
      <c r="D859" s="149" t="s">
        <v>1621</v>
      </c>
      <c r="E859" s="150">
        <v>45219</v>
      </c>
      <c r="F859" s="9">
        <v>185</v>
      </c>
      <c r="G859" s="9">
        <v>3.5</v>
      </c>
      <c r="H859" s="9">
        <f>IF(MONTH(Call_Table_Data[[#This Row],[Date of Call]])&lt;=6,YEAR(Call_Table_Data[[#This Row],[Date of Call]]),YEAR(Call_Table_Data[[#This Row],[Date of Call]])+1)</f>
        <v>2024</v>
      </c>
      <c r="I859" s="9" t="str">
        <f>TEXT(Call_Table_Data[[#This Row],[Date of Call]],"DDDD")</f>
        <v>Friday</v>
      </c>
      <c r="J859" s="9" t="str" cm="1">
        <f t="array" ref="J859">_xlfn.IFS(Call_Table_Data[[#This Row],[Duration]]&lt;=10,"Under 10 Mins",Call_Table_Data[[#This Row],[Duration]]&lt;=30,"10 to 30 Mins",Call_Table_Data[[#This Row],[Duration]]&lt;=60,"30 to 60 Mins",Call_Table_Data[[#This Row],[Duration]]&lt;=120,"1 to 2 Hours",TRUE,"More Than 2 Hours")</f>
        <v>1 to 2 Hours</v>
      </c>
      <c r="K859" s="9">
        <f>ROUND(Call_Table_Data[[#This Row],[Satisfaction Rating]],0)</f>
        <v>4</v>
      </c>
    </row>
    <row r="860" spans="1:11" x14ac:dyDescent="0.3">
      <c r="A860" s="9" t="s">
        <v>2486</v>
      </c>
      <c r="B860" s="9" t="s">
        <v>1620</v>
      </c>
      <c r="C860" s="9">
        <v>60</v>
      </c>
      <c r="D860" s="149" t="s">
        <v>1611</v>
      </c>
      <c r="E860" s="150">
        <v>45220</v>
      </c>
      <c r="F860" s="9">
        <v>135</v>
      </c>
      <c r="G860" s="9">
        <v>3.9</v>
      </c>
      <c r="H860" s="9">
        <f>IF(MONTH(Call_Table_Data[[#This Row],[Date of Call]])&lt;=6,YEAR(Call_Table_Data[[#This Row],[Date of Call]]),YEAR(Call_Table_Data[[#This Row],[Date of Call]])+1)</f>
        <v>2024</v>
      </c>
      <c r="I860" s="9" t="str">
        <f>TEXT(Call_Table_Data[[#This Row],[Date of Call]],"DDDD")</f>
        <v>Saturday</v>
      </c>
      <c r="J860" s="9" t="str" cm="1">
        <f t="array" ref="J860">_xlfn.IFS(Call_Table_Data[[#This Row],[Duration]]&lt;=10,"Under 10 Mins",Call_Table_Data[[#This Row],[Duration]]&lt;=30,"10 to 30 Mins",Call_Table_Data[[#This Row],[Duration]]&lt;=60,"30 to 60 Mins",Call_Table_Data[[#This Row],[Duration]]&lt;=120,"1 to 2 Hours",TRUE,"More Than 2 Hours")</f>
        <v>30 to 60 Mins</v>
      </c>
      <c r="K860" s="9">
        <f>ROUND(Call_Table_Data[[#This Row],[Satisfaction Rating]],0)</f>
        <v>4</v>
      </c>
    </row>
    <row r="861" spans="1:11" x14ac:dyDescent="0.3">
      <c r="A861" s="9" t="s">
        <v>2487</v>
      </c>
      <c r="B861" s="9" t="s">
        <v>1620</v>
      </c>
      <c r="C861" s="9">
        <v>72</v>
      </c>
      <c r="D861" s="149" t="s">
        <v>1621</v>
      </c>
      <c r="E861" s="150">
        <v>45220</v>
      </c>
      <c r="F861" s="9">
        <v>20</v>
      </c>
      <c r="G861" s="9">
        <v>4.8</v>
      </c>
      <c r="H861" s="9">
        <f>IF(MONTH(Call_Table_Data[[#This Row],[Date of Call]])&lt;=6,YEAR(Call_Table_Data[[#This Row],[Date of Call]]),YEAR(Call_Table_Data[[#This Row],[Date of Call]])+1)</f>
        <v>2024</v>
      </c>
      <c r="I861" s="9" t="str">
        <f>TEXT(Call_Table_Data[[#This Row],[Date of Call]],"DDDD")</f>
        <v>Saturday</v>
      </c>
      <c r="J861" s="9" t="str" cm="1">
        <f t="array" ref="J861">_xlfn.IFS(Call_Table_Data[[#This Row],[Duration]]&lt;=10,"Under 10 Mins",Call_Table_Data[[#This Row],[Duration]]&lt;=30,"10 to 30 Mins",Call_Table_Data[[#This Row],[Duration]]&lt;=60,"30 to 60 Mins",Call_Table_Data[[#This Row],[Duration]]&lt;=120,"1 to 2 Hours",TRUE,"More Than 2 Hours")</f>
        <v>1 to 2 Hours</v>
      </c>
      <c r="K861" s="9">
        <f>ROUND(Call_Table_Data[[#This Row],[Satisfaction Rating]],0)</f>
        <v>5</v>
      </c>
    </row>
    <row r="862" spans="1:11" x14ac:dyDescent="0.3">
      <c r="A862" s="9" t="s">
        <v>2488</v>
      </c>
      <c r="B862" s="9" t="s">
        <v>1652</v>
      </c>
      <c r="C862" s="9">
        <v>40</v>
      </c>
      <c r="D862" s="149" t="s">
        <v>1621</v>
      </c>
      <c r="E862" s="150">
        <v>45220</v>
      </c>
      <c r="F862" s="9">
        <v>31</v>
      </c>
      <c r="G862" s="9">
        <v>4</v>
      </c>
      <c r="H862" s="9">
        <f>IF(MONTH(Call_Table_Data[[#This Row],[Date of Call]])&lt;=6,YEAR(Call_Table_Data[[#This Row],[Date of Call]]),YEAR(Call_Table_Data[[#This Row],[Date of Call]])+1)</f>
        <v>2024</v>
      </c>
      <c r="I862" s="9" t="str">
        <f>TEXT(Call_Table_Data[[#This Row],[Date of Call]],"DDDD")</f>
        <v>Saturday</v>
      </c>
      <c r="J862" s="9" t="str" cm="1">
        <f t="array" ref="J862">_xlfn.IFS(Call_Table_Data[[#This Row],[Duration]]&lt;=10,"Under 10 Mins",Call_Table_Data[[#This Row],[Duration]]&lt;=30,"10 to 30 Mins",Call_Table_Data[[#This Row],[Duration]]&lt;=60,"30 to 60 Mins",Call_Table_Data[[#This Row],[Duration]]&lt;=120,"1 to 2 Hours",TRUE,"More Than 2 Hours")</f>
        <v>30 to 60 Mins</v>
      </c>
      <c r="K862" s="9">
        <f>ROUND(Call_Table_Data[[#This Row],[Satisfaction Rating]],0)</f>
        <v>4</v>
      </c>
    </row>
    <row r="863" spans="1:11" x14ac:dyDescent="0.3">
      <c r="A863" s="9" t="s">
        <v>2489</v>
      </c>
      <c r="B863" s="9" t="s">
        <v>1682</v>
      </c>
      <c r="C863" s="9">
        <v>54</v>
      </c>
      <c r="D863" s="149" t="s">
        <v>1626</v>
      </c>
      <c r="E863" s="150">
        <v>45221</v>
      </c>
      <c r="F863" s="9">
        <v>120</v>
      </c>
      <c r="G863" s="9">
        <v>4.7</v>
      </c>
      <c r="H863" s="9">
        <f>IF(MONTH(Call_Table_Data[[#This Row],[Date of Call]])&lt;=6,YEAR(Call_Table_Data[[#This Row],[Date of Call]]),YEAR(Call_Table_Data[[#This Row],[Date of Call]])+1)</f>
        <v>2024</v>
      </c>
      <c r="I863" s="9" t="str">
        <f>TEXT(Call_Table_Data[[#This Row],[Date of Call]],"DDDD")</f>
        <v>Sunday</v>
      </c>
      <c r="J863" s="9" t="str" cm="1">
        <f t="array" ref="J863">_xlfn.IFS(Call_Table_Data[[#This Row],[Duration]]&lt;=10,"Under 10 Mins",Call_Table_Data[[#This Row],[Duration]]&lt;=30,"10 to 30 Mins",Call_Table_Data[[#This Row],[Duration]]&lt;=60,"30 to 60 Mins",Call_Table_Data[[#This Row],[Duration]]&lt;=120,"1 to 2 Hours",TRUE,"More Than 2 Hours")</f>
        <v>30 to 60 Mins</v>
      </c>
      <c r="K863" s="9">
        <f>ROUND(Call_Table_Data[[#This Row],[Satisfaction Rating]],0)</f>
        <v>5</v>
      </c>
    </row>
    <row r="864" spans="1:11" x14ac:dyDescent="0.3">
      <c r="A864" s="9" t="s">
        <v>2490</v>
      </c>
      <c r="B864" s="9" t="s">
        <v>1613</v>
      </c>
      <c r="C864" s="9">
        <v>81</v>
      </c>
      <c r="D864" s="149" t="s">
        <v>1616</v>
      </c>
      <c r="E864" s="150">
        <v>45221</v>
      </c>
      <c r="F864" s="9">
        <v>117</v>
      </c>
      <c r="G864" s="9">
        <v>3.6</v>
      </c>
      <c r="H864" s="9">
        <f>IF(MONTH(Call_Table_Data[[#This Row],[Date of Call]])&lt;=6,YEAR(Call_Table_Data[[#This Row],[Date of Call]]),YEAR(Call_Table_Data[[#This Row],[Date of Call]])+1)</f>
        <v>2024</v>
      </c>
      <c r="I864" s="9" t="str">
        <f>TEXT(Call_Table_Data[[#This Row],[Date of Call]],"DDDD")</f>
        <v>Sunday</v>
      </c>
      <c r="J864" s="9" t="str" cm="1">
        <f t="array" ref="J864">_xlfn.IFS(Call_Table_Data[[#This Row],[Duration]]&lt;=10,"Under 10 Mins",Call_Table_Data[[#This Row],[Duration]]&lt;=30,"10 to 30 Mins",Call_Table_Data[[#This Row],[Duration]]&lt;=60,"30 to 60 Mins",Call_Table_Data[[#This Row],[Duration]]&lt;=120,"1 to 2 Hours",TRUE,"More Than 2 Hours")</f>
        <v>1 to 2 Hours</v>
      </c>
      <c r="K864" s="9">
        <f>ROUND(Call_Table_Data[[#This Row],[Satisfaction Rating]],0)</f>
        <v>4</v>
      </c>
    </row>
    <row r="865" spans="1:11" x14ac:dyDescent="0.3">
      <c r="A865" s="9" t="s">
        <v>2491</v>
      </c>
      <c r="B865" s="9" t="s">
        <v>1682</v>
      </c>
      <c r="C865" s="9">
        <v>76</v>
      </c>
      <c r="D865" s="149" t="s">
        <v>1630</v>
      </c>
      <c r="E865" s="150">
        <v>45221</v>
      </c>
      <c r="F865" s="9">
        <v>80</v>
      </c>
      <c r="G865" s="9">
        <v>4.5</v>
      </c>
      <c r="H865" s="9">
        <f>IF(MONTH(Call_Table_Data[[#This Row],[Date of Call]])&lt;=6,YEAR(Call_Table_Data[[#This Row],[Date of Call]]),YEAR(Call_Table_Data[[#This Row],[Date of Call]])+1)</f>
        <v>2024</v>
      </c>
      <c r="I865" s="9" t="str">
        <f>TEXT(Call_Table_Data[[#This Row],[Date of Call]],"DDDD")</f>
        <v>Sunday</v>
      </c>
      <c r="J865" s="9" t="str" cm="1">
        <f t="array" ref="J865">_xlfn.IFS(Call_Table_Data[[#This Row],[Duration]]&lt;=10,"Under 10 Mins",Call_Table_Data[[#This Row],[Duration]]&lt;=30,"10 to 30 Mins",Call_Table_Data[[#This Row],[Duration]]&lt;=60,"30 to 60 Mins",Call_Table_Data[[#This Row],[Duration]]&lt;=120,"1 to 2 Hours",TRUE,"More Than 2 Hours")</f>
        <v>1 to 2 Hours</v>
      </c>
      <c r="K865" s="9">
        <f>ROUND(Call_Table_Data[[#This Row],[Satisfaction Rating]],0)</f>
        <v>5</v>
      </c>
    </row>
    <row r="866" spans="1:11" x14ac:dyDescent="0.3">
      <c r="A866" s="9" t="s">
        <v>2492</v>
      </c>
      <c r="B866" s="9" t="s">
        <v>1682</v>
      </c>
      <c r="C866" s="9">
        <v>37</v>
      </c>
      <c r="D866" s="149" t="s">
        <v>1611</v>
      </c>
      <c r="E866" s="150">
        <v>45222</v>
      </c>
      <c r="F866" s="9">
        <v>117</v>
      </c>
      <c r="G866" s="9">
        <v>4</v>
      </c>
      <c r="H866" s="9">
        <f>IF(MONTH(Call_Table_Data[[#This Row],[Date of Call]])&lt;=6,YEAR(Call_Table_Data[[#This Row],[Date of Call]]),YEAR(Call_Table_Data[[#This Row],[Date of Call]])+1)</f>
        <v>2024</v>
      </c>
      <c r="I866" s="9" t="str">
        <f>TEXT(Call_Table_Data[[#This Row],[Date of Call]],"DDDD")</f>
        <v>Monday</v>
      </c>
      <c r="J866" s="9" t="str" cm="1">
        <f t="array" ref="J866">_xlfn.IFS(Call_Table_Data[[#This Row],[Duration]]&lt;=10,"Under 10 Mins",Call_Table_Data[[#This Row],[Duration]]&lt;=30,"10 to 30 Mins",Call_Table_Data[[#This Row],[Duration]]&lt;=60,"30 to 60 Mins",Call_Table_Data[[#This Row],[Duration]]&lt;=120,"1 to 2 Hours",TRUE,"More Than 2 Hours")</f>
        <v>30 to 60 Mins</v>
      </c>
      <c r="K866" s="9">
        <f>ROUND(Call_Table_Data[[#This Row],[Satisfaction Rating]],0)</f>
        <v>4</v>
      </c>
    </row>
    <row r="867" spans="1:11" x14ac:dyDescent="0.3">
      <c r="A867" s="9" t="s">
        <v>2493</v>
      </c>
      <c r="B867" s="9" t="s">
        <v>1635</v>
      </c>
      <c r="C867" s="9">
        <v>96</v>
      </c>
      <c r="D867" s="149" t="s">
        <v>1626</v>
      </c>
      <c r="E867" s="150">
        <v>45222</v>
      </c>
      <c r="F867" s="9">
        <v>60</v>
      </c>
      <c r="G867" s="9">
        <v>4.5</v>
      </c>
      <c r="H867" s="9">
        <f>IF(MONTH(Call_Table_Data[[#This Row],[Date of Call]])&lt;=6,YEAR(Call_Table_Data[[#This Row],[Date of Call]]),YEAR(Call_Table_Data[[#This Row],[Date of Call]])+1)</f>
        <v>2024</v>
      </c>
      <c r="I867" s="9" t="str">
        <f>TEXT(Call_Table_Data[[#This Row],[Date of Call]],"DDDD")</f>
        <v>Monday</v>
      </c>
      <c r="J867" s="9" t="str" cm="1">
        <f t="array" ref="J867">_xlfn.IFS(Call_Table_Data[[#This Row],[Duration]]&lt;=10,"Under 10 Mins",Call_Table_Data[[#This Row],[Duration]]&lt;=30,"10 to 30 Mins",Call_Table_Data[[#This Row],[Duration]]&lt;=60,"30 to 60 Mins",Call_Table_Data[[#This Row],[Duration]]&lt;=120,"1 to 2 Hours",TRUE,"More Than 2 Hours")</f>
        <v>1 to 2 Hours</v>
      </c>
      <c r="K867" s="9">
        <f>ROUND(Call_Table_Data[[#This Row],[Satisfaction Rating]],0)</f>
        <v>5</v>
      </c>
    </row>
    <row r="868" spans="1:11" x14ac:dyDescent="0.3">
      <c r="A868" s="9" t="s">
        <v>2494</v>
      </c>
      <c r="B868" s="9" t="s">
        <v>1620</v>
      </c>
      <c r="C868" s="9">
        <v>19</v>
      </c>
      <c r="D868" s="149" t="s">
        <v>1630</v>
      </c>
      <c r="E868" s="150">
        <v>45223</v>
      </c>
      <c r="F868" s="9">
        <v>58</v>
      </c>
      <c r="G868" s="9">
        <v>3.9</v>
      </c>
      <c r="H868" s="9">
        <f>IF(MONTH(Call_Table_Data[[#This Row],[Date of Call]])&lt;=6,YEAR(Call_Table_Data[[#This Row],[Date of Call]]),YEAR(Call_Table_Data[[#This Row],[Date of Call]])+1)</f>
        <v>2024</v>
      </c>
      <c r="I868" s="9" t="str">
        <f>TEXT(Call_Table_Data[[#This Row],[Date of Call]],"DDDD")</f>
        <v>Tuesday</v>
      </c>
      <c r="J868" s="9" t="str" cm="1">
        <f t="array" ref="J868">_xlfn.IFS(Call_Table_Data[[#This Row],[Duration]]&lt;=10,"Under 10 Mins",Call_Table_Data[[#This Row],[Duration]]&lt;=30,"10 to 30 Mins",Call_Table_Data[[#This Row],[Duration]]&lt;=60,"30 to 60 Mins",Call_Table_Data[[#This Row],[Duration]]&lt;=120,"1 to 2 Hours",TRUE,"More Than 2 Hours")</f>
        <v>10 to 30 Mins</v>
      </c>
      <c r="K868" s="9">
        <f>ROUND(Call_Table_Data[[#This Row],[Satisfaction Rating]],0)</f>
        <v>4</v>
      </c>
    </row>
    <row r="869" spans="1:11" x14ac:dyDescent="0.3">
      <c r="A869" s="9" t="s">
        <v>2495</v>
      </c>
      <c r="B869" s="9" t="s">
        <v>1652</v>
      </c>
      <c r="C869" s="9">
        <v>72</v>
      </c>
      <c r="D869" s="149" t="s">
        <v>1611</v>
      </c>
      <c r="E869" s="150">
        <v>45223</v>
      </c>
      <c r="F869" s="9">
        <v>41</v>
      </c>
      <c r="G869" s="9">
        <v>4.3</v>
      </c>
      <c r="H869" s="9">
        <f>IF(MONTH(Call_Table_Data[[#This Row],[Date of Call]])&lt;=6,YEAR(Call_Table_Data[[#This Row],[Date of Call]]),YEAR(Call_Table_Data[[#This Row],[Date of Call]])+1)</f>
        <v>2024</v>
      </c>
      <c r="I869" s="9" t="str">
        <f>TEXT(Call_Table_Data[[#This Row],[Date of Call]],"DDDD")</f>
        <v>Tuesday</v>
      </c>
      <c r="J869" s="9" t="str" cm="1">
        <f t="array" ref="J869">_xlfn.IFS(Call_Table_Data[[#This Row],[Duration]]&lt;=10,"Under 10 Mins",Call_Table_Data[[#This Row],[Duration]]&lt;=30,"10 to 30 Mins",Call_Table_Data[[#This Row],[Duration]]&lt;=60,"30 to 60 Mins",Call_Table_Data[[#This Row],[Duration]]&lt;=120,"1 to 2 Hours",TRUE,"More Than 2 Hours")</f>
        <v>1 to 2 Hours</v>
      </c>
      <c r="K869" s="9">
        <f>ROUND(Call_Table_Data[[#This Row],[Satisfaction Rating]],0)</f>
        <v>4</v>
      </c>
    </row>
    <row r="870" spans="1:11" x14ac:dyDescent="0.3">
      <c r="A870" s="9" t="s">
        <v>2496</v>
      </c>
      <c r="B870" s="9" t="s">
        <v>1618</v>
      </c>
      <c r="C870" s="9">
        <v>73</v>
      </c>
      <c r="D870" s="149" t="s">
        <v>1616</v>
      </c>
      <c r="E870" s="150">
        <v>45223</v>
      </c>
      <c r="F870" s="9">
        <v>180</v>
      </c>
      <c r="G870" s="9">
        <v>3.6</v>
      </c>
      <c r="H870" s="9">
        <f>IF(MONTH(Call_Table_Data[[#This Row],[Date of Call]])&lt;=6,YEAR(Call_Table_Data[[#This Row],[Date of Call]]),YEAR(Call_Table_Data[[#This Row],[Date of Call]])+1)</f>
        <v>2024</v>
      </c>
      <c r="I870" s="9" t="str">
        <f>TEXT(Call_Table_Data[[#This Row],[Date of Call]],"DDDD")</f>
        <v>Tuesday</v>
      </c>
      <c r="J870" s="9" t="str" cm="1">
        <f t="array" ref="J870">_xlfn.IFS(Call_Table_Data[[#This Row],[Duration]]&lt;=10,"Under 10 Mins",Call_Table_Data[[#This Row],[Duration]]&lt;=30,"10 to 30 Mins",Call_Table_Data[[#This Row],[Duration]]&lt;=60,"30 to 60 Mins",Call_Table_Data[[#This Row],[Duration]]&lt;=120,"1 to 2 Hours",TRUE,"More Than 2 Hours")</f>
        <v>1 to 2 Hours</v>
      </c>
      <c r="K870" s="9">
        <f>ROUND(Call_Table_Data[[#This Row],[Satisfaction Rating]],0)</f>
        <v>4</v>
      </c>
    </row>
    <row r="871" spans="1:11" x14ac:dyDescent="0.3">
      <c r="A871" s="9" t="s">
        <v>2497</v>
      </c>
      <c r="B871" s="9" t="s">
        <v>1662</v>
      </c>
      <c r="C871" s="9">
        <v>87</v>
      </c>
      <c r="D871" s="149" t="s">
        <v>1616</v>
      </c>
      <c r="E871" s="150">
        <v>45223</v>
      </c>
      <c r="F871" s="9">
        <v>42</v>
      </c>
      <c r="G871" s="9">
        <v>3.6</v>
      </c>
      <c r="H871" s="9">
        <f>IF(MONTH(Call_Table_Data[[#This Row],[Date of Call]])&lt;=6,YEAR(Call_Table_Data[[#This Row],[Date of Call]]),YEAR(Call_Table_Data[[#This Row],[Date of Call]])+1)</f>
        <v>2024</v>
      </c>
      <c r="I871" s="9" t="str">
        <f>TEXT(Call_Table_Data[[#This Row],[Date of Call]],"DDDD")</f>
        <v>Tuesday</v>
      </c>
      <c r="J871" s="9" t="str" cm="1">
        <f t="array" ref="J871">_xlfn.IFS(Call_Table_Data[[#This Row],[Duration]]&lt;=10,"Under 10 Mins",Call_Table_Data[[#This Row],[Duration]]&lt;=30,"10 to 30 Mins",Call_Table_Data[[#This Row],[Duration]]&lt;=60,"30 to 60 Mins",Call_Table_Data[[#This Row],[Duration]]&lt;=120,"1 to 2 Hours",TRUE,"More Than 2 Hours")</f>
        <v>1 to 2 Hours</v>
      </c>
      <c r="K871" s="9">
        <f>ROUND(Call_Table_Data[[#This Row],[Satisfaction Rating]],0)</f>
        <v>4</v>
      </c>
    </row>
    <row r="872" spans="1:11" x14ac:dyDescent="0.3">
      <c r="A872" s="9" t="s">
        <v>2498</v>
      </c>
      <c r="B872" s="9" t="s">
        <v>1662</v>
      </c>
      <c r="C872" s="9">
        <v>68</v>
      </c>
      <c r="D872" s="149" t="s">
        <v>1616</v>
      </c>
      <c r="E872" s="150">
        <v>45224</v>
      </c>
      <c r="F872" s="9">
        <v>24</v>
      </c>
      <c r="G872" s="9">
        <v>4</v>
      </c>
      <c r="H872" s="9">
        <f>IF(MONTH(Call_Table_Data[[#This Row],[Date of Call]])&lt;=6,YEAR(Call_Table_Data[[#This Row],[Date of Call]]),YEAR(Call_Table_Data[[#This Row],[Date of Call]])+1)</f>
        <v>2024</v>
      </c>
      <c r="I872" s="9" t="str">
        <f>TEXT(Call_Table_Data[[#This Row],[Date of Call]],"DDDD")</f>
        <v>Wednesday</v>
      </c>
      <c r="J872" s="9" t="str" cm="1">
        <f t="array" ref="J872">_xlfn.IFS(Call_Table_Data[[#This Row],[Duration]]&lt;=10,"Under 10 Mins",Call_Table_Data[[#This Row],[Duration]]&lt;=30,"10 to 30 Mins",Call_Table_Data[[#This Row],[Duration]]&lt;=60,"30 to 60 Mins",Call_Table_Data[[#This Row],[Duration]]&lt;=120,"1 to 2 Hours",TRUE,"More Than 2 Hours")</f>
        <v>1 to 2 Hours</v>
      </c>
      <c r="K872" s="9">
        <f>ROUND(Call_Table_Data[[#This Row],[Satisfaction Rating]],0)</f>
        <v>4</v>
      </c>
    </row>
    <row r="873" spans="1:11" x14ac:dyDescent="0.3">
      <c r="A873" s="9" t="s">
        <v>2499</v>
      </c>
      <c r="B873" s="9" t="s">
        <v>1652</v>
      </c>
      <c r="C873" s="9">
        <v>101</v>
      </c>
      <c r="D873" s="149" t="s">
        <v>1616</v>
      </c>
      <c r="E873" s="150">
        <v>45224</v>
      </c>
      <c r="F873" s="9">
        <v>125</v>
      </c>
      <c r="G873" s="9">
        <v>4.2</v>
      </c>
      <c r="H873" s="9">
        <f>IF(MONTH(Call_Table_Data[[#This Row],[Date of Call]])&lt;=6,YEAR(Call_Table_Data[[#This Row],[Date of Call]]),YEAR(Call_Table_Data[[#This Row],[Date of Call]])+1)</f>
        <v>2024</v>
      </c>
      <c r="I873" s="9" t="str">
        <f>TEXT(Call_Table_Data[[#This Row],[Date of Call]],"DDDD")</f>
        <v>Wednesday</v>
      </c>
      <c r="J873" s="9" t="str" cm="1">
        <f t="array" ref="J873">_xlfn.IFS(Call_Table_Data[[#This Row],[Duration]]&lt;=10,"Under 10 Mins",Call_Table_Data[[#This Row],[Duration]]&lt;=30,"10 to 30 Mins",Call_Table_Data[[#This Row],[Duration]]&lt;=60,"30 to 60 Mins",Call_Table_Data[[#This Row],[Duration]]&lt;=120,"1 to 2 Hours",TRUE,"More Than 2 Hours")</f>
        <v>1 to 2 Hours</v>
      </c>
      <c r="K873" s="9">
        <f>ROUND(Call_Table_Data[[#This Row],[Satisfaction Rating]],0)</f>
        <v>4</v>
      </c>
    </row>
    <row r="874" spans="1:11" x14ac:dyDescent="0.3">
      <c r="A874" s="9" t="s">
        <v>2500</v>
      </c>
      <c r="B874" s="9" t="s">
        <v>1652</v>
      </c>
      <c r="C874" s="9">
        <v>107</v>
      </c>
      <c r="D874" s="149" t="s">
        <v>1611</v>
      </c>
      <c r="E874" s="150">
        <v>45225</v>
      </c>
      <c r="F874" s="9">
        <v>78</v>
      </c>
      <c r="G874" s="9">
        <v>4.3</v>
      </c>
      <c r="H874" s="9">
        <f>IF(MONTH(Call_Table_Data[[#This Row],[Date of Call]])&lt;=6,YEAR(Call_Table_Data[[#This Row],[Date of Call]]),YEAR(Call_Table_Data[[#This Row],[Date of Call]])+1)</f>
        <v>2024</v>
      </c>
      <c r="I874" s="9" t="str">
        <f>TEXT(Call_Table_Data[[#This Row],[Date of Call]],"DDDD")</f>
        <v>Thursday</v>
      </c>
      <c r="J874" s="9" t="str" cm="1">
        <f t="array" ref="J874">_xlfn.IFS(Call_Table_Data[[#This Row],[Duration]]&lt;=10,"Under 10 Mins",Call_Table_Data[[#This Row],[Duration]]&lt;=30,"10 to 30 Mins",Call_Table_Data[[#This Row],[Duration]]&lt;=60,"30 to 60 Mins",Call_Table_Data[[#This Row],[Duration]]&lt;=120,"1 to 2 Hours",TRUE,"More Than 2 Hours")</f>
        <v>1 to 2 Hours</v>
      </c>
      <c r="K874" s="9">
        <f>ROUND(Call_Table_Data[[#This Row],[Satisfaction Rating]],0)</f>
        <v>4</v>
      </c>
    </row>
    <row r="875" spans="1:11" x14ac:dyDescent="0.3">
      <c r="A875" s="9" t="s">
        <v>2501</v>
      </c>
      <c r="B875" s="9" t="s">
        <v>1641</v>
      </c>
      <c r="C875" s="9">
        <v>109</v>
      </c>
      <c r="D875" s="149" t="s">
        <v>1621</v>
      </c>
      <c r="E875" s="150">
        <v>45225</v>
      </c>
      <c r="F875" s="9">
        <v>180</v>
      </c>
      <c r="G875" s="9">
        <v>3.8</v>
      </c>
      <c r="H875" s="9">
        <f>IF(MONTH(Call_Table_Data[[#This Row],[Date of Call]])&lt;=6,YEAR(Call_Table_Data[[#This Row],[Date of Call]]),YEAR(Call_Table_Data[[#This Row],[Date of Call]])+1)</f>
        <v>2024</v>
      </c>
      <c r="I875" s="9" t="str">
        <f>TEXT(Call_Table_Data[[#This Row],[Date of Call]],"DDDD")</f>
        <v>Thursday</v>
      </c>
      <c r="J875" s="9" t="str" cm="1">
        <f t="array" ref="J875">_xlfn.IFS(Call_Table_Data[[#This Row],[Duration]]&lt;=10,"Under 10 Mins",Call_Table_Data[[#This Row],[Duration]]&lt;=30,"10 to 30 Mins",Call_Table_Data[[#This Row],[Duration]]&lt;=60,"30 to 60 Mins",Call_Table_Data[[#This Row],[Duration]]&lt;=120,"1 to 2 Hours",TRUE,"More Than 2 Hours")</f>
        <v>1 to 2 Hours</v>
      </c>
      <c r="K875" s="9">
        <f>ROUND(Call_Table_Data[[#This Row],[Satisfaction Rating]],0)</f>
        <v>4</v>
      </c>
    </row>
    <row r="876" spans="1:11" x14ac:dyDescent="0.3">
      <c r="A876" s="9" t="s">
        <v>2502</v>
      </c>
      <c r="B876" s="9" t="s">
        <v>1633</v>
      </c>
      <c r="C876" s="9">
        <v>171</v>
      </c>
      <c r="D876" s="149" t="s">
        <v>1611</v>
      </c>
      <c r="E876" s="150">
        <v>45225</v>
      </c>
      <c r="F876" s="9">
        <v>84</v>
      </c>
      <c r="G876" s="9">
        <v>4.4000000000000004</v>
      </c>
      <c r="H876" s="9">
        <f>IF(MONTH(Call_Table_Data[[#This Row],[Date of Call]])&lt;=6,YEAR(Call_Table_Data[[#This Row],[Date of Call]]),YEAR(Call_Table_Data[[#This Row],[Date of Call]])+1)</f>
        <v>2024</v>
      </c>
      <c r="I876" s="9" t="str">
        <f>TEXT(Call_Table_Data[[#This Row],[Date of Call]],"DDDD")</f>
        <v>Thursday</v>
      </c>
      <c r="J876" s="9" t="str" cm="1">
        <f t="array" ref="J876">_xlfn.IFS(Call_Table_Data[[#This Row],[Duration]]&lt;=10,"Under 10 Mins",Call_Table_Data[[#This Row],[Duration]]&lt;=30,"10 to 30 Mins",Call_Table_Data[[#This Row],[Duration]]&lt;=60,"30 to 60 Mins",Call_Table_Data[[#This Row],[Duration]]&lt;=120,"1 to 2 Hours",TRUE,"More Than 2 Hours")</f>
        <v>More Than 2 Hours</v>
      </c>
      <c r="K876" s="9">
        <f>ROUND(Call_Table_Data[[#This Row],[Satisfaction Rating]],0)</f>
        <v>4</v>
      </c>
    </row>
    <row r="877" spans="1:11" x14ac:dyDescent="0.3">
      <c r="A877" s="9" t="s">
        <v>2503</v>
      </c>
      <c r="B877" s="9" t="s">
        <v>1620</v>
      </c>
      <c r="C877" s="9">
        <v>21</v>
      </c>
      <c r="D877" s="149" t="s">
        <v>1611</v>
      </c>
      <c r="E877" s="150">
        <v>45225</v>
      </c>
      <c r="F877" s="9">
        <v>26</v>
      </c>
      <c r="G877" s="9">
        <v>4.7</v>
      </c>
      <c r="H877" s="9">
        <f>IF(MONTH(Call_Table_Data[[#This Row],[Date of Call]])&lt;=6,YEAR(Call_Table_Data[[#This Row],[Date of Call]]),YEAR(Call_Table_Data[[#This Row],[Date of Call]])+1)</f>
        <v>2024</v>
      </c>
      <c r="I877" s="9" t="str">
        <f>TEXT(Call_Table_Data[[#This Row],[Date of Call]],"DDDD")</f>
        <v>Thursday</v>
      </c>
      <c r="J877" s="9" t="str" cm="1">
        <f t="array" ref="J877">_xlfn.IFS(Call_Table_Data[[#This Row],[Duration]]&lt;=10,"Under 10 Mins",Call_Table_Data[[#This Row],[Duration]]&lt;=30,"10 to 30 Mins",Call_Table_Data[[#This Row],[Duration]]&lt;=60,"30 to 60 Mins",Call_Table_Data[[#This Row],[Duration]]&lt;=120,"1 to 2 Hours",TRUE,"More Than 2 Hours")</f>
        <v>10 to 30 Mins</v>
      </c>
      <c r="K877" s="9">
        <f>ROUND(Call_Table_Data[[#This Row],[Satisfaction Rating]],0)</f>
        <v>5</v>
      </c>
    </row>
    <row r="878" spans="1:11" x14ac:dyDescent="0.3">
      <c r="A878" s="9" t="s">
        <v>2504</v>
      </c>
      <c r="B878" s="9" t="s">
        <v>1613</v>
      </c>
      <c r="C878" s="9">
        <v>94</v>
      </c>
      <c r="D878" s="149" t="s">
        <v>1611</v>
      </c>
      <c r="E878" s="150">
        <v>45226</v>
      </c>
      <c r="F878" s="9">
        <v>140</v>
      </c>
      <c r="G878" s="9">
        <v>3.6</v>
      </c>
      <c r="H878" s="9">
        <f>IF(MONTH(Call_Table_Data[[#This Row],[Date of Call]])&lt;=6,YEAR(Call_Table_Data[[#This Row],[Date of Call]]),YEAR(Call_Table_Data[[#This Row],[Date of Call]])+1)</f>
        <v>2024</v>
      </c>
      <c r="I878" s="9" t="str">
        <f>TEXT(Call_Table_Data[[#This Row],[Date of Call]],"DDDD")</f>
        <v>Friday</v>
      </c>
      <c r="J878" s="9" t="str" cm="1">
        <f t="array" ref="J878">_xlfn.IFS(Call_Table_Data[[#This Row],[Duration]]&lt;=10,"Under 10 Mins",Call_Table_Data[[#This Row],[Duration]]&lt;=30,"10 to 30 Mins",Call_Table_Data[[#This Row],[Duration]]&lt;=60,"30 to 60 Mins",Call_Table_Data[[#This Row],[Duration]]&lt;=120,"1 to 2 Hours",TRUE,"More Than 2 Hours")</f>
        <v>1 to 2 Hours</v>
      </c>
      <c r="K878" s="9">
        <f>ROUND(Call_Table_Data[[#This Row],[Satisfaction Rating]],0)</f>
        <v>4</v>
      </c>
    </row>
    <row r="879" spans="1:11" x14ac:dyDescent="0.3">
      <c r="A879" s="9" t="s">
        <v>2505</v>
      </c>
      <c r="B879" s="9" t="s">
        <v>1618</v>
      </c>
      <c r="C879" s="9">
        <v>97</v>
      </c>
      <c r="D879" s="149" t="s">
        <v>1621</v>
      </c>
      <c r="E879" s="150">
        <v>45226</v>
      </c>
      <c r="F879" s="9">
        <v>31</v>
      </c>
      <c r="G879" s="9">
        <v>2.2000000000000002</v>
      </c>
      <c r="H879" s="9">
        <f>IF(MONTH(Call_Table_Data[[#This Row],[Date of Call]])&lt;=6,YEAR(Call_Table_Data[[#This Row],[Date of Call]]),YEAR(Call_Table_Data[[#This Row],[Date of Call]])+1)</f>
        <v>2024</v>
      </c>
      <c r="I879" s="9" t="str">
        <f>TEXT(Call_Table_Data[[#This Row],[Date of Call]],"DDDD")</f>
        <v>Friday</v>
      </c>
      <c r="J879" s="9" t="str" cm="1">
        <f t="array" ref="J879">_xlfn.IFS(Call_Table_Data[[#This Row],[Duration]]&lt;=10,"Under 10 Mins",Call_Table_Data[[#This Row],[Duration]]&lt;=30,"10 to 30 Mins",Call_Table_Data[[#This Row],[Duration]]&lt;=60,"30 to 60 Mins",Call_Table_Data[[#This Row],[Duration]]&lt;=120,"1 to 2 Hours",TRUE,"More Than 2 Hours")</f>
        <v>1 to 2 Hours</v>
      </c>
      <c r="K879" s="9">
        <f>ROUND(Call_Table_Data[[#This Row],[Satisfaction Rating]],0)</f>
        <v>2</v>
      </c>
    </row>
    <row r="880" spans="1:11" x14ac:dyDescent="0.3">
      <c r="A880" s="9" t="s">
        <v>2506</v>
      </c>
      <c r="B880" s="9" t="s">
        <v>1635</v>
      </c>
      <c r="C880" s="9">
        <v>72</v>
      </c>
      <c r="D880" s="149" t="s">
        <v>1621</v>
      </c>
      <c r="E880" s="150">
        <v>45226</v>
      </c>
      <c r="F880" s="9">
        <v>108</v>
      </c>
      <c r="G880" s="9">
        <v>4.8</v>
      </c>
      <c r="H880" s="9">
        <f>IF(MONTH(Call_Table_Data[[#This Row],[Date of Call]])&lt;=6,YEAR(Call_Table_Data[[#This Row],[Date of Call]]),YEAR(Call_Table_Data[[#This Row],[Date of Call]])+1)</f>
        <v>2024</v>
      </c>
      <c r="I880" s="9" t="str">
        <f>TEXT(Call_Table_Data[[#This Row],[Date of Call]],"DDDD")</f>
        <v>Friday</v>
      </c>
      <c r="J880" s="9" t="str" cm="1">
        <f t="array" ref="J880">_xlfn.IFS(Call_Table_Data[[#This Row],[Duration]]&lt;=10,"Under 10 Mins",Call_Table_Data[[#This Row],[Duration]]&lt;=30,"10 to 30 Mins",Call_Table_Data[[#This Row],[Duration]]&lt;=60,"30 to 60 Mins",Call_Table_Data[[#This Row],[Duration]]&lt;=120,"1 to 2 Hours",TRUE,"More Than 2 Hours")</f>
        <v>1 to 2 Hours</v>
      </c>
      <c r="K880" s="9">
        <f>ROUND(Call_Table_Data[[#This Row],[Satisfaction Rating]],0)</f>
        <v>5</v>
      </c>
    </row>
    <row r="881" spans="1:11" x14ac:dyDescent="0.3">
      <c r="A881" s="9" t="s">
        <v>2507</v>
      </c>
      <c r="B881" s="9" t="s">
        <v>1633</v>
      </c>
      <c r="C881" s="9">
        <v>143</v>
      </c>
      <c r="D881" s="149" t="s">
        <v>1626</v>
      </c>
      <c r="E881" s="150">
        <v>45227</v>
      </c>
      <c r="F881" s="9">
        <v>58</v>
      </c>
      <c r="G881" s="9">
        <v>4.3</v>
      </c>
      <c r="H881" s="9">
        <f>IF(MONTH(Call_Table_Data[[#This Row],[Date of Call]])&lt;=6,YEAR(Call_Table_Data[[#This Row],[Date of Call]]),YEAR(Call_Table_Data[[#This Row],[Date of Call]])+1)</f>
        <v>2024</v>
      </c>
      <c r="I881" s="9" t="str">
        <f>TEXT(Call_Table_Data[[#This Row],[Date of Call]],"DDDD")</f>
        <v>Saturday</v>
      </c>
      <c r="J881" s="9" t="str" cm="1">
        <f t="array" ref="J881">_xlfn.IFS(Call_Table_Data[[#This Row],[Duration]]&lt;=10,"Under 10 Mins",Call_Table_Data[[#This Row],[Duration]]&lt;=30,"10 to 30 Mins",Call_Table_Data[[#This Row],[Duration]]&lt;=60,"30 to 60 Mins",Call_Table_Data[[#This Row],[Duration]]&lt;=120,"1 to 2 Hours",TRUE,"More Than 2 Hours")</f>
        <v>More Than 2 Hours</v>
      </c>
      <c r="K881" s="9">
        <f>ROUND(Call_Table_Data[[#This Row],[Satisfaction Rating]],0)</f>
        <v>4</v>
      </c>
    </row>
    <row r="882" spans="1:11" x14ac:dyDescent="0.3">
      <c r="A882" s="9" t="s">
        <v>2508</v>
      </c>
      <c r="B882" s="9" t="s">
        <v>1633</v>
      </c>
      <c r="C882" s="9">
        <v>64</v>
      </c>
      <c r="D882" s="149" t="s">
        <v>1621</v>
      </c>
      <c r="E882" s="150">
        <v>45227</v>
      </c>
      <c r="F882" s="9">
        <v>185</v>
      </c>
      <c r="G882" s="9">
        <v>2.2000000000000002</v>
      </c>
      <c r="H882" s="9">
        <f>IF(MONTH(Call_Table_Data[[#This Row],[Date of Call]])&lt;=6,YEAR(Call_Table_Data[[#This Row],[Date of Call]]),YEAR(Call_Table_Data[[#This Row],[Date of Call]])+1)</f>
        <v>2024</v>
      </c>
      <c r="I882" s="9" t="str">
        <f>TEXT(Call_Table_Data[[#This Row],[Date of Call]],"DDDD")</f>
        <v>Saturday</v>
      </c>
      <c r="J882" s="9" t="str" cm="1">
        <f t="array" ref="J882">_xlfn.IFS(Call_Table_Data[[#This Row],[Duration]]&lt;=10,"Under 10 Mins",Call_Table_Data[[#This Row],[Duration]]&lt;=30,"10 to 30 Mins",Call_Table_Data[[#This Row],[Duration]]&lt;=60,"30 to 60 Mins",Call_Table_Data[[#This Row],[Duration]]&lt;=120,"1 to 2 Hours",TRUE,"More Than 2 Hours")</f>
        <v>1 to 2 Hours</v>
      </c>
      <c r="K882" s="9">
        <f>ROUND(Call_Table_Data[[#This Row],[Satisfaction Rating]],0)</f>
        <v>2</v>
      </c>
    </row>
    <row r="883" spans="1:11" x14ac:dyDescent="0.3">
      <c r="A883" s="9" t="s">
        <v>2509</v>
      </c>
      <c r="B883" s="9" t="s">
        <v>1633</v>
      </c>
      <c r="C883" s="9">
        <v>69</v>
      </c>
      <c r="D883" s="149" t="s">
        <v>1621</v>
      </c>
      <c r="E883" s="150">
        <v>45227</v>
      </c>
      <c r="F883" s="9">
        <v>40</v>
      </c>
      <c r="G883" s="9">
        <v>4.8</v>
      </c>
      <c r="H883" s="9">
        <f>IF(MONTH(Call_Table_Data[[#This Row],[Date of Call]])&lt;=6,YEAR(Call_Table_Data[[#This Row],[Date of Call]]),YEAR(Call_Table_Data[[#This Row],[Date of Call]])+1)</f>
        <v>2024</v>
      </c>
      <c r="I883" s="9" t="str">
        <f>TEXT(Call_Table_Data[[#This Row],[Date of Call]],"DDDD")</f>
        <v>Saturday</v>
      </c>
      <c r="J883" s="9" t="str" cm="1">
        <f t="array" ref="J883">_xlfn.IFS(Call_Table_Data[[#This Row],[Duration]]&lt;=10,"Under 10 Mins",Call_Table_Data[[#This Row],[Duration]]&lt;=30,"10 to 30 Mins",Call_Table_Data[[#This Row],[Duration]]&lt;=60,"30 to 60 Mins",Call_Table_Data[[#This Row],[Duration]]&lt;=120,"1 to 2 Hours",TRUE,"More Than 2 Hours")</f>
        <v>1 to 2 Hours</v>
      </c>
      <c r="K883" s="9">
        <f>ROUND(Call_Table_Data[[#This Row],[Satisfaction Rating]],0)</f>
        <v>5</v>
      </c>
    </row>
    <row r="884" spans="1:11" x14ac:dyDescent="0.3">
      <c r="A884" s="9" t="s">
        <v>2510</v>
      </c>
      <c r="B884" s="9" t="s">
        <v>1633</v>
      </c>
      <c r="C884" s="9">
        <v>18</v>
      </c>
      <c r="D884" s="149" t="s">
        <v>1630</v>
      </c>
      <c r="E884" s="150">
        <v>45227</v>
      </c>
      <c r="F884" s="9">
        <v>225</v>
      </c>
      <c r="G884" s="9">
        <v>2.6</v>
      </c>
      <c r="H884" s="9">
        <f>IF(MONTH(Call_Table_Data[[#This Row],[Date of Call]])&lt;=6,YEAR(Call_Table_Data[[#This Row],[Date of Call]]),YEAR(Call_Table_Data[[#This Row],[Date of Call]])+1)</f>
        <v>2024</v>
      </c>
      <c r="I884" s="9" t="str">
        <f>TEXT(Call_Table_Data[[#This Row],[Date of Call]],"DDDD")</f>
        <v>Saturday</v>
      </c>
      <c r="J884" s="9" t="str" cm="1">
        <f t="array" ref="J884">_xlfn.IFS(Call_Table_Data[[#This Row],[Duration]]&lt;=10,"Under 10 Mins",Call_Table_Data[[#This Row],[Duration]]&lt;=30,"10 to 30 Mins",Call_Table_Data[[#This Row],[Duration]]&lt;=60,"30 to 60 Mins",Call_Table_Data[[#This Row],[Duration]]&lt;=120,"1 to 2 Hours",TRUE,"More Than 2 Hours")</f>
        <v>10 to 30 Mins</v>
      </c>
      <c r="K884" s="9">
        <f>ROUND(Call_Table_Data[[#This Row],[Satisfaction Rating]],0)</f>
        <v>3</v>
      </c>
    </row>
    <row r="885" spans="1:11" x14ac:dyDescent="0.3">
      <c r="A885" s="9" t="s">
        <v>2511</v>
      </c>
      <c r="B885" s="9" t="s">
        <v>1618</v>
      </c>
      <c r="C885" s="9">
        <v>100</v>
      </c>
      <c r="D885" s="149" t="s">
        <v>1626</v>
      </c>
      <c r="E885" s="150">
        <v>45227</v>
      </c>
      <c r="F885" s="9">
        <v>150</v>
      </c>
      <c r="G885" s="9">
        <v>2.6</v>
      </c>
      <c r="H885" s="9">
        <f>IF(MONTH(Call_Table_Data[[#This Row],[Date of Call]])&lt;=6,YEAR(Call_Table_Data[[#This Row],[Date of Call]]),YEAR(Call_Table_Data[[#This Row],[Date of Call]])+1)</f>
        <v>2024</v>
      </c>
      <c r="I885" s="9" t="str">
        <f>TEXT(Call_Table_Data[[#This Row],[Date of Call]],"DDDD")</f>
        <v>Saturday</v>
      </c>
      <c r="J885" s="9" t="str" cm="1">
        <f t="array" ref="J885">_xlfn.IFS(Call_Table_Data[[#This Row],[Duration]]&lt;=10,"Under 10 Mins",Call_Table_Data[[#This Row],[Duration]]&lt;=30,"10 to 30 Mins",Call_Table_Data[[#This Row],[Duration]]&lt;=60,"30 to 60 Mins",Call_Table_Data[[#This Row],[Duration]]&lt;=120,"1 to 2 Hours",TRUE,"More Than 2 Hours")</f>
        <v>1 to 2 Hours</v>
      </c>
      <c r="K885" s="9">
        <f>ROUND(Call_Table_Data[[#This Row],[Satisfaction Rating]],0)</f>
        <v>3</v>
      </c>
    </row>
    <row r="886" spans="1:11" x14ac:dyDescent="0.3">
      <c r="A886" s="9" t="s">
        <v>2512</v>
      </c>
      <c r="B886" s="9" t="s">
        <v>1629</v>
      </c>
      <c r="C886" s="9">
        <v>110</v>
      </c>
      <c r="D886" s="149" t="s">
        <v>1616</v>
      </c>
      <c r="E886" s="150">
        <v>45228</v>
      </c>
      <c r="F886" s="9">
        <v>88</v>
      </c>
      <c r="G886" s="9">
        <v>3.4</v>
      </c>
      <c r="H886" s="9">
        <f>IF(MONTH(Call_Table_Data[[#This Row],[Date of Call]])&lt;=6,YEAR(Call_Table_Data[[#This Row],[Date of Call]]),YEAR(Call_Table_Data[[#This Row],[Date of Call]])+1)</f>
        <v>2024</v>
      </c>
      <c r="I886" s="9" t="str">
        <f>TEXT(Call_Table_Data[[#This Row],[Date of Call]],"DDDD")</f>
        <v>Sunday</v>
      </c>
      <c r="J886" s="9" t="str" cm="1">
        <f t="array" ref="J886">_xlfn.IFS(Call_Table_Data[[#This Row],[Duration]]&lt;=10,"Under 10 Mins",Call_Table_Data[[#This Row],[Duration]]&lt;=30,"10 to 30 Mins",Call_Table_Data[[#This Row],[Duration]]&lt;=60,"30 to 60 Mins",Call_Table_Data[[#This Row],[Duration]]&lt;=120,"1 to 2 Hours",TRUE,"More Than 2 Hours")</f>
        <v>1 to 2 Hours</v>
      </c>
      <c r="K886" s="9">
        <f>ROUND(Call_Table_Data[[#This Row],[Satisfaction Rating]],0)</f>
        <v>3</v>
      </c>
    </row>
    <row r="887" spans="1:11" x14ac:dyDescent="0.3">
      <c r="A887" s="9" t="s">
        <v>2513</v>
      </c>
      <c r="B887" s="9" t="s">
        <v>1644</v>
      </c>
      <c r="C887" s="9">
        <v>41</v>
      </c>
      <c r="D887" s="149" t="s">
        <v>1611</v>
      </c>
      <c r="E887" s="150">
        <v>45228</v>
      </c>
      <c r="F887" s="9">
        <v>140</v>
      </c>
      <c r="G887" s="9">
        <v>3.7</v>
      </c>
      <c r="H887" s="9">
        <f>IF(MONTH(Call_Table_Data[[#This Row],[Date of Call]])&lt;=6,YEAR(Call_Table_Data[[#This Row],[Date of Call]]),YEAR(Call_Table_Data[[#This Row],[Date of Call]])+1)</f>
        <v>2024</v>
      </c>
      <c r="I887" s="9" t="str">
        <f>TEXT(Call_Table_Data[[#This Row],[Date of Call]],"DDDD")</f>
        <v>Sunday</v>
      </c>
      <c r="J887" s="9" t="str" cm="1">
        <f t="array" ref="J887">_xlfn.IFS(Call_Table_Data[[#This Row],[Duration]]&lt;=10,"Under 10 Mins",Call_Table_Data[[#This Row],[Duration]]&lt;=30,"10 to 30 Mins",Call_Table_Data[[#This Row],[Duration]]&lt;=60,"30 to 60 Mins",Call_Table_Data[[#This Row],[Duration]]&lt;=120,"1 to 2 Hours",TRUE,"More Than 2 Hours")</f>
        <v>30 to 60 Mins</v>
      </c>
      <c r="K887" s="9">
        <f>ROUND(Call_Table_Data[[#This Row],[Satisfaction Rating]],0)</f>
        <v>4</v>
      </c>
    </row>
    <row r="888" spans="1:11" x14ac:dyDescent="0.3">
      <c r="A888" s="9" t="s">
        <v>2514</v>
      </c>
      <c r="B888" s="9" t="s">
        <v>1629</v>
      </c>
      <c r="C888" s="9">
        <v>147</v>
      </c>
      <c r="D888" s="149" t="s">
        <v>1616</v>
      </c>
      <c r="E888" s="150">
        <v>45228</v>
      </c>
      <c r="F888" s="9">
        <v>68</v>
      </c>
      <c r="G888" s="9">
        <v>2.1</v>
      </c>
      <c r="H888" s="9">
        <f>IF(MONTH(Call_Table_Data[[#This Row],[Date of Call]])&lt;=6,YEAR(Call_Table_Data[[#This Row],[Date of Call]]),YEAR(Call_Table_Data[[#This Row],[Date of Call]])+1)</f>
        <v>2024</v>
      </c>
      <c r="I888" s="9" t="str">
        <f>TEXT(Call_Table_Data[[#This Row],[Date of Call]],"DDDD")</f>
        <v>Sunday</v>
      </c>
      <c r="J888" s="9" t="str" cm="1">
        <f t="array" ref="J888">_xlfn.IFS(Call_Table_Data[[#This Row],[Duration]]&lt;=10,"Under 10 Mins",Call_Table_Data[[#This Row],[Duration]]&lt;=30,"10 to 30 Mins",Call_Table_Data[[#This Row],[Duration]]&lt;=60,"30 to 60 Mins",Call_Table_Data[[#This Row],[Duration]]&lt;=120,"1 to 2 Hours",TRUE,"More Than 2 Hours")</f>
        <v>More Than 2 Hours</v>
      </c>
      <c r="K888" s="9">
        <f>ROUND(Call_Table_Data[[#This Row],[Satisfaction Rating]],0)</f>
        <v>2</v>
      </c>
    </row>
    <row r="889" spans="1:11" x14ac:dyDescent="0.3">
      <c r="A889" s="9" t="s">
        <v>2515</v>
      </c>
      <c r="B889" s="9" t="s">
        <v>1613</v>
      </c>
      <c r="C889" s="9">
        <v>31</v>
      </c>
      <c r="D889" s="149" t="s">
        <v>1630</v>
      </c>
      <c r="E889" s="150">
        <v>45229</v>
      </c>
      <c r="F889" s="9">
        <v>105</v>
      </c>
      <c r="G889" s="9">
        <v>3.6</v>
      </c>
      <c r="H889" s="9">
        <f>IF(MONTH(Call_Table_Data[[#This Row],[Date of Call]])&lt;=6,YEAR(Call_Table_Data[[#This Row],[Date of Call]]),YEAR(Call_Table_Data[[#This Row],[Date of Call]])+1)</f>
        <v>2024</v>
      </c>
      <c r="I889" s="9" t="str">
        <f>TEXT(Call_Table_Data[[#This Row],[Date of Call]],"DDDD")</f>
        <v>Monday</v>
      </c>
      <c r="J889" s="9" t="str" cm="1">
        <f t="array" ref="J889">_xlfn.IFS(Call_Table_Data[[#This Row],[Duration]]&lt;=10,"Under 10 Mins",Call_Table_Data[[#This Row],[Duration]]&lt;=30,"10 to 30 Mins",Call_Table_Data[[#This Row],[Duration]]&lt;=60,"30 to 60 Mins",Call_Table_Data[[#This Row],[Duration]]&lt;=120,"1 to 2 Hours",TRUE,"More Than 2 Hours")</f>
        <v>30 to 60 Mins</v>
      </c>
      <c r="K889" s="9">
        <f>ROUND(Call_Table_Data[[#This Row],[Satisfaction Rating]],0)</f>
        <v>4</v>
      </c>
    </row>
    <row r="890" spans="1:11" x14ac:dyDescent="0.3">
      <c r="A890" s="9" t="s">
        <v>2516</v>
      </c>
      <c r="B890" s="9" t="s">
        <v>1662</v>
      </c>
      <c r="C890" s="9">
        <v>142</v>
      </c>
      <c r="D890" s="149" t="s">
        <v>1611</v>
      </c>
      <c r="E890" s="150">
        <v>45229</v>
      </c>
      <c r="F890" s="9">
        <v>40</v>
      </c>
      <c r="G890" s="9">
        <v>3.8</v>
      </c>
      <c r="H890" s="9">
        <f>IF(MONTH(Call_Table_Data[[#This Row],[Date of Call]])&lt;=6,YEAR(Call_Table_Data[[#This Row],[Date of Call]]),YEAR(Call_Table_Data[[#This Row],[Date of Call]])+1)</f>
        <v>2024</v>
      </c>
      <c r="I890" s="9" t="str">
        <f>TEXT(Call_Table_Data[[#This Row],[Date of Call]],"DDDD")</f>
        <v>Monday</v>
      </c>
      <c r="J890" s="9" t="str" cm="1">
        <f t="array" ref="J890">_xlfn.IFS(Call_Table_Data[[#This Row],[Duration]]&lt;=10,"Under 10 Mins",Call_Table_Data[[#This Row],[Duration]]&lt;=30,"10 to 30 Mins",Call_Table_Data[[#This Row],[Duration]]&lt;=60,"30 to 60 Mins",Call_Table_Data[[#This Row],[Duration]]&lt;=120,"1 to 2 Hours",TRUE,"More Than 2 Hours")</f>
        <v>More Than 2 Hours</v>
      </c>
      <c r="K890" s="9">
        <f>ROUND(Call_Table_Data[[#This Row],[Satisfaction Rating]],0)</f>
        <v>4</v>
      </c>
    </row>
    <row r="891" spans="1:11" x14ac:dyDescent="0.3">
      <c r="A891" s="9" t="s">
        <v>2517</v>
      </c>
      <c r="B891" s="9" t="s">
        <v>1641</v>
      </c>
      <c r="C891" s="9">
        <v>61</v>
      </c>
      <c r="D891" s="149" t="s">
        <v>1611</v>
      </c>
      <c r="E891" s="150">
        <v>45229</v>
      </c>
      <c r="F891" s="9">
        <v>82</v>
      </c>
      <c r="G891" s="9">
        <v>3.1</v>
      </c>
      <c r="H891" s="9">
        <f>IF(MONTH(Call_Table_Data[[#This Row],[Date of Call]])&lt;=6,YEAR(Call_Table_Data[[#This Row],[Date of Call]]),YEAR(Call_Table_Data[[#This Row],[Date of Call]])+1)</f>
        <v>2024</v>
      </c>
      <c r="I891" s="9" t="str">
        <f>TEXT(Call_Table_Data[[#This Row],[Date of Call]],"DDDD")</f>
        <v>Monday</v>
      </c>
      <c r="J891" s="9" t="str" cm="1">
        <f t="array" ref="J891">_xlfn.IFS(Call_Table_Data[[#This Row],[Duration]]&lt;=10,"Under 10 Mins",Call_Table_Data[[#This Row],[Duration]]&lt;=30,"10 to 30 Mins",Call_Table_Data[[#This Row],[Duration]]&lt;=60,"30 to 60 Mins",Call_Table_Data[[#This Row],[Duration]]&lt;=120,"1 to 2 Hours",TRUE,"More Than 2 Hours")</f>
        <v>1 to 2 Hours</v>
      </c>
      <c r="K891" s="9">
        <f>ROUND(Call_Table_Data[[#This Row],[Satisfaction Rating]],0)</f>
        <v>3</v>
      </c>
    </row>
    <row r="892" spans="1:11" x14ac:dyDescent="0.3">
      <c r="A892" s="9" t="s">
        <v>2518</v>
      </c>
      <c r="B892" s="9" t="s">
        <v>1610</v>
      </c>
      <c r="C892" s="9">
        <v>86</v>
      </c>
      <c r="D892" s="149" t="s">
        <v>1630</v>
      </c>
      <c r="E892" s="150">
        <v>45230</v>
      </c>
      <c r="F892" s="9">
        <v>90</v>
      </c>
      <c r="G892" s="9">
        <v>4.4000000000000004</v>
      </c>
      <c r="H892" s="9">
        <f>IF(MONTH(Call_Table_Data[[#This Row],[Date of Call]])&lt;=6,YEAR(Call_Table_Data[[#This Row],[Date of Call]]),YEAR(Call_Table_Data[[#This Row],[Date of Call]])+1)</f>
        <v>2024</v>
      </c>
      <c r="I892" s="9" t="str">
        <f>TEXT(Call_Table_Data[[#This Row],[Date of Call]],"DDDD")</f>
        <v>Tuesday</v>
      </c>
      <c r="J892" s="9" t="str" cm="1">
        <f t="array" ref="J892">_xlfn.IFS(Call_Table_Data[[#This Row],[Duration]]&lt;=10,"Under 10 Mins",Call_Table_Data[[#This Row],[Duration]]&lt;=30,"10 to 30 Mins",Call_Table_Data[[#This Row],[Duration]]&lt;=60,"30 to 60 Mins",Call_Table_Data[[#This Row],[Duration]]&lt;=120,"1 to 2 Hours",TRUE,"More Than 2 Hours")</f>
        <v>1 to 2 Hours</v>
      </c>
      <c r="K892" s="9">
        <f>ROUND(Call_Table_Data[[#This Row],[Satisfaction Rating]],0)</f>
        <v>4</v>
      </c>
    </row>
    <row r="893" spans="1:11" x14ac:dyDescent="0.3">
      <c r="A893" s="9" t="s">
        <v>2519</v>
      </c>
      <c r="B893" s="9" t="s">
        <v>1615</v>
      </c>
      <c r="C893" s="9">
        <v>165</v>
      </c>
      <c r="D893" s="149" t="s">
        <v>1626</v>
      </c>
      <c r="E893" s="150">
        <v>45231</v>
      </c>
      <c r="F893" s="9">
        <v>66</v>
      </c>
      <c r="G893" s="9">
        <v>4.8</v>
      </c>
      <c r="H893" s="9">
        <f>IF(MONTH(Call_Table_Data[[#This Row],[Date of Call]])&lt;=6,YEAR(Call_Table_Data[[#This Row],[Date of Call]]),YEAR(Call_Table_Data[[#This Row],[Date of Call]])+1)</f>
        <v>2024</v>
      </c>
      <c r="I893" s="9" t="str">
        <f>TEXT(Call_Table_Data[[#This Row],[Date of Call]],"DDDD")</f>
        <v>Wednesday</v>
      </c>
      <c r="J893" s="9" t="str" cm="1">
        <f t="array" ref="J893">_xlfn.IFS(Call_Table_Data[[#This Row],[Duration]]&lt;=10,"Under 10 Mins",Call_Table_Data[[#This Row],[Duration]]&lt;=30,"10 to 30 Mins",Call_Table_Data[[#This Row],[Duration]]&lt;=60,"30 to 60 Mins",Call_Table_Data[[#This Row],[Duration]]&lt;=120,"1 to 2 Hours",TRUE,"More Than 2 Hours")</f>
        <v>More Than 2 Hours</v>
      </c>
      <c r="K893" s="9">
        <f>ROUND(Call_Table_Data[[#This Row],[Satisfaction Rating]],0)</f>
        <v>5</v>
      </c>
    </row>
    <row r="894" spans="1:11" x14ac:dyDescent="0.3">
      <c r="A894" s="9" t="s">
        <v>2520</v>
      </c>
      <c r="B894" s="9" t="s">
        <v>1682</v>
      </c>
      <c r="C894" s="9">
        <v>62</v>
      </c>
      <c r="D894" s="149" t="s">
        <v>1616</v>
      </c>
      <c r="E894" s="150">
        <v>45231</v>
      </c>
      <c r="F894" s="9">
        <v>78</v>
      </c>
      <c r="G894" s="9">
        <v>3.5</v>
      </c>
      <c r="H894" s="9">
        <f>IF(MONTH(Call_Table_Data[[#This Row],[Date of Call]])&lt;=6,YEAR(Call_Table_Data[[#This Row],[Date of Call]]),YEAR(Call_Table_Data[[#This Row],[Date of Call]])+1)</f>
        <v>2024</v>
      </c>
      <c r="I894" s="9" t="str">
        <f>TEXT(Call_Table_Data[[#This Row],[Date of Call]],"DDDD")</f>
        <v>Wednesday</v>
      </c>
      <c r="J894" s="9" t="str" cm="1">
        <f t="array" ref="J894">_xlfn.IFS(Call_Table_Data[[#This Row],[Duration]]&lt;=10,"Under 10 Mins",Call_Table_Data[[#This Row],[Duration]]&lt;=30,"10 to 30 Mins",Call_Table_Data[[#This Row],[Duration]]&lt;=60,"30 to 60 Mins",Call_Table_Data[[#This Row],[Duration]]&lt;=120,"1 to 2 Hours",TRUE,"More Than 2 Hours")</f>
        <v>1 to 2 Hours</v>
      </c>
      <c r="K894" s="9">
        <f>ROUND(Call_Table_Data[[#This Row],[Satisfaction Rating]],0)</f>
        <v>4</v>
      </c>
    </row>
    <row r="895" spans="1:11" x14ac:dyDescent="0.3">
      <c r="A895" s="9" t="s">
        <v>2521</v>
      </c>
      <c r="B895" s="9" t="s">
        <v>1618</v>
      </c>
      <c r="C895" s="9">
        <v>103</v>
      </c>
      <c r="D895" s="149" t="s">
        <v>1626</v>
      </c>
      <c r="E895" s="150">
        <v>45232</v>
      </c>
      <c r="F895" s="9">
        <v>66</v>
      </c>
      <c r="G895" s="9">
        <v>4.4000000000000004</v>
      </c>
      <c r="H895" s="9">
        <f>IF(MONTH(Call_Table_Data[[#This Row],[Date of Call]])&lt;=6,YEAR(Call_Table_Data[[#This Row],[Date of Call]]),YEAR(Call_Table_Data[[#This Row],[Date of Call]])+1)</f>
        <v>2024</v>
      </c>
      <c r="I895" s="9" t="str">
        <f>TEXT(Call_Table_Data[[#This Row],[Date of Call]],"DDDD")</f>
        <v>Thursday</v>
      </c>
      <c r="J895" s="9" t="str" cm="1">
        <f t="array" ref="J895">_xlfn.IFS(Call_Table_Data[[#This Row],[Duration]]&lt;=10,"Under 10 Mins",Call_Table_Data[[#This Row],[Duration]]&lt;=30,"10 to 30 Mins",Call_Table_Data[[#This Row],[Duration]]&lt;=60,"30 to 60 Mins",Call_Table_Data[[#This Row],[Duration]]&lt;=120,"1 to 2 Hours",TRUE,"More Than 2 Hours")</f>
        <v>1 to 2 Hours</v>
      </c>
      <c r="K895" s="9">
        <f>ROUND(Call_Table_Data[[#This Row],[Satisfaction Rating]],0)</f>
        <v>4</v>
      </c>
    </row>
    <row r="896" spans="1:11" x14ac:dyDescent="0.3">
      <c r="A896" s="9" t="s">
        <v>2522</v>
      </c>
      <c r="B896" s="9" t="s">
        <v>1662</v>
      </c>
      <c r="C896" s="9">
        <v>56</v>
      </c>
      <c r="D896" s="149" t="s">
        <v>1630</v>
      </c>
      <c r="E896" s="150">
        <v>45233</v>
      </c>
      <c r="F896" s="9">
        <v>160</v>
      </c>
      <c r="G896" s="9">
        <v>3.8</v>
      </c>
      <c r="H896" s="9">
        <f>IF(MONTH(Call_Table_Data[[#This Row],[Date of Call]])&lt;=6,YEAR(Call_Table_Data[[#This Row],[Date of Call]]),YEAR(Call_Table_Data[[#This Row],[Date of Call]])+1)</f>
        <v>2024</v>
      </c>
      <c r="I896" s="9" t="str">
        <f>TEXT(Call_Table_Data[[#This Row],[Date of Call]],"DDDD")</f>
        <v>Friday</v>
      </c>
      <c r="J896" s="9" t="str" cm="1">
        <f t="array" ref="J896">_xlfn.IFS(Call_Table_Data[[#This Row],[Duration]]&lt;=10,"Under 10 Mins",Call_Table_Data[[#This Row],[Duration]]&lt;=30,"10 to 30 Mins",Call_Table_Data[[#This Row],[Duration]]&lt;=60,"30 to 60 Mins",Call_Table_Data[[#This Row],[Duration]]&lt;=120,"1 to 2 Hours",TRUE,"More Than 2 Hours")</f>
        <v>30 to 60 Mins</v>
      </c>
      <c r="K896" s="9">
        <f>ROUND(Call_Table_Data[[#This Row],[Satisfaction Rating]],0)</f>
        <v>4</v>
      </c>
    </row>
    <row r="897" spans="1:11" x14ac:dyDescent="0.3">
      <c r="A897" s="9" t="s">
        <v>2523</v>
      </c>
      <c r="B897" s="9" t="s">
        <v>1652</v>
      </c>
      <c r="C897" s="9">
        <v>114</v>
      </c>
      <c r="D897" s="149" t="s">
        <v>1611</v>
      </c>
      <c r="E897" s="150">
        <v>45234</v>
      </c>
      <c r="F897" s="9">
        <v>144</v>
      </c>
      <c r="G897" s="9">
        <v>3.8</v>
      </c>
      <c r="H897" s="9">
        <f>IF(MONTH(Call_Table_Data[[#This Row],[Date of Call]])&lt;=6,YEAR(Call_Table_Data[[#This Row],[Date of Call]]),YEAR(Call_Table_Data[[#This Row],[Date of Call]])+1)</f>
        <v>2024</v>
      </c>
      <c r="I897" s="9" t="str">
        <f>TEXT(Call_Table_Data[[#This Row],[Date of Call]],"DDDD")</f>
        <v>Saturday</v>
      </c>
      <c r="J897" s="9" t="str" cm="1">
        <f t="array" ref="J897">_xlfn.IFS(Call_Table_Data[[#This Row],[Duration]]&lt;=10,"Under 10 Mins",Call_Table_Data[[#This Row],[Duration]]&lt;=30,"10 to 30 Mins",Call_Table_Data[[#This Row],[Duration]]&lt;=60,"30 to 60 Mins",Call_Table_Data[[#This Row],[Duration]]&lt;=120,"1 to 2 Hours",TRUE,"More Than 2 Hours")</f>
        <v>1 to 2 Hours</v>
      </c>
      <c r="K897" s="9">
        <f>ROUND(Call_Table_Data[[#This Row],[Satisfaction Rating]],0)</f>
        <v>4</v>
      </c>
    </row>
    <row r="898" spans="1:11" x14ac:dyDescent="0.3">
      <c r="A898" s="9" t="s">
        <v>2524</v>
      </c>
      <c r="B898" s="9" t="s">
        <v>1662</v>
      </c>
      <c r="C898" s="9">
        <v>112</v>
      </c>
      <c r="D898" s="149" t="s">
        <v>1621</v>
      </c>
      <c r="E898" s="150">
        <v>45234</v>
      </c>
      <c r="F898" s="9">
        <v>200</v>
      </c>
      <c r="G898" s="9">
        <v>4.5999999999999996</v>
      </c>
      <c r="H898" s="9">
        <f>IF(MONTH(Call_Table_Data[[#This Row],[Date of Call]])&lt;=6,YEAR(Call_Table_Data[[#This Row],[Date of Call]]),YEAR(Call_Table_Data[[#This Row],[Date of Call]])+1)</f>
        <v>2024</v>
      </c>
      <c r="I898" s="9" t="str">
        <f>TEXT(Call_Table_Data[[#This Row],[Date of Call]],"DDDD")</f>
        <v>Saturday</v>
      </c>
      <c r="J898" s="9" t="str" cm="1">
        <f t="array" ref="J898">_xlfn.IFS(Call_Table_Data[[#This Row],[Duration]]&lt;=10,"Under 10 Mins",Call_Table_Data[[#This Row],[Duration]]&lt;=30,"10 to 30 Mins",Call_Table_Data[[#This Row],[Duration]]&lt;=60,"30 to 60 Mins",Call_Table_Data[[#This Row],[Duration]]&lt;=120,"1 to 2 Hours",TRUE,"More Than 2 Hours")</f>
        <v>1 to 2 Hours</v>
      </c>
      <c r="K898" s="9">
        <f>ROUND(Call_Table_Data[[#This Row],[Satisfaction Rating]],0)</f>
        <v>5</v>
      </c>
    </row>
    <row r="899" spans="1:11" x14ac:dyDescent="0.3">
      <c r="A899" s="9" t="s">
        <v>2525</v>
      </c>
      <c r="B899" s="9" t="s">
        <v>1624</v>
      </c>
      <c r="C899" s="9">
        <v>52</v>
      </c>
      <c r="D899" s="149" t="s">
        <v>1616</v>
      </c>
      <c r="E899" s="150">
        <v>45236</v>
      </c>
      <c r="F899" s="9">
        <v>220</v>
      </c>
      <c r="G899" s="9">
        <v>5</v>
      </c>
      <c r="H899" s="9">
        <f>IF(MONTH(Call_Table_Data[[#This Row],[Date of Call]])&lt;=6,YEAR(Call_Table_Data[[#This Row],[Date of Call]]),YEAR(Call_Table_Data[[#This Row],[Date of Call]])+1)</f>
        <v>2024</v>
      </c>
      <c r="I899" s="9" t="str">
        <f>TEXT(Call_Table_Data[[#This Row],[Date of Call]],"DDDD")</f>
        <v>Monday</v>
      </c>
      <c r="J899" s="9" t="str" cm="1">
        <f t="array" ref="J899">_xlfn.IFS(Call_Table_Data[[#This Row],[Duration]]&lt;=10,"Under 10 Mins",Call_Table_Data[[#This Row],[Duration]]&lt;=30,"10 to 30 Mins",Call_Table_Data[[#This Row],[Duration]]&lt;=60,"30 to 60 Mins",Call_Table_Data[[#This Row],[Duration]]&lt;=120,"1 to 2 Hours",TRUE,"More Than 2 Hours")</f>
        <v>30 to 60 Mins</v>
      </c>
      <c r="K899" s="9">
        <f>ROUND(Call_Table_Data[[#This Row],[Satisfaction Rating]],0)</f>
        <v>5</v>
      </c>
    </row>
    <row r="900" spans="1:11" x14ac:dyDescent="0.3">
      <c r="A900" s="9" t="s">
        <v>2526</v>
      </c>
      <c r="B900" s="9" t="s">
        <v>1618</v>
      </c>
      <c r="C900" s="9">
        <v>105</v>
      </c>
      <c r="D900" s="149" t="s">
        <v>1626</v>
      </c>
      <c r="E900" s="150">
        <v>45237</v>
      </c>
      <c r="F900" s="9">
        <v>112</v>
      </c>
      <c r="G900" s="9">
        <v>3.2</v>
      </c>
      <c r="H900" s="9">
        <f>IF(MONTH(Call_Table_Data[[#This Row],[Date of Call]])&lt;=6,YEAR(Call_Table_Data[[#This Row],[Date of Call]]),YEAR(Call_Table_Data[[#This Row],[Date of Call]])+1)</f>
        <v>2024</v>
      </c>
      <c r="I900" s="9" t="str">
        <f>TEXT(Call_Table_Data[[#This Row],[Date of Call]],"DDDD")</f>
        <v>Tuesday</v>
      </c>
      <c r="J900" s="9" t="str" cm="1">
        <f t="array" ref="J900">_xlfn.IFS(Call_Table_Data[[#This Row],[Duration]]&lt;=10,"Under 10 Mins",Call_Table_Data[[#This Row],[Duration]]&lt;=30,"10 to 30 Mins",Call_Table_Data[[#This Row],[Duration]]&lt;=60,"30 to 60 Mins",Call_Table_Data[[#This Row],[Duration]]&lt;=120,"1 to 2 Hours",TRUE,"More Than 2 Hours")</f>
        <v>1 to 2 Hours</v>
      </c>
      <c r="K900" s="9">
        <f>ROUND(Call_Table_Data[[#This Row],[Satisfaction Rating]],0)</f>
        <v>3</v>
      </c>
    </row>
    <row r="901" spans="1:11" x14ac:dyDescent="0.3">
      <c r="A901" s="9" t="s">
        <v>2527</v>
      </c>
      <c r="B901" s="9" t="s">
        <v>1615</v>
      </c>
      <c r="C901" s="9">
        <v>91</v>
      </c>
      <c r="D901" s="149" t="s">
        <v>1630</v>
      </c>
      <c r="E901" s="150">
        <v>45237</v>
      </c>
      <c r="F901" s="9">
        <v>110</v>
      </c>
      <c r="G901" s="9">
        <v>3.7</v>
      </c>
      <c r="H901" s="9">
        <f>IF(MONTH(Call_Table_Data[[#This Row],[Date of Call]])&lt;=6,YEAR(Call_Table_Data[[#This Row],[Date of Call]]),YEAR(Call_Table_Data[[#This Row],[Date of Call]])+1)</f>
        <v>2024</v>
      </c>
      <c r="I901" s="9" t="str">
        <f>TEXT(Call_Table_Data[[#This Row],[Date of Call]],"DDDD")</f>
        <v>Tuesday</v>
      </c>
      <c r="J901" s="9" t="str" cm="1">
        <f t="array" ref="J901">_xlfn.IFS(Call_Table_Data[[#This Row],[Duration]]&lt;=10,"Under 10 Mins",Call_Table_Data[[#This Row],[Duration]]&lt;=30,"10 to 30 Mins",Call_Table_Data[[#This Row],[Duration]]&lt;=60,"30 to 60 Mins",Call_Table_Data[[#This Row],[Duration]]&lt;=120,"1 to 2 Hours",TRUE,"More Than 2 Hours")</f>
        <v>1 to 2 Hours</v>
      </c>
      <c r="K901" s="9">
        <f>ROUND(Call_Table_Data[[#This Row],[Satisfaction Rating]],0)</f>
        <v>4</v>
      </c>
    </row>
    <row r="902" spans="1:11" x14ac:dyDescent="0.3">
      <c r="A902" s="9" t="s">
        <v>2528</v>
      </c>
      <c r="B902" s="9" t="s">
        <v>1649</v>
      </c>
      <c r="C902" s="9">
        <v>74</v>
      </c>
      <c r="D902" s="149" t="s">
        <v>1611</v>
      </c>
      <c r="E902" s="150">
        <v>45238</v>
      </c>
      <c r="F902" s="9">
        <v>160</v>
      </c>
      <c r="G902" s="9">
        <v>2.7</v>
      </c>
      <c r="H902" s="9">
        <f>IF(MONTH(Call_Table_Data[[#This Row],[Date of Call]])&lt;=6,YEAR(Call_Table_Data[[#This Row],[Date of Call]]),YEAR(Call_Table_Data[[#This Row],[Date of Call]])+1)</f>
        <v>2024</v>
      </c>
      <c r="I902" s="9" t="str">
        <f>TEXT(Call_Table_Data[[#This Row],[Date of Call]],"DDDD")</f>
        <v>Wednesday</v>
      </c>
      <c r="J902" s="9" t="str" cm="1">
        <f t="array" ref="J902">_xlfn.IFS(Call_Table_Data[[#This Row],[Duration]]&lt;=10,"Under 10 Mins",Call_Table_Data[[#This Row],[Duration]]&lt;=30,"10 to 30 Mins",Call_Table_Data[[#This Row],[Duration]]&lt;=60,"30 to 60 Mins",Call_Table_Data[[#This Row],[Duration]]&lt;=120,"1 to 2 Hours",TRUE,"More Than 2 Hours")</f>
        <v>1 to 2 Hours</v>
      </c>
      <c r="K902" s="9">
        <f>ROUND(Call_Table_Data[[#This Row],[Satisfaction Rating]],0)</f>
        <v>3</v>
      </c>
    </row>
    <row r="903" spans="1:11" x14ac:dyDescent="0.3">
      <c r="A903" s="9" t="s">
        <v>2529</v>
      </c>
      <c r="B903" s="9" t="s">
        <v>1649</v>
      </c>
      <c r="C903" s="9">
        <v>30</v>
      </c>
      <c r="D903" s="149" t="s">
        <v>1630</v>
      </c>
      <c r="E903" s="150">
        <v>45238</v>
      </c>
      <c r="F903" s="9">
        <v>84</v>
      </c>
      <c r="G903" s="9">
        <v>4</v>
      </c>
      <c r="H903" s="9">
        <f>IF(MONTH(Call_Table_Data[[#This Row],[Date of Call]])&lt;=6,YEAR(Call_Table_Data[[#This Row],[Date of Call]]),YEAR(Call_Table_Data[[#This Row],[Date of Call]])+1)</f>
        <v>2024</v>
      </c>
      <c r="I903" s="9" t="str">
        <f>TEXT(Call_Table_Data[[#This Row],[Date of Call]],"DDDD")</f>
        <v>Wednesday</v>
      </c>
      <c r="J903" s="9" t="str" cm="1">
        <f t="array" ref="J903">_xlfn.IFS(Call_Table_Data[[#This Row],[Duration]]&lt;=10,"Under 10 Mins",Call_Table_Data[[#This Row],[Duration]]&lt;=30,"10 to 30 Mins",Call_Table_Data[[#This Row],[Duration]]&lt;=60,"30 to 60 Mins",Call_Table_Data[[#This Row],[Duration]]&lt;=120,"1 to 2 Hours",TRUE,"More Than 2 Hours")</f>
        <v>10 to 30 Mins</v>
      </c>
      <c r="K903" s="9">
        <f>ROUND(Call_Table_Data[[#This Row],[Satisfaction Rating]],0)</f>
        <v>4</v>
      </c>
    </row>
    <row r="904" spans="1:11" x14ac:dyDescent="0.3">
      <c r="A904" s="9" t="s">
        <v>2530</v>
      </c>
      <c r="B904" s="9" t="s">
        <v>1615</v>
      </c>
      <c r="C904" s="9">
        <v>56</v>
      </c>
      <c r="D904" s="149" t="s">
        <v>1616</v>
      </c>
      <c r="E904" s="150">
        <v>45238</v>
      </c>
      <c r="F904" s="9">
        <v>124</v>
      </c>
      <c r="G904" s="9">
        <v>2.6</v>
      </c>
      <c r="H904" s="9">
        <f>IF(MONTH(Call_Table_Data[[#This Row],[Date of Call]])&lt;=6,YEAR(Call_Table_Data[[#This Row],[Date of Call]]),YEAR(Call_Table_Data[[#This Row],[Date of Call]])+1)</f>
        <v>2024</v>
      </c>
      <c r="I904" s="9" t="str">
        <f>TEXT(Call_Table_Data[[#This Row],[Date of Call]],"DDDD")</f>
        <v>Wednesday</v>
      </c>
      <c r="J904" s="9" t="str" cm="1">
        <f t="array" ref="J904">_xlfn.IFS(Call_Table_Data[[#This Row],[Duration]]&lt;=10,"Under 10 Mins",Call_Table_Data[[#This Row],[Duration]]&lt;=30,"10 to 30 Mins",Call_Table_Data[[#This Row],[Duration]]&lt;=60,"30 to 60 Mins",Call_Table_Data[[#This Row],[Duration]]&lt;=120,"1 to 2 Hours",TRUE,"More Than 2 Hours")</f>
        <v>30 to 60 Mins</v>
      </c>
      <c r="K904" s="9">
        <f>ROUND(Call_Table_Data[[#This Row],[Satisfaction Rating]],0)</f>
        <v>3</v>
      </c>
    </row>
    <row r="905" spans="1:11" x14ac:dyDescent="0.3">
      <c r="A905" s="9" t="s">
        <v>2531</v>
      </c>
      <c r="B905" s="9" t="s">
        <v>1649</v>
      </c>
      <c r="C905" s="9">
        <v>151</v>
      </c>
      <c r="D905" s="149" t="s">
        <v>1621</v>
      </c>
      <c r="E905" s="150">
        <v>45238</v>
      </c>
      <c r="F905" s="9">
        <v>84</v>
      </c>
      <c r="G905" s="9">
        <v>4.5999999999999996</v>
      </c>
      <c r="H905" s="9">
        <f>IF(MONTH(Call_Table_Data[[#This Row],[Date of Call]])&lt;=6,YEAR(Call_Table_Data[[#This Row],[Date of Call]]),YEAR(Call_Table_Data[[#This Row],[Date of Call]])+1)</f>
        <v>2024</v>
      </c>
      <c r="I905" s="9" t="str">
        <f>TEXT(Call_Table_Data[[#This Row],[Date of Call]],"DDDD")</f>
        <v>Wednesday</v>
      </c>
      <c r="J905" s="9" t="str" cm="1">
        <f t="array" ref="J905">_xlfn.IFS(Call_Table_Data[[#This Row],[Duration]]&lt;=10,"Under 10 Mins",Call_Table_Data[[#This Row],[Duration]]&lt;=30,"10 to 30 Mins",Call_Table_Data[[#This Row],[Duration]]&lt;=60,"30 to 60 Mins",Call_Table_Data[[#This Row],[Duration]]&lt;=120,"1 to 2 Hours",TRUE,"More Than 2 Hours")</f>
        <v>More Than 2 Hours</v>
      </c>
      <c r="K905" s="9">
        <f>ROUND(Call_Table_Data[[#This Row],[Satisfaction Rating]],0)</f>
        <v>5</v>
      </c>
    </row>
    <row r="906" spans="1:11" x14ac:dyDescent="0.3">
      <c r="A906" s="9" t="s">
        <v>2532</v>
      </c>
      <c r="B906" s="9" t="s">
        <v>1613</v>
      </c>
      <c r="C906" s="9">
        <v>108</v>
      </c>
      <c r="D906" s="149" t="s">
        <v>1626</v>
      </c>
      <c r="E906" s="150">
        <v>45239</v>
      </c>
      <c r="F906" s="9">
        <v>130</v>
      </c>
      <c r="G906" s="9">
        <v>2.7</v>
      </c>
      <c r="H906" s="9">
        <f>IF(MONTH(Call_Table_Data[[#This Row],[Date of Call]])&lt;=6,YEAR(Call_Table_Data[[#This Row],[Date of Call]]),YEAR(Call_Table_Data[[#This Row],[Date of Call]])+1)</f>
        <v>2024</v>
      </c>
      <c r="I906" s="9" t="str">
        <f>TEXT(Call_Table_Data[[#This Row],[Date of Call]],"DDDD")</f>
        <v>Thursday</v>
      </c>
      <c r="J906" s="9" t="str" cm="1">
        <f t="array" ref="J906">_xlfn.IFS(Call_Table_Data[[#This Row],[Duration]]&lt;=10,"Under 10 Mins",Call_Table_Data[[#This Row],[Duration]]&lt;=30,"10 to 30 Mins",Call_Table_Data[[#This Row],[Duration]]&lt;=60,"30 to 60 Mins",Call_Table_Data[[#This Row],[Duration]]&lt;=120,"1 to 2 Hours",TRUE,"More Than 2 Hours")</f>
        <v>1 to 2 Hours</v>
      </c>
      <c r="K906" s="9">
        <f>ROUND(Call_Table_Data[[#This Row],[Satisfaction Rating]],0)</f>
        <v>3</v>
      </c>
    </row>
    <row r="907" spans="1:11" x14ac:dyDescent="0.3">
      <c r="A907" s="9" t="s">
        <v>2533</v>
      </c>
      <c r="B907" s="9" t="s">
        <v>1652</v>
      </c>
      <c r="C907" s="9">
        <v>124</v>
      </c>
      <c r="D907" s="149" t="s">
        <v>1611</v>
      </c>
      <c r="E907" s="150">
        <v>45239</v>
      </c>
      <c r="F907" s="9">
        <v>215</v>
      </c>
      <c r="G907" s="9">
        <v>3.5</v>
      </c>
      <c r="H907" s="9">
        <f>IF(MONTH(Call_Table_Data[[#This Row],[Date of Call]])&lt;=6,YEAR(Call_Table_Data[[#This Row],[Date of Call]]),YEAR(Call_Table_Data[[#This Row],[Date of Call]])+1)</f>
        <v>2024</v>
      </c>
      <c r="I907" s="9" t="str">
        <f>TEXT(Call_Table_Data[[#This Row],[Date of Call]],"DDDD")</f>
        <v>Thursday</v>
      </c>
      <c r="J907" s="9" t="str" cm="1">
        <f t="array" ref="J907">_xlfn.IFS(Call_Table_Data[[#This Row],[Duration]]&lt;=10,"Under 10 Mins",Call_Table_Data[[#This Row],[Duration]]&lt;=30,"10 to 30 Mins",Call_Table_Data[[#This Row],[Duration]]&lt;=60,"30 to 60 Mins",Call_Table_Data[[#This Row],[Duration]]&lt;=120,"1 to 2 Hours",TRUE,"More Than 2 Hours")</f>
        <v>More Than 2 Hours</v>
      </c>
      <c r="K907" s="9">
        <f>ROUND(Call_Table_Data[[#This Row],[Satisfaction Rating]],0)</f>
        <v>4</v>
      </c>
    </row>
    <row r="908" spans="1:11" x14ac:dyDescent="0.3">
      <c r="A908" s="9" t="s">
        <v>2534</v>
      </c>
      <c r="B908" s="9" t="s">
        <v>1618</v>
      </c>
      <c r="C908" s="9">
        <v>110</v>
      </c>
      <c r="D908" s="149" t="s">
        <v>1616</v>
      </c>
      <c r="E908" s="150">
        <v>45240</v>
      </c>
      <c r="F908" s="9">
        <v>132</v>
      </c>
      <c r="G908" s="9">
        <v>3.6</v>
      </c>
      <c r="H908" s="9">
        <f>IF(MONTH(Call_Table_Data[[#This Row],[Date of Call]])&lt;=6,YEAR(Call_Table_Data[[#This Row],[Date of Call]]),YEAR(Call_Table_Data[[#This Row],[Date of Call]])+1)</f>
        <v>2024</v>
      </c>
      <c r="I908" s="9" t="str">
        <f>TEXT(Call_Table_Data[[#This Row],[Date of Call]],"DDDD")</f>
        <v>Friday</v>
      </c>
      <c r="J908" s="9" t="str" cm="1">
        <f t="array" ref="J908">_xlfn.IFS(Call_Table_Data[[#This Row],[Duration]]&lt;=10,"Under 10 Mins",Call_Table_Data[[#This Row],[Duration]]&lt;=30,"10 to 30 Mins",Call_Table_Data[[#This Row],[Duration]]&lt;=60,"30 to 60 Mins",Call_Table_Data[[#This Row],[Duration]]&lt;=120,"1 to 2 Hours",TRUE,"More Than 2 Hours")</f>
        <v>1 to 2 Hours</v>
      </c>
      <c r="K908" s="9">
        <f>ROUND(Call_Table_Data[[#This Row],[Satisfaction Rating]],0)</f>
        <v>4</v>
      </c>
    </row>
    <row r="909" spans="1:11" x14ac:dyDescent="0.3">
      <c r="A909" s="9" t="s">
        <v>2535</v>
      </c>
      <c r="B909" s="9" t="s">
        <v>1629</v>
      </c>
      <c r="C909" s="9">
        <v>89</v>
      </c>
      <c r="D909" s="149" t="s">
        <v>1626</v>
      </c>
      <c r="E909" s="150">
        <v>45240</v>
      </c>
      <c r="F909" s="9">
        <v>88</v>
      </c>
      <c r="G909" s="9">
        <v>4.9000000000000004</v>
      </c>
      <c r="H909" s="9">
        <f>IF(MONTH(Call_Table_Data[[#This Row],[Date of Call]])&lt;=6,YEAR(Call_Table_Data[[#This Row],[Date of Call]]),YEAR(Call_Table_Data[[#This Row],[Date of Call]])+1)</f>
        <v>2024</v>
      </c>
      <c r="I909" s="9" t="str">
        <f>TEXT(Call_Table_Data[[#This Row],[Date of Call]],"DDDD")</f>
        <v>Friday</v>
      </c>
      <c r="J909" s="9" t="str" cm="1">
        <f t="array" ref="J909">_xlfn.IFS(Call_Table_Data[[#This Row],[Duration]]&lt;=10,"Under 10 Mins",Call_Table_Data[[#This Row],[Duration]]&lt;=30,"10 to 30 Mins",Call_Table_Data[[#This Row],[Duration]]&lt;=60,"30 to 60 Mins",Call_Table_Data[[#This Row],[Duration]]&lt;=120,"1 to 2 Hours",TRUE,"More Than 2 Hours")</f>
        <v>1 to 2 Hours</v>
      </c>
      <c r="K909" s="9">
        <f>ROUND(Call_Table_Data[[#This Row],[Satisfaction Rating]],0)</f>
        <v>5</v>
      </c>
    </row>
    <row r="910" spans="1:11" x14ac:dyDescent="0.3">
      <c r="A910" s="9" t="s">
        <v>2536</v>
      </c>
      <c r="B910" s="9" t="s">
        <v>1610</v>
      </c>
      <c r="C910" s="9">
        <v>95</v>
      </c>
      <c r="D910" s="149" t="s">
        <v>1616</v>
      </c>
      <c r="E910" s="150">
        <v>45240</v>
      </c>
      <c r="F910" s="9">
        <v>140</v>
      </c>
      <c r="G910" s="9">
        <v>3.9</v>
      </c>
      <c r="H910" s="9">
        <f>IF(MONTH(Call_Table_Data[[#This Row],[Date of Call]])&lt;=6,YEAR(Call_Table_Data[[#This Row],[Date of Call]]),YEAR(Call_Table_Data[[#This Row],[Date of Call]])+1)</f>
        <v>2024</v>
      </c>
      <c r="I910" s="9" t="str">
        <f>TEXT(Call_Table_Data[[#This Row],[Date of Call]],"DDDD")</f>
        <v>Friday</v>
      </c>
      <c r="J910" s="9" t="str" cm="1">
        <f t="array" ref="J910">_xlfn.IFS(Call_Table_Data[[#This Row],[Duration]]&lt;=10,"Under 10 Mins",Call_Table_Data[[#This Row],[Duration]]&lt;=30,"10 to 30 Mins",Call_Table_Data[[#This Row],[Duration]]&lt;=60,"30 to 60 Mins",Call_Table_Data[[#This Row],[Duration]]&lt;=120,"1 to 2 Hours",TRUE,"More Than 2 Hours")</f>
        <v>1 to 2 Hours</v>
      </c>
      <c r="K910" s="9">
        <f>ROUND(Call_Table_Data[[#This Row],[Satisfaction Rating]],0)</f>
        <v>4</v>
      </c>
    </row>
    <row r="911" spans="1:11" x14ac:dyDescent="0.3">
      <c r="A911" s="9" t="s">
        <v>2537</v>
      </c>
      <c r="B911" s="9" t="s">
        <v>1649</v>
      </c>
      <c r="C911" s="9">
        <v>84</v>
      </c>
      <c r="D911" s="149" t="s">
        <v>1626</v>
      </c>
      <c r="E911" s="150">
        <v>45241</v>
      </c>
      <c r="F911" s="9">
        <v>66</v>
      </c>
      <c r="G911" s="9">
        <v>4.7</v>
      </c>
      <c r="H911" s="9">
        <f>IF(MONTH(Call_Table_Data[[#This Row],[Date of Call]])&lt;=6,YEAR(Call_Table_Data[[#This Row],[Date of Call]]),YEAR(Call_Table_Data[[#This Row],[Date of Call]])+1)</f>
        <v>2024</v>
      </c>
      <c r="I911" s="9" t="str">
        <f>TEXT(Call_Table_Data[[#This Row],[Date of Call]],"DDDD")</f>
        <v>Saturday</v>
      </c>
      <c r="J911" s="9" t="str" cm="1">
        <f t="array" ref="J911">_xlfn.IFS(Call_Table_Data[[#This Row],[Duration]]&lt;=10,"Under 10 Mins",Call_Table_Data[[#This Row],[Duration]]&lt;=30,"10 to 30 Mins",Call_Table_Data[[#This Row],[Duration]]&lt;=60,"30 to 60 Mins",Call_Table_Data[[#This Row],[Duration]]&lt;=120,"1 to 2 Hours",TRUE,"More Than 2 Hours")</f>
        <v>1 to 2 Hours</v>
      </c>
      <c r="K911" s="9">
        <f>ROUND(Call_Table_Data[[#This Row],[Satisfaction Rating]],0)</f>
        <v>5</v>
      </c>
    </row>
    <row r="912" spans="1:11" x14ac:dyDescent="0.3">
      <c r="A912" s="9" t="s">
        <v>2538</v>
      </c>
      <c r="B912" s="9" t="s">
        <v>1635</v>
      </c>
      <c r="C912" s="9">
        <v>89</v>
      </c>
      <c r="D912" s="149" t="s">
        <v>1611</v>
      </c>
      <c r="E912" s="150">
        <v>45241</v>
      </c>
      <c r="F912" s="9">
        <v>23</v>
      </c>
      <c r="G912" s="9">
        <v>4.5</v>
      </c>
      <c r="H912" s="9">
        <f>IF(MONTH(Call_Table_Data[[#This Row],[Date of Call]])&lt;=6,YEAR(Call_Table_Data[[#This Row],[Date of Call]]),YEAR(Call_Table_Data[[#This Row],[Date of Call]])+1)</f>
        <v>2024</v>
      </c>
      <c r="I912" s="9" t="str">
        <f>TEXT(Call_Table_Data[[#This Row],[Date of Call]],"DDDD")</f>
        <v>Saturday</v>
      </c>
      <c r="J912" s="9" t="str" cm="1">
        <f t="array" ref="J912">_xlfn.IFS(Call_Table_Data[[#This Row],[Duration]]&lt;=10,"Under 10 Mins",Call_Table_Data[[#This Row],[Duration]]&lt;=30,"10 to 30 Mins",Call_Table_Data[[#This Row],[Duration]]&lt;=60,"30 to 60 Mins",Call_Table_Data[[#This Row],[Duration]]&lt;=120,"1 to 2 Hours",TRUE,"More Than 2 Hours")</f>
        <v>1 to 2 Hours</v>
      </c>
      <c r="K912" s="9">
        <f>ROUND(Call_Table_Data[[#This Row],[Satisfaction Rating]],0)</f>
        <v>5</v>
      </c>
    </row>
    <row r="913" spans="1:11" x14ac:dyDescent="0.3">
      <c r="A913" s="9" t="s">
        <v>2539</v>
      </c>
      <c r="B913" s="9" t="s">
        <v>1629</v>
      </c>
      <c r="C913" s="9">
        <v>146</v>
      </c>
      <c r="D913" s="149" t="s">
        <v>1611</v>
      </c>
      <c r="E913" s="150">
        <v>45242</v>
      </c>
      <c r="F913" s="9">
        <v>220</v>
      </c>
      <c r="G913" s="9">
        <v>4.5</v>
      </c>
      <c r="H913" s="9">
        <f>IF(MONTH(Call_Table_Data[[#This Row],[Date of Call]])&lt;=6,YEAR(Call_Table_Data[[#This Row],[Date of Call]]),YEAR(Call_Table_Data[[#This Row],[Date of Call]])+1)</f>
        <v>2024</v>
      </c>
      <c r="I913" s="9" t="str">
        <f>TEXT(Call_Table_Data[[#This Row],[Date of Call]],"DDDD")</f>
        <v>Sunday</v>
      </c>
      <c r="J913" s="9" t="str" cm="1">
        <f t="array" ref="J913">_xlfn.IFS(Call_Table_Data[[#This Row],[Duration]]&lt;=10,"Under 10 Mins",Call_Table_Data[[#This Row],[Duration]]&lt;=30,"10 to 30 Mins",Call_Table_Data[[#This Row],[Duration]]&lt;=60,"30 to 60 Mins",Call_Table_Data[[#This Row],[Duration]]&lt;=120,"1 to 2 Hours",TRUE,"More Than 2 Hours")</f>
        <v>More Than 2 Hours</v>
      </c>
      <c r="K913" s="9">
        <f>ROUND(Call_Table_Data[[#This Row],[Satisfaction Rating]],0)</f>
        <v>5</v>
      </c>
    </row>
    <row r="914" spans="1:11" x14ac:dyDescent="0.3">
      <c r="A914" s="9" t="s">
        <v>2540</v>
      </c>
      <c r="B914" s="9" t="s">
        <v>1633</v>
      </c>
      <c r="C914" s="9">
        <v>62</v>
      </c>
      <c r="D914" s="149" t="s">
        <v>1630</v>
      </c>
      <c r="E914" s="150">
        <v>45243</v>
      </c>
      <c r="F914" s="9">
        <v>175</v>
      </c>
      <c r="G914" s="9">
        <v>4.4000000000000004</v>
      </c>
      <c r="H914" s="9">
        <f>IF(MONTH(Call_Table_Data[[#This Row],[Date of Call]])&lt;=6,YEAR(Call_Table_Data[[#This Row],[Date of Call]]),YEAR(Call_Table_Data[[#This Row],[Date of Call]])+1)</f>
        <v>2024</v>
      </c>
      <c r="I914" s="9" t="str">
        <f>TEXT(Call_Table_Data[[#This Row],[Date of Call]],"DDDD")</f>
        <v>Monday</v>
      </c>
      <c r="J914" s="9" t="str" cm="1">
        <f t="array" ref="J914">_xlfn.IFS(Call_Table_Data[[#This Row],[Duration]]&lt;=10,"Under 10 Mins",Call_Table_Data[[#This Row],[Duration]]&lt;=30,"10 to 30 Mins",Call_Table_Data[[#This Row],[Duration]]&lt;=60,"30 to 60 Mins",Call_Table_Data[[#This Row],[Duration]]&lt;=120,"1 to 2 Hours",TRUE,"More Than 2 Hours")</f>
        <v>1 to 2 Hours</v>
      </c>
      <c r="K914" s="9">
        <f>ROUND(Call_Table_Data[[#This Row],[Satisfaction Rating]],0)</f>
        <v>4</v>
      </c>
    </row>
    <row r="915" spans="1:11" x14ac:dyDescent="0.3">
      <c r="A915" s="9" t="s">
        <v>2541</v>
      </c>
      <c r="B915" s="9" t="s">
        <v>1662</v>
      </c>
      <c r="C915" s="9">
        <v>82</v>
      </c>
      <c r="D915" s="149" t="s">
        <v>1611</v>
      </c>
      <c r="E915" s="150">
        <v>45243</v>
      </c>
      <c r="F915" s="9">
        <v>172</v>
      </c>
      <c r="G915" s="9">
        <v>4.0999999999999996</v>
      </c>
      <c r="H915" s="9">
        <f>IF(MONTH(Call_Table_Data[[#This Row],[Date of Call]])&lt;=6,YEAR(Call_Table_Data[[#This Row],[Date of Call]]),YEAR(Call_Table_Data[[#This Row],[Date of Call]])+1)</f>
        <v>2024</v>
      </c>
      <c r="I915" s="9" t="str">
        <f>TEXT(Call_Table_Data[[#This Row],[Date of Call]],"DDDD")</f>
        <v>Monday</v>
      </c>
      <c r="J915" s="9" t="str" cm="1">
        <f t="array" ref="J915">_xlfn.IFS(Call_Table_Data[[#This Row],[Duration]]&lt;=10,"Under 10 Mins",Call_Table_Data[[#This Row],[Duration]]&lt;=30,"10 to 30 Mins",Call_Table_Data[[#This Row],[Duration]]&lt;=60,"30 to 60 Mins",Call_Table_Data[[#This Row],[Duration]]&lt;=120,"1 to 2 Hours",TRUE,"More Than 2 Hours")</f>
        <v>1 to 2 Hours</v>
      </c>
      <c r="K915" s="9">
        <f>ROUND(Call_Table_Data[[#This Row],[Satisfaction Rating]],0)</f>
        <v>4</v>
      </c>
    </row>
    <row r="916" spans="1:11" x14ac:dyDescent="0.3">
      <c r="A916" s="9" t="s">
        <v>2542</v>
      </c>
      <c r="B916" s="9" t="s">
        <v>1641</v>
      </c>
      <c r="C916" s="9">
        <v>91</v>
      </c>
      <c r="D916" s="149" t="s">
        <v>1621</v>
      </c>
      <c r="E916" s="150">
        <v>45243</v>
      </c>
      <c r="F916" s="9">
        <v>108</v>
      </c>
      <c r="G916" s="9">
        <v>3.8</v>
      </c>
      <c r="H916" s="9">
        <f>IF(MONTH(Call_Table_Data[[#This Row],[Date of Call]])&lt;=6,YEAR(Call_Table_Data[[#This Row],[Date of Call]]),YEAR(Call_Table_Data[[#This Row],[Date of Call]])+1)</f>
        <v>2024</v>
      </c>
      <c r="I916" s="9" t="str">
        <f>TEXT(Call_Table_Data[[#This Row],[Date of Call]],"DDDD")</f>
        <v>Monday</v>
      </c>
      <c r="J916" s="9" t="str" cm="1">
        <f t="array" ref="J916">_xlfn.IFS(Call_Table_Data[[#This Row],[Duration]]&lt;=10,"Under 10 Mins",Call_Table_Data[[#This Row],[Duration]]&lt;=30,"10 to 30 Mins",Call_Table_Data[[#This Row],[Duration]]&lt;=60,"30 to 60 Mins",Call_Table_Data[[#This Row],[Duration]]&lt;=120,"1 to 2 Hours",TRUE,"More Than 2 Hours")</f>
        <v>1 to 2 Hours</v>
      </c>
      <c r="K916" s="9">
        <f>ROUND(Call_Table_Data[[#This Row],[Satisfaction Rating]],0)</f>
        <v>4</v>
      </c>
    </row>
    <row r="917" spans="1:11" x14ac:dyDescent="0.3">
      <c r="A917" s="9" t="s">
        <v>2543</v>
      </c>
      <c r="B917" s="9" t="s">
        <v>1635</v>
      </c>
      <c r="C917" s="9">
        <v>39</v>
      </c>
      <c r="D917" s="149" t="s">
        <v>1611</v>
      </c>
      <c r="E917" s="150">
        <v>45244</v>
      </c>
      <c r="F917" s="9">
        <v>43</v>
      </c>
      <c r="G917" s="9">
        <v>4.2</v>
      </c>
      <c r="H917" s="9">
        <f>IF(MONTH(Call_Table_Data[[#This Row],[Date of Call]])&lt;=6,YEAR(Call_Table_Data[[#This Row],[Date of Call]]),YEAR(Call_Table_Data[[#This Row],[Date of Call]])+1)</f>
        <v>2024</v>
      </c>
      <c r="I917" s="9" t="str">
        <f>TEXT(Call_Table_Data[[#This Row],[Date of Call]],"DDDD")</f>
        <v>Tuesday</v>
      </c>
      <c r="J917" s="9" t="str" cm="1">
        <f t="array" ref="J917">_xlfn.IFS(Call_Table_Data[[#This Row],[Duration]]&lt;=10,"Under 10 Mins",Call_Table_Data[[#This Row],[Duration]]&lt;=30,"10 to 30 Mins",Call_Table_Data[[#This Row],[Duration]]&lt;=60,"30 to 60 Mins",Call_Table_Data[[#This Row],[Duration]]&lt;=120,"1 to 2 Hours",TRUE,"More Than 2 Hours")</f>
        <v>30 to 60 Mins</v>
      </c>
      <c r="K917" s="9">
        <f>ROUND(Call_Table_Data[[#This Row],[Satisfaction Rating]],0)</f>
        <v>4</v>
      </c>
    </row>
    <row r="918" spans="1:11" x14ac:dyDescent="0.3">
      <c r="A918" s="9" t="s">
        <v>2544</v>
      </c>
      <c r="B918" s="9" t="s">
        <v>1629</v>
      </c>
      <c r="C918" s="9">
        <v>149</v>
      </c>
      <c r="D918" s="149" t="s">
        <v>1616</v>
      </c>
      <c r="E918" s="150">
        <v>45244</v>
      </c>
      <c r="F918" s="9">
        <v>44</v>
      </c>
      <c r="G918" s="9">
        <v>2.2000000000000002</v>
      </c>
      <c r="H918" s="9">
        <f>IF(MONTH(Call_Table_Data[[#This Row],[Date of Call]])&lt;=6,YEAR(Call_Table_Data[[#This Row],[Date of Call]]),YEAR(Call_Table_Data[[#This Row],[Date of Call]])+1)</f>
        <v>2024</v>
      </c>
      <c r="I918" s="9" t="str">
        <f>TEXT(Call_Table_Data[[#This Row],[Date of Call]],"DDDD")</f>
        <v>Tuesday</v>
      </c>
      <c r="J918" s="9" t="str" cm="1">
        <f t="array" ref="J918">_xlfn.IFS(Call_Table_Data[[#This Row],[Duration]]&lt;=10,"Under 10 Mins",Call_Table_Data[[#This Row],[Duration]]&lt;=30,"10 to 30 Mins",Call_Table_Data[[#This Row],[Duration]]&lt;=60,"30 to 60 Mins",Call_Table_Data[[#This Row],[Duration]]&lt;=120,"1 to 2 Hours",TRUE,"More Than 2 Hours")</f>
        <v>More Than 2 Hours</v>
      </c>
      <c r="K918" s="9">
        <f>ROUND(Call_Table_Data[[#This Row],[Satisfaction Rating]],0)</f>
        <v>2</v>
      </c>
    </row>
    <row r="919" spans="1:11" x14ac:dyDescent="0.3">
      <c r="A919" s="9" t="s">
        <v>2545</v>
      </c>
      <c r="B919" s="9" t="s">
        <v>1662</v>
      </c>
      <c r="C919" s="9">
        <v>138</v>
      </c>
      <c r="D919" s="149" t="s">
        <v>1630</v>
      </c>
      <c r="E919" s="150">
        <v>45244</v>
      </c>
      <c r="F919" s="9">
        <v>105</v>
      </c>
      <c r="G919" s="9">
        <v>3.9</v>
      </c>
      <c r="H919" s="9">
        <f>IF(MONTH(Call_Table_Data[[#This Row],[Date of Call]])&lt;=6,YEAR(Call_Table_Data[[#This Row],[Date of Call]]),YEAR(Call_Table_Data[[#This Row],[Date of Call]])+1)</f>
        <v>2024</v>
      </c>
      <c r="I919" s="9" t="str">
        <f>TEXT(Call_Table_Data[[#This Row],[Date of Call]],"DDDD")</f>
        <v>Tuesday</v>
      </c>
      <c r="J919" s="9" t="str" cm="1">
        <f t="array" ref="J919">_xlfn.IFS(Call_Table_Data[[#This Row],[Duration]]&lt;=10,"Under 10 Mins",Call_Table_Data[[#This Row],[Duration]]&lt;=30,"10 to 30 Mins",Call_Table_Data[[#This Row],[Duration]]&lt;=60,"30 to 60 Mins",Call_Table_Data[[#This Row],[Duration]]&lt;=120,"1 to 2 Hours",TRUE,"More Than 2 Hours")</f>
        <v>More Than 2 Hours</v>
      </c>
      <c r="K919" s="9">
        <f>ROUND(Call_Table_Data[[#This Row],[Satisfaction Rating]],0)</f>
        <v>4</v>
      </c>
    </row>
    <row r="920" spans="1:11" x14ac:dyDescent="0.3">
      <c r="A920" s="9" t="s">
        <v>2546</v>
      </c>
      <c r="B920" s="9" t="s">
        <v>1633</v>
      </c>
      <c r="C920" s="9">
        <v>113</v>
      </c>
      <c r="D920" s="149" t="s">
        <v>1616</v>
      </c>
      <c r="E920" s="150">
        <v>45245</v>
      </c>
      <c r="F920" s="9">
        <v>34</v>
      </c>
      <c r="G920" s="9">
        <v>3.9</v>
      </c>
      <c r="H920" s="9">
        <f>IF(MONTH(Call_Table_Data[[#This Row],[Date of Call]])&lt;=6,YEAR(Call_Table_Data[[#This Row],[Date of Call]]),YEAR(Call_Table_Data[[#This Row],[Date of Call]])+1)</f>
        <v>2024</v>
      </c>
      <c r="I920" s="9" t="str">
        <f>TEXT(Call_Table_Data[[#This Row],[Date of Call]],"DDDD")</f>
        <v>Wednesday</v>
      </c>
      <c r="J920" s="9" t="str" cm="1">
        <f t="array" ref="J920">_xlfn.IFS(Call_Table_Data[[#This Row],[Duration]]&lt;=10,"Under 10 Mins",Call_Table_Data[[#This Row],[Duration]]&lt;=30,"10 to 30 Mins",Call_Table_Data[[#This Row],[Duration]]&lt;=60,"30 to 60 Mins",Call_Table_Data[[#This Row],[Duration]]&lt;=120,"1 to 2 Hours",TRUE,"More Than 2 Hours")</f>
        <v>1 to 2 Hours</v>
      </c>
      <c r="K920" s="9">
        <f>ROUND(Call_Table_Data[[#This Row],[Satisfaction Rating]],0)</f>
        <v>4</v>
      </c>
    </row>
    <row r="921" spans="1:11" x14ac:dyDescent="0.3">
      <c r="A921" s="9" t="s">
        <v>2547</v>
      </c>
      <c r="B921" s="9" t="s">
        <v>1620</v>
      </c>
      <c r="C921" s="9">
        <v>88</v>
      </c>
      <c r="D921" s="149" t="s">
        <v>1611</v>
      </c>
      <c r="E921" s="150">
        <v>45245</v>
      </c>
      <c r="F921" s="9">
        <v>220</v>
      </c>
      <c r="G921" s="9">
        <v>4.0999999999999996</v>
      </c>
      <c r="H921" s="9">
        <f>IF(MONTH(Call_Table_Data[[#This Row],[Date of Call]])&lt;=6,YEAR(Call_Table_Data[[#This Row],[Date of Call]]),YEAR(Call_Table_Data[[#This Row],[Date of Call]])+1)</f>
        <v>2024</v>
      </c>
      <c r="I921" s="9" t="str">
        <f>TEXT(Call_Table_Data[[#This Row],[Date of Call]],"DDDD")</f>
        <v>Wednesday</v>
      </c>
      <c r="J921" s="9" t="str" cm="1">
        <f t="array" ref="J921">_xlfn.IFS(Call_Table_Data[[#This Row],[Duration]]&lt;=10,"Under 10 Mins",Call_Table_Data[[#This Row],[Duration]]&lt;=30,"10 to 30 Mins",Call_Table_Data[[#This Row],[Duration]]&lt;=60,"30 to 60 Mins",Call_Table_Data[[#This Row],[Duration]]&lt;=120,"1 to 2 Hours",TRUE,"More Than 2 Hours")</f>
        <v>1 to 2 Hours</v>
      </c>
      <c r="K921" s="9">
        <f>ROUND(Call_Table_Data[[#This Row],[Satisfaction Rating]],0)</f>
        <v>4</v>
      </c>
    </row>
    <row r="922" spans="1:11" x14ac:dyDescent="0.3">
      <c r="A922" s="9" t="s">
        <v>2548</v>
      </c>
      <c r="B922" s="9" t="s">
        <v>1610</v>
      </c>
      <c r="C922" s="9">
        <v>64</v>
      </c>
      <c r="D922" s="149" t="s">
        <v>1630</v>
      </c>
      <c r="E922" s="150">
        <v>45245</v>
      </c>
      <c r="F922" s="9">
        <v>225</v>
      </c>
      <c r="G922" s="9">
        <v>4.5999999999999996</v>
      </c>
      <c r="H922" s="9">
        <f>IF(MONTH(Call_Table_Data[[#This Row],[Date of Call]])&lt;=6,YEAR(Call_Table_Data[[#This Row],[Date of Call]]),YEAR(Call_Table_Data[[#This Row],[Date of Call]])+1)</f>
        <v>2024</v>
      </c>
      <c r="I922" s="9" t="str">
        <f>TEXT(Call_Table_Data[[#This Row],[Date of Call]],"DDDD")</f>
        <v>Wednesday</v>
      </c>
      <c r="J922" s="9" t="str" cm="1">
        <f t="array" ref="J922">_xlfn.IFS(Call_Table_Data[[#This Row],[Duration]]&lt;=10,"Under 10 Mins",Call_Table_Data[[#This Row],[Duration]]&lt;=30,"10 to 30 Mins",Call_Table_Data[[#This Row],[Duration]]&lt;=60,"30 to 60 Mins",Call_Table_Data[[#This Row],[Duration]]&lt;=120,"1 to 2 Hours",TRUE,"More Than 2 Hours")</f>
        <v>1 to 2 Hours</v>
      </c>
      <c r="K922" s="9">
        <f>ROUND(Call_Table_Data[[#This Row],[Satisfaction Rating]],0)</f>
        <v>5</v>
      </c>
    </row>
    <row r="923" spans="1:11" x14ac:dyDescent="0.3">
      <c r="A923" s="9" t="s">
        <v>2549</v>
      </c>
      <c r="B923" s="9" t="s">
        <v>1615</v>
      </c>
      <c r="C923" s="9">
        <v>53</v>
      </c>
      <c r="D923" s="149" t="s">
        <v>1630</v>
      </c>
      <c r="E923" s="150">
        <v>45246</v>
      </c>
      <c r="F923" s="9">
        <v>37</v>
      </c>
      <c r="G923" s="9">
        <v>4.0999999999999996</v>
      </c>
      <c r="H923" s="9">
        <f>IF(MONTH(Call_Table_Data[[#This Row],[Date of Call]])&lt;=6,YEAR(Call_Table_Data[[#This Row],[Date of Call]]),YEAR(Call_Table_Data[[#This Row],[Date of Call]])+1)</f>
        <v>2024</v>
      </c>
      <c r="I923" s="9" t="str">
        <f>TEXT(Call_Table_Data[[#This Row],[Date of Call]],"DDDD")</f>
        <v>Thursday</v>
      </c>
      <c r="J923" s="9" t="str" cm="1">
        <f t="array" ref="J923">_xlfn.IFS(Call_Table_Data[[#This Row],[Duration]]&lt;=10,"Under 10 Mins",Call_Table_Data[[#This Row],[Duration]]&lt;=30,"10 to 30 Mins",Call_Table_Data[[#This Row],[Duration]]&lt;=60,"30 to 60 Mins",Call_Table_Data[[#This Row],[Duration]]&lt;=120,"1 to 2 Hours",TRUE,"More Than 2 Hours")</f>
        <v>30 to 60 Mins</v>
      </c>
      <c r="K923" s="9">
        <f>ROUND(Call_Table_Data[[#This Row],[Satisfaction Rating]],0)</f>
        <v>4</v>
      </c>
    </row>
    <row r="924" spans="1:11" x14ac:dyDescent="0.3">
      <c r="A924" s="9" t="s">
        <v>2550</v>
      </c>
      <c r="B924" s="9" t="s">
        <v>1652</v>
      </c>
      <c r="C924" s="9">
        <v>63</v>
      </c>
      <c r="D924" s="149" t="s">
        <v>1616</v>
      </c>
      <c r="E924" s="150">
        <v>45246</v>
      </c>
      <c r="F924" s="9">
        <v>44</v>
      </c>
      <c r="G924" s="9">
        <v>5</v>
      </c>
      <c r="H924" s="9">
        <f>IF(MONTH(Call_Table_Data[[#This Row],[Date of Call]])&lt;=6,YEAR(Call_Table_Data[[#This Row],[Date of Call]]),YEAR(Call_Table_Data[[#This Row],[Date of Call]])+1)</f>
        <v>2024</v>
      </c>
      <c r="I924" s="9" t="str">
        <f>TEXT(Call_Table_Data[[#This Row],[Date of Call]],"DDDD")</f>
        <v>Thursday</v>
      </c>
      <c r="J924" s="9" t="str" cm="1">
        <f t="array" ref="J924">_xlfn.IFS(Call_Table_Data[[#This Row],[Duration]]&lt;=10,"Under 10 Mins",Call_Table_Data[[#This Row],[Duration]]&lt;=30,"10 to 30 Mins",Call_Table_Data[[#This Row],[Duration]]&lt;=60,"30 to 60 Mins",Call_Table_Data[[#This Row],[Duration]]&lt;=120,"1 to 2 Hours",TRUE,"More Than 2 Hours")</f>
        <v>1 to 2 Hours</v>
      </c>
      <c r="K924" s="9">
        <f>ROUND(Call_Table_Data[[#This Row],[Satisfaction Rating]],0)</f>
        <v>5</v>
      </c>
    </row>
    <row r="925" spans="1:11" x14ac:dyDescent="0.3">
      <c r="A925" s="9" t="s">
        <v>2551</v>
      </c>
      <c r="B925" s="9" t="s">
        <v>1624</v>
      </c>
      <c r="C925" s="9">
        <v>54</v>
      </c>
      <c r="D925" s="149" t="s">
        <v>1616</v>
      </c>
      <c r="E925" s="150">
        <v>45247</v>
      </c>
      <c r="F925" s="9">
        <v>35</v>
      </c>
      <c r="G925" s="9">
        <v>2.8</v>
      </c>
      <c r="H925" s="9">
        <f>IF(MONTH(Call_Table_Data[[#This Row],[Date of Call]])&lt;=6,YEAR(Call_Table_Data[[#This Row],[Date of Call]]),YEAR(Call_Table_Data[[#This Row],[Date of Call]])+1)</f>
        <v>2024</v>
      </c>
      <c r="I925" s="9" t="str">
        <f>TEXT(Call_Table_Data[[#This Row],[Date of Call]],"DDDD")</f>
        <v>Friday</v>
      </c>
      <c r="J925" s="9" t="str" cm="1">
        <f t="array" ref="J925">_xlfn.IFS(Call_Table_Data[[#This Row],[Duration]]&lt;=10,"Under 10 Mins",Call_Table_Data[[#This Row],[Duration]]&lt;=30,"10 to 30 Mins",Call_Table_Data[[#This Row],[Duration]]&lt;=60,"30 to 60 Mins",Call_Table_Data[[#This Row],[Duration]]&lt;=120,"1 to 2 Hours",TRUE,"More Than 2 Hours")</f>
        <v>30 to 60 Mins</v>
      </c>
      <c r="K925" s="9">
        <f>ROUND(Call_Table_Data[[#This Row],[Satisfaction Rating]],0)</f>
        <v>3</v>
      </c>
    </row>
    <row r="926" spans="1:11" x14ac:dyDescent="0.3">
      <c r="A926" s="9" t="s">
        <v>2552</v>
      </c>
      <c r="B926" s="9" t="s">
        <v>1652</v>
      </c>
      <c r="C926" s="9">
        <v>54</v>
      </c>
      <c r="D926" s="149" t="s">
        <v>1611</v>
      </c>
      <c r="E926" s="150">
        <v>45247</v>
      </c>
      <c r="F926" s="9">
        <v>145</v>
      </c>
      <c r="G926" s="9">
        <v>2.7</v>
      </c>
      <c r="H926" s="9">
        <f>IF(MONTH(Call_Table_Data[[#This Row],[Date of Call]])&lt;=6,YEAR(Call_Table_Data[[#This Row],[Date of Call]]),YEAR(Call_Table_Data[[#This Row],[Date of Call]])+1)</f>
        <v>2024</v>
      </c>
      <c r="I926" s="9" t="str">
        <f>TEXT(Call_Table_Data[[#This Row],[Date of Call]],"DDDD")</f>
        <v>Friday</v>
      </c>
      <c r="J926" s="9" t="str" cm="1">
        <f t="array" ref="J926">_xlfn.IFS(Call_Table_Data[[#This Row],[Duration]]&lt;=10,"Under 10 Mins",Call_Table_Data[[#This Row],[Duration]]&lt;=30,"10 to 30 Mins",Call_Table_Data[[#This Row],[Duration]]&lt;=60,"30 to 60 Mins",Call_Table_Data[[#This Row],[Duration]]&lt;=120,"1 to 2 Hours",TRUE,"More Than 2 Hours")</f>
        <v>30 to 60 Mins</v>
      </c>
      <c r="K926" s="9">
        <f>ROUND(Call_Table_Data[[#This Row],[Satisfaction Rating]],0)</f>
        <v>3</v>
      </c>
    </row>
    <row r="927" spans="1:11" x14ac:dyDescent="0.3">
      <c r="A927" s="9" t="s">
        <v>2553</v>
      </c>
      <c r="B927" s="9" t="s">
        <v>1629</v>
      </c>
      <c r="C927" s="9">
        <v>71</v>
      </c>
      <c r="D927" s="149" t="s">
        <v>1630</v>
      </c>
      <c r="E927" s="150">
        <v>45247</v>
      </c>
      <c r="F927" s="9">
        <v>64</v>
      </c>
      <c r="G927" s="9">
        <v>3.9</v>
      </c>
      <c r="H927" s="9">
        <f>IF(MONTH(Call_Table_Data[[#This Row],[Date of Call]])&lt;=6,YEAR(Call_Table_Data[[#This Row],[Date of Call]]),YEAR(Call_Table_Data[[#This Row],[Date of Call]])+1)</f>
        <v>2024</v>
      </c>
      <c r="I927" s="9" t="str">
        <f>TEXT(Call_Table_Data[[#This Row],[Date of Call]],"DDDD")</f>
        <v>Friday</v>
      </c>
      <c r="J927" s="9" t="str" cm="1">
        <f t="array" ref="J927">_xlfn.IFS(Call_Table_Data[[#This Row],[Duration]]&lt;=10,"Under 10 Mins",Call_Table_Data[[#This Row],[Duration]]&lt;=30,"10 to 30 Mins",Call_Table_Data[[#This Row],[Duration]]&lt;=60,"30 to 60 Mins",Call_Table_Data[[#This Row],[Duration]]&lt;=120,"1 to 2 Hours",TRUE,"More Than 2 Hours")</f>
        <v>1 to 2 Hours</v>
      </c>
      <c r="K927" s="9">
        <f>ROUND(Call_Table_Data[[#This Row],[Satisfaction Rating]],0)</f>
        <v>4</v>
      </c>
    </row>
    <row r="928" spans="1:11" x14ac:dyDescent="0.3">
      <c r="A928" s="9" t="s">
        <v>2554</v>
      </c>
      <c r="B928" s="9" t="s">
        <v>1652</v>
      </c>
      <c r="C928" s="9">
        <v>93</v>
      </c>
      <c r="D928" s="149" t="s">
        <v>1611</v>
      </c>
      <c r="E928" s="150">
        <v>45248</v>
      </c>
      <c r="F928" s="9">
        <v>185</v>
      </c>
      <c r="G928" s="9">
        <v>4.3</v>
      </c>
      <c r="H928" s="9">
        <f>IF(MONTH(Call_Table_Data[[#This Row],[Date of Call]])&lt;=6,YEAR(Call_Table_Data[[#This Row],[Date of Call]]),YEAR(Call_Table_Data[[#This Row],[Date of Call]])+1)</f>
        <v>2024</v>
      </c>
      <c r="I928" s="9" t="str">
        <f>TEXT(Call_Table_Data[[#This Row],[Date of Call]],"DDDD")</f>
        <v>Saturday</v>
      </c>
      <c r="J928" s="9" t="str" cm="1">
        <f t="array" ref="J928">_xlfn.IFS(Call_Table_Data[[#This Row],[Duration]]&lt;=10,"Under 10 Mins",Call_Table_Data[[#This Row],[Duration]]&lt;=30,"10 to 30 Mins",Call_Table_Data[[#This Row],[Duration]]&lt;=60,"30 to 60 Mins",Call_Table_Data[[#This Row],[Duration]]&lt;=120,"1 to 2 Hours",TRUE,"More Than 2 Hours")</f>
        <v>1 to 2 Hours</v>
      </c>
      <c r="K928" s="9">
        <f>ROUND(Call_Table_Data[[#This Row],[Satisfaction Rating]],0)</f>
        <v>4</v>
      </c>
    </row>
    <row r="929" spans="1:11" x14ac:dyDescent="0.3">
      <c r="A929" s="9" t="s">
        <v>2555</v>
      </c>
      <c r="B929" s="9" t="s">
        <v>1618</v>
      </c>
      <c r="C929" s="9">
        <v>96</v>
      </c>
      <c r="D929" s="149" t="s">
        <v>1616</v>
      </c>
      <c r="E929" s="150">
        <v>45248</v>
      </c>
      <c r="F929" s="9">
        <v>215</v>
      </c>
      <c r="G929" s="9">
        <v>2.5</v>
      </c>
      <c r="H929" s="9">
        <f>IF(MONTH(Call_Table_Data[[#This Row],[Date of Call]])&lt;=6,YEAR(Call_Table_Data[[#This Row],[Date of Call]]),YEAR(Call_Table_Data[[#This Row],[Date of Call]])+1)</f>
        <v>2024</v>
      </c>
      <c r="I929" s="9" t="str">
        <f>TEXT(Call_Table_Data[[#This Row],[Date of Call]],"DDDD")</f>
        <v>Saturday</v>
      </c>
      <c r="J929" s="9" t="str" cm="1">
        <f t="array" ref="J929">_xlfn.IFS(Call_Table_Data[[#This Row],[Duration]]&lt;=10,"Under 10 Mins",Call_Table_Data[[#This Row],[Duration]]&lt;=30,"10 to 30 Mins",Call_Table_Data[[#This Row],[Duration]]&lt;=60,"30 to 60 Mins",Call_Table_Data[[#This Row],[Duration]]&lt;=120,"1 to 2 Hours",TRUE,"More Than 2 Hours")</f>
        <v>1 to 2 Hours</v>
      </c>
      <c r="K929" s="9">
        <f>ROUND(Call_Table_Data[[#This Row],[Satisfaction Rating]],0)</f>
        <v>3</v>
      </c>
    </row>
    <row r="930" spans="1:11" x14ac:dyDescent="0.3">
      <c r="A930" s="9" t="s">
        <v>2556</v>
      </c>
      <c r="B930" s="9" t="s">
        <v>1635</v>
      </c>
      <c r="C930" s="9">
        <v>31</v>
      </c>
      <c r="D930" s="149" t="s">
        <v>1621</v>
      </c>
      <c r="E930" s="150">
        <v>45248</v>
      </c>
      <c r="F930" s="9">
        <v>88</v>
      </c>
      <c r="G930" s="9">
        <v>3.4</v>
      </c>
      <c r="H930" s="9">
        <f>IF(MONTH(Call_Table_Data[[#This Row],[Date of Call]])&lt;=6,YEAR(Call_Table_Data[[#This Row],[Date of Call]]),YEAR(Call_Table_Data[[#This Row],[Date of Call]])+1)</f>
        <v>2024</v>
      </c>
      <c r="I930" s="9" t="str">
        <f>TEXT(Call_Table_Data[[#This Row],[Date of Call]],"DDDD")</f>
        <v>Saturday</v>
      </c>
      <c r="J930" s="9" t="str" cm="1">
        <f t="array" ref="J930">_xlfn.IFS(Call_Table_Data[[#This Row],[Duration]]&lt;=10,"Under 10 Mins",Call_Table_Data[[#This Row],[Duration]]&lt;=30,"10 to 30 Mins",Call_Table_Data[[#This Row],[Duration]]&lt;=60,"30 to 60 Mins",Call_Table_Data[[#This Row],[Duration]]&lt;=120,"1 to 2 Hours",TRUE,"More Than 2 Hours")</f>
        <v>30 to 60 Mins</v>
      </c>
      <c r="K930" s="9">
        <f>ROUND(Call_Table_Data[[#This Row],[Satisfaction Rating]],0)</f>
        <v>3</v>
      </c>
    </row>
    <row r="931" spans="1:11" x14ac:dyDescent="0.3">
      <c r="A931" s="9" t="s">
        <v>2557</v>
      </c>
      <c r="B931" s="9" t="s">
        <v>1652</v>
      </c>
      <c r="C931" s="9">
        <v>107</v>
      </c>
      <c r="D931" s="149" t="s">
        <v>1630</v>
      </c>
      <c r="E931" s="150">
        <v>45248</v>
      </c>
      <c r="F931" s="9">
        <v>23</v>
      </c>
      <c r="G931" s="9">
        <v>3.4</v>
      </c>
      <c r="H931" s="9">
        <f>IF(MONTH(Call_Table_Data[[#This Row],[Date of Call]])&lt;=6,YEAR(Call_Table_Data[[#This Row],[Date of Call]]),YEAR(Call_Table_Data[[#This Row],[Date of Call]])+1)</f>
        <v>2024</v>
      </c>
      <c r="I931" s="9" t="str">
        <f>TEXT(Call_Table_Data[[#This Row],[Date of Call]],"DDDD")</f>
        <v>Saturday</v>
      </c>
      <c r="J931" s="9" t="str" cm="1">
        <f t="array" ref="J931">_xlfn.IFS(Call_Table_Data[[#This Row],[Duration]]&lt;=10,"Under 10 Mins",Call_Table_Data[[#This Row],[Duration]]&lt;=30,"10 to 30 Mins",Call_Table_Data[[#This Row],[Duration]]&lt;=60,"30 to 60 Mins",Call_Table_Data[[#This Row],[Duration]]&lt;=120,"1 to 2 Hours",TRUE,"More Than 2 Hours")</f>
        <v>1 to 2 Hours</v>
      </c>
      <c r="K931" s="9">
        <f>ROUND(Call_Table_Data[[#This Row],[Satisfaction Rating]],0)</f>
        <v>3</v>
      </c>
    </row>
    <row r="932" spans="1:11" x14ac:dyDescent="0.3">
      <c r="A932" s="9" t="s">
        <v>2558</v>
      </c>
      <c r="B932" s="9" t="s">
        <v>1615</v>
      </c>
      <c r="C932" s="9">
        <v>50</v>
      </c>
      <c r="D932" s="149" t="s">
        <v>1621</v>
      </c>
      <c r="E932" s="150">
        <v>45249</v>
      </c>
      <c r="F932" s="9">
        <v>180</v>
      </c>
      <c r="G932" s="9">
        <v>1.8</v>
      </c>
      <c r="H932" s="9">
        <f>IF(MONTH(Call_Table_Data[[#This Row],[Date of Call]])&lt;=6,YEAR(Call_Table_Data[[#This Row],[Date of Call]]),YEAR(Call_Table_Data[[#This Row],[Date of Call]])+1)</f>
        <v>2024</v>
      </c>
      <c r="I932" s="9" t="str">
        <f>TEXT(Call_Table_Data[[#This Row],[Date of Call]],"DDDD")</f>
        <v>Sunday</v>
      </c>
      <c r="J932" s="9" t="str" cm="1">
        <f t="array" ref="J932">_xlfn.IFS(Call_Table_Data[[#This Row],[Duration]]&lt;=10,"Under 10 Mins",Call_Table_Data[[#This Row],[Duration]]&lt;=30,"10 to 30 Mins",Call_Table_Data[[#This Row],[Duration]]&lt;=60,"30 to 60 Mins",Call_Table_Data[[#This Row],[Duration]]&lt;=120,"1 to 2 Hours",TRUE,"More Than 2 Hours")</f>
        <v>30 to 60 Mins</v>
      </c>
      <c r="K932" s="9">
        <f>ROUND(Call_Table_Data[[#This Row],[Satisfaction Rating]],0)</f>
        <v>2</v>
      </c>
    </row>
    <row r="933" spans="1:11" x14ac:dyDescent="0.3">
      <c r="A933" s="9" t="s">
        <v>2559</v>
      </c>
      <c r="B933" s="9" t="s">
        <v>1662</v>
      </c>
      <c r="C933" s="9">
        <v>69</v>
      </c>
      <c r="D933" s="149" t="s">
        <v>1630</v>
      </c>
      <c r="E933" s="150">
        <v>45250</v>
      </c>
      <c r="F933" s="9">
        <v>225</v>
      </c>
      <c r="G933" s="9">
        <v>3.7</v>
      </c>
      <c r="H933" s="9">
        <f>IF(MONTH(Call_Table_Data[[#This Row],[Date of Call]])&lt;=6,YEAR(Call_Table_Data[[#This Row],[Date of Call]]),YEAR(Call_Table_Data[[#This Row],[Date of Call]])+1)</f>
        <v>2024</v>
      </c>
      <c r="I933" s="9" t="str">
        <f>TEXT(Call_Table_Data[[#This Row],[Date of Call]],"DDDD")</f>
        <v>Monday</v>
      </c>
      <c r="J933" s="9" t="str" cm="1">
        <f t="array" ref="J933">_xlfn.IFS(Call_Table_Data[[#This Row],[Duration]]&lt;=10,"Under 10 Mins",Call_Table_Data[[#This Row],[Duration]]&lt;=30,"10 to 30 Mins",Call_Table_Data[[#This Row],[Duration]]&lt;=60,"30 to 60 Mins",Call_Table_Data[[#This Row],[Duration]]&lt;=120,"1 to 2 Hours",TRUE,"More Than 2 Hours")</f>
        <v>1 to 2 Hours</v>
      </c>
      <c r="K933" s="9">
        <f>ROUND(Call_Table_Data[[#This Row],[Satisfaction Rating]],0)</f>
        <v>4</v>
      </c>
    </row>
    <row r="934" spans="1:11" x14ac:dyDescent="0.3">
      <c r="A934" s="9" t="s">
        <v>2560</v>
      </c>
      <c r="B934" s="9" t="s">
        <v>1620</v>
      </c>
      <c r="C934" s="9">
        <v>26</v>
      </c>
      <c r="D934" s="149" t="s">
        <v>1616</v>
      </c>
      <c r="E934" s="150">
        <v>45251</v>
      </c>
      <c r="F934" s="9">
        <v>74</v>
      </c>
      <c r="G934" s="9">
        <v>4.0999999999999996</v>
      </c>
      <c r="H934" s="9">
        <f>IF(MONTH(Call_Table_Data[[#This Row],[Date of Call]])&lt;=6,YEAR(Call_Table_Data[[#This Row],[Date of Call]]),YEAR(Call_Table_Data[[#This Row],[Date of Call]])+1)</f>
        <v>2024</v>
      </c>
      <c r="I934" s="9" t="str">
        <f>TEXT(Call_Table_Data[[#This Row],[Date of Call]],"DDDD")</f>
        <v>Tuesday</v>
      </c>
      <c r="J934" s="9" t="str" cm="1">
        <f t="array" ref="J934">_xlfn.IFS(Call_Table_Data[[#This Row],[Duration]]&lt;=10,"Under 10 Mins",Call_Table_Data[[#This Row],[Duration]]&lt;=30,"10 to 30 Mins",Call_Table_Data[[#This Row],[Duration]]&lt;=60,"30 to 60 Mins",Call_Table_Data[[#This Row],[Duration]]&lt;=120,"1 to 2 Hours",TRUE,"More Than 2 Hours")</f>
        <v>10 to 30 Mins</v>
      </c>
      <c r="K934" s="9">
        <f>ROUND(Call_Table_Data[[#This Row],[Satisfaction Rating]],0)</f>
        <v>4</v>
      </c>
    </row>
    <row r="935" spans="1:11" x14ac:dyDescent="0.3">
      <c r="A935" s="9" t="s">
        <v>2561</v>
      </c>
      <c r="B935" s="9" t="s">
        <v>1618</v>
      </c>
      <c r="C935" s="9">
        <v>158</v>
      </c>
      <c r="D935" s="149" t="s">
        <v>1630</v>
      </c>
      <c r="E935" s="150">
        <v>45251</v>
      </c>
      <c r="F935" s="9">
        <v>36</v>
      </c>
      <c r="G935" s="9">
        <v>3</v>
      </c>
      <c r="H935" s="9">
        <f>IF(MONTH(Call_Table_Data[[#This Row],[Date of Call]])&lt;=6,YEAR(Call_Table_Data[[#This Row],[Date of Call]]),YEAR(Call_Table_Data[[#This Row],[Date of Call]])+1)</f>
        <v>2024</v>
      </c>
      <c r="I935" s="9" t="str">
        <f>TEXT(Call_Table_Data[[#This Row],[Date of Call]],"DDDD")</f>
        <v>Tuesday</v>
      </c>
      <c r="J935" s="9" t="str" cm="1">
        <f t="array" ref="J935">_xlfn.IFS(Call_Table_Data[[#This Row],[Duration]]&lt;=10,"Under 10 Mins",Call_Table_Data[[#This Row],[Duration]]&lt;=30,"10 to 30 Mins",Call_Table_Data[[#This Row],[Duration]]&lt;=60,"30 to 60 Mins",Call_Table_Data[[#This Row],[Duration]]&lt;=120,"1 to 2 Hours",TRUE,"More Than 2 Hours")</f>
        <v>More Than 2 Hours</v>
      </c>
      <c r="K935" s="9">
        <f>ROUND(Call_Table_Data[[#This Row],[Satisfaction Rating]],0)</f>
        <v>3</v>
      </c>
    </row>
    <row r="936" spans="1:11" x14ac:dyDescent="0.3">
      <c r="A936" s="9" t="s">
        <v>2562</v>
      </c>
      <c r="B936" s="9" t="s">
        <v>1624</v>
      </c>
      <c r="C936" s="9">
        <v>99</v>
      </c>
      <c r="D936" s="149" t="s">
        <v>1630</v>
      </c>
      <c r="E936" s="150">
        <v>45253</v>
      </c>
      <c r="F936" s="9">
        <v>116</v>
      </c>
      <c r="G936" s="9">
        <v>3.9</v>
      </c>
      <c r="H936" s="9">
        <f>IF(MONTH(Call_Table_Data[[#This Row],[Date of Call]])&lt;=6,YEAR(Call_Table_Data[[#This Row],[Date of Call]]),YEAR(Call_Table_Data[[#This Row],[Date of Call]])+1)</f>
        <v>2024</v>
      </c>
      <c r="I936" s="9" t="str">
        <f>TEXT(Call_Table_Data[[#This Row],[Date of Call]],"DDDD")</f>
        <v>Thursday</v>
      </c>
      <c r="J936" s="9" t="str" cm="1">
        <f t="array" ref="J936">_xlfn.IFS(Call_Table_Data[[#This Row],[Duration]]&lt;=10,"Under 10 Mins",Call_Table_Data[[#This Row],[Duration]]&lt;=30,"10 to 30 Mins",Call_Table_Data[[#This Row],[Duration]]&lt;=60,"30 to 60 Mins",Call_Table_Data[[#This Row],[Duration]]&lt;=120,"1 to 2 Hours",TRUE,"More Than 2 Hours")</f>
        <v>1 to 2 Hours</v>
      </c>
      <c r="K936" s="9">
        <f>ROUND(Call_Table_Data[[#This Row],[Satisfaction Rating]],0)</f>
        <v>4</v>
      </c>
    </row>
    <row r="937" spans="1:11" x14ac:dyDescent="0.3">
      <c r="A937" s="9" t="s">
        <v>2563</v>
      </c>
      <c r="B937" s="9" t="s">
        <v>1618</v>
      </c>
      <c r="C937" s="9">
        <v>78</v>
      </c>
      <c r="D937" s="149" t="s">
        <v>1621</v>
      </c>
      <c r="E937" s="150">
        <v>45253</v>
      </c>
      <c r="F937" s="9">
        <v>140</v>
      </c>
      <c r="G937" s="9">
        <v>4</v>
      </c>
      <c r="H937" s="9">
        <f>IF(MONTH(Call_Table_Data[[#This Row],[Date of Call]])&lt;=6,YEAR(Call_Table_Data[[#This Row],[Date of Call]]),YEAR(Call_Table_Data[[#This Row],[Date of Call]])+1)</f>
        <v>2024</v>
      </c>
      <c r="I937" s="9" t="str">
        <f>TEXT(Call_Table_Data[[#This Row],[Date of Call]],"DDDD")</f>
        <v>Thursday</v>
      </c>
      <c r="J937" s="9" t="str" cm="1">
        <f t="array" ref="J937">_xlfn.IFS(Call_Table_Data[[#This Row],[Duration]]&lt;=10,"Under 10 Mins",Call_Table_Data[[#This Row],[Duration]]&lt;=30,"10 to 30 Mins",Call_Table_Data[[#This Row],[Duration]]&lt;=60,"30 to 60 Mins",Call_Table_Data[[#This Row],[Duration]]&lt;=120,"1 to 2 Hours",TRUE,"More Than 2 Hours")</f>
        <v>1 to 2 Hours</v>
      </c>
      <c r="K937" s="9">
        <f>ROUND(Call_Table_Data[[#This Row],[Satisfaction Rating]],0)</f>
        <v>4</v>
      </c>
    </row>
    <row r="938" spans="1:11" x14ac:dyDescent="0.3">
      <c r="A938" s="9" t="s">
        <v>2564</v>
      </c>
      <c r="B938" s="9" t="s">
        <v>1618</v>
      </c>
      <c r="C938" s="9">
        <v>102</v>
      </c>
      <c r="D938" s="149" t="s">
        <v>1616</v>
      </c>
      <c r="E938" s="150">
        <v>45254</v>
      </c>
      <c r="F938" s="9">
        <v>104</v>
      </c>
      <c r="G938" s="9">
        <v>4.5</v>
      </c>
      <c r="H938" s="9">
        <f>IF(MONTH(Call_Table_Data[[#This Row],[Date of Call]])&lt;=6,YEAR(Call_Table_Data[[#This Row],[Date of Call]]),YEAR(Call_Table_Data[[#This Row],[Date of Call]])+1)</f>
        <v>2024</v>
      </c>
      <c r="I938" s="9" t="str">
        <f>TEXT(Call_Table_Data[[#This Row],[Date of Call]],"DDDD")</f>
        <v>Friday</v>
      </c>
      <c r="J938" s="9" t="str" cm="1">
        <f t="array" ref="J938">_xlfn.IFS(Call_Table_Data[[#This Row],[Duration]]&lt;=10,"Under 10 Mins",Call_Table_Data[[#This Row],[Duration]]&lt;=30,"10 to 30 Mins",Call_Table_Data[[#This Row],[Duration]]&lt;=60,"30 to 60 Mins",Call_Table_Data[[#This Row],[Duration]]&lt;=120,"1 to 2 Hours",TRUE,"More Than 2 Hours")</f>
        <v>1 to 2 Hours</v>
      </c>
      <c r="K938" s="9">
        <f>ROUND(Call_Table_Data[[#This Row],[Satisfaction Rating]],0)</f>
        <v>5</v>
      </c>
    </row>
    <row r="939" spans="1:11" x14ac:dyDescent="0.3">
      <c r="A939" s="9" t="s">
        <v>2565</v>
      </c>
      <c r="B939" s="9" t="s">
        <v>1624</v>
      </c>
      <c r="C939" s="9">
        <v>158</v>
      </c>
      <c r="D939" s="149" t="s">
        <v>1626</v>
      </c>
      <c r="E939" s="150">
        <v>45254</v>
      </c>
      <c r="F939" s="9">
        <v>148</v>
      </c>
      <c r="G939" s="9">
        <v>4</v>
      </c>
      <c r="H939" s="9">
        <f>IF(MONTH(Call_Table_Data[[#This Row],[Date of Call]])&lt;=6,YEAR(Call_Table_Data[[#This Row],[Date of Call]]),YEAR(Call_Table_Data[[#This Row],[Date of Call]])+1)</f>
        <v>2024</v>
      </c>
      <c r="I939" s="9" t="str">
        <f>TEXT(Call_Table_Data[[#This Row],[Date of Call]],"DDDD")</f>
        <v>Friday</v>
      </c>
      <c r="J939" s="9" t="str" cm="1">
        <f t="array" ref="J939">_xlfn.IFS(Call_Table_Data[[#This Row],[Duration]]&lt;=10,"Under 10 Mins",Call_Table_Data[[#This Row],[Duration]]&lt;=30,"10 to 30 Mins",Call_Table_Data[[#This Row],[Duration]]&lt;=60,"30 to 60 Mins",Call_Table_Data[[#This Row],[Duration]]&lt;=120,"1 to 2 Hours",TRUE,"More Than 2 Hours")</f>
        <v>More Than 2 Hours</v>
      </c>
      <c r="K939" s="9">
        <f>ROUND(Call_Table_Data[[#This Row],[Satisfaction Rating]],0)</f>
        <v>4</v>
      </c>
    </row>
    <row r="940" spans="1:11" x14ac:dyDescent="0.3">
      <c r="A940" s="9" t="s">
        <v>2566</v>
      </c>
      <c r="B940" s="9" t="s">
        <v>1635</v>
      </c>
      <c r="C940" s="9">
        <v>56</v>
      </c>
      <c r="D940" s="149" t="s">
        <v>1630</v>
      </c>
      <c r="E940" s="150">
        <v>45254</v>
      </c>
      <c r="F940" s="9">
        <v>205</v>
      </c>
      <c r="G940" s="9">
        <v>4.3</v>
      </c>
      <c r="H940" s="9">
        <f>IF(MONTH(Call_Table_Data[[#This Row],[Date of Call]])&lt;=6,YEAR(Call_Table_Data[[#This Row],[Date of Call]]),YEAR(Call_Table_Data[[#This Row],[Date of Call]])+1)</f>
        <v>2024</v>
      </c>
      <c r="I940" s="9" t="str">
        <f>TEXT(Call_Table_Data[[#This Row],[Date of Call]],"DDDD")</f>
        <v>Friday</v>
      </c>
      <c r="J940" s="9" t="str" cm="1">
        <f t="array" ref="J940">_xlfn.IFS(Call_Table_Data[[#This Row],[Duration]]&lt;=10,"Under 10 Mins",Call_Table_Data[[#This Row],[Duration]]&lt;=30,"10 to 30 Mins",Call_Table_Data[[#This Row],[Duration]]&lt;=60,"30 to 60 Mins",Call_Table_Data[[#This Row],[Duration]]&lt;=120,"1 to 2 Hours",TRUE,"More Than 2 Hours")</f>
        <v>30 to 60 Mins</v>
      </c>
      <c r="K940" s="9">
        <f>ROUND(Call_Table_Data[[#This Row],[Satisfaction Rating]],0)</f>
        <v>4</v>
      </c>
    </row>
    <row r="941" spans="1:11" x14ac:dyDescent="0.3">
      <c r="A941" s="9" t="s">
        <v>2567</v>
      </c>
      <c r="B941" s="9" t="s">
        <v>1613</v>
      </c>
      <c r="C941" s="9">
        <v>17</v>
      </c>
      <c r="D941" s="149" t="s">
        <v>1611</v>
      </c>
      <c r="E941" s="150">
        <v>45254</v>
      </c>
      <c r="F941" s="9">
        <v>210</v>
      </c>
      <c r="G941" s="9">
        <v>4.8</v>
      </c>
      <c r="H941" s="9">
        <f>IF(MONTH(Call_Table_Data[[#This Row],[Date of Call]])&lt;=6,YEAR(Call_Table_Data[[#This Row],[Date of Call]]),YEAR(Call_Table_Data[[#This Row],[Date of Call]])+1)</f>
        <v>2024</v>
      </c>
      <c r="I941" s="9" t="str">
        <f>TEXT(Call_Table_Data[[#This Row],[Date of Call]],"DDDD")</f>
        <v>Friday</v>
      </c>
      <c r="J941" s="9" t="str" cm="1">
        <f t="array" ref="J941">_xlfn.IFS(Call_Table_Data[[#This Row],[Duration]]&lt;=10,"Under 10 Mins",Call_Table_Data[[#This Row],[Duration]]&lt;=30,"10 to 30 Mins",Call_Table_Data[[#This Row],[Duration]]&lt;=60,"30 to 60 Mins",Call_Table_Data[[#This Row],[Duration]]&lt;=120,"1 to 2 Hours",TRUE,"More Than 2 Hours")</f>
        <v>10 to 30 Mins</v>
      </c>
      <c r="K941" s="9">
        <f>ROUND(Call_Table_Data[[#This Row],[Satisfaction Rating]],0)</f>
        <v>5</v>
      </c>
    </row>
    <row r="942" spans="1:11" x14ac:dyDescent="0.3">
      <c r="A942" s="9" t="s">
        <v>2568</v>
      </c>
      <c r="B942" s="9" t="s">
        <v>1620</v>
      </c>
      <c r="C942" s="9">
        <v>104</v>
      </c>
      <c r="D942" s="149" t="s">
        <v>1626</v>
      </c>
      <c r="E942" s="150">
        <v>45256</v>
      </c>
      <c r="F942" s="9">
        <v>41</v>
      </c>
      <c r="G942" s="9">
        <v>4.7</v>
      </c>
      <c r="H942" s="9">
        <f>IF(MONTH(Call_Table_Data[[#This Row],[Date of Call]])&lt;=6,YEAR(Call_Table_Data[[#This Row],[Date of Call]]),YEAR(Call_Table_Data[[#This Row],[Date of Call]])+1)</f>
        <v>2024</v>
      </c>
      <c r="I942" s="9" t="str">
        <f>TEXT(Call_Table_Data[[#This Row],[Date of Call]],"DDDD")</f>
        <v>Sunday</v>
      </c>
      <c r="J942" s="9" t="str" cm="1">
        <f t="array" ref="J942">_xlfn.IFS(Call_Table_Data[[#This Row],[Duration]]&lt;=10,"Under 10 Mins",Call_Table_Data[[#This Row],[Duration]]&lt;=30,"10 to 30 Mins",Call_Table_Data[[#This Row],[Duration]]&lt;=60,"30 to 60 Mins",Call_Table_Data[[#This Row],[Duration]]&lt;=120,"1 to 2 Hours",TRUE,"More Than 2 Hours")</f>
        <v>1 to 2 Hours</v>
      </c>
      <c r="K942" s="9">
        <f>ROUND(Call_Table_Data[[#This Row],[Satisfaction Rating]],0)</f>
        <v>5</v>
      </c>
    </row>
    <row r="943" spans="1:11" x14ac:dyDescent="0.3">
      <c r="A943" s="9" t="s">
        <v>2569</v>
      </c>
      <c r="B943" s="9" t="s">
        <v>1649</v>
      </c>
      <c r="C943" s="9">
        <v>96</v>
      </c>
      <c r="D943" s="149" t="s">
        <v>1621</v>
      </c>
      <c r="E943" s="150">
        <v>45256</v>
      </c>
      <c r="F943" s="9">
        <v>136</v>
      </c>
      <c r="G943" s="9">
        <v>5</v>
      </c>
      <c r="H943" s="9">
        <f>IF(MONTH(Call_Table_Data[[#This Row],[Date of Call]])&lt;=6,YEAR(Call_Table_Data[[#This Row],[Date of Call]]),YEAR(Call_Table_Data[[#This Row],[Date of Call]])+1)</f>
        <v>2024</v>
      </c>
      <c r="I943" s="9" t="str">
        <f>TEXT(Call_Table_Data[[#This Row],[Date of Call]],"DDDD")</f>
        <v>Sunday</v>
      </c>
      <c r="J943" s="9" t="str" cm="1">
        <f t="array" ref="J943">_xlfn.IFS(Call_Table_Data[[#This Row],[Duration]]&lt;=10,"Under 10 Mins",Call_Table_Data[[#This Row],[Duration]]&lt;=30,"10 to 30 Mins",Call_Table_Data[[#This Row],[Duration]]&lt;=60,"30 to 60 Mins",Call_Table_Data[[#This Row],[Duration]]&lt;=120,"1 to 2 Hours",TRUE,"More Than 2 Hours")</f>
        <v>1 to 2 Hours</v>
      </c>
      <c r="K943" s="9">
        <f>ROUND(Call_Table_Data[[#This Row],[Satisfaction Rating]],0)</f>
        <v>5</v>
      </c>
    </row>
    <row r="944" spans="1:11" x14ac:dyDescent="0.3">
      <c r="A944" s="9" t="s">
        <v>2570</v>
      </c>
      <c r="B944" s="9" t="s">
        <v>1641</v>
      </c>
      <c r="C944" s="9">
        <v>83</v>
      </c>
      <c r="D944" s="149" t="s">
        <v>1616</v>
      </c>
      <c r="E944" s="150">
        <v>45257</v>
      </c>
      <c r="F944" s="9">
        <v>126</v>
      </c>
      <c r="G944" s="9">
        <v>1.5</v>
      </c>
      <c r="H944" s="9">
        <f>IF(MONTH(Call_Table_Data[[#This Row],[Date of Call]])&lt;=6,YEAR(Call_Table_Data[[#This Row],[Date of Call]]),YEAR(Call_Table_Data[[#This Row],[Date of Call]])+1)</f>
        <v>2024</v>
      </c>
      <c r="I944" s="9" t="str">
        <f>TEXT(Call_Table_Data[[#This Row],[Date of Call]],"DDDD")</f>
        <v>Monday</v>
      </c>
      <c r="J944" s="9" t="str" cm="1">
        <f t="array" ref="J944">_xlfn.IFS(Call_Table_Data[[#This Row],[Duration]]&lt;=10,"Under 10 Mins",Call_Table_Data[[#This Row],[Duration]]&lt;=30,"10 to 30 Mins",Call_Table_Data[[#This Row],[Duration]]&lt;=60,"30 to 60 Mins",Call_Table_Data[[#This Row],[Duration]]&lt;=120,"1 to 2 Hours",TRUE,"More Than 2 Hours")</f>
        <v>1 to 2 Hours</v>
      </c>
      <c r="K944" s="9">
        <f>ROUND(Call_Table_Data[[#This Row],[Satisfaction Rating]],0)</f>
        <v>2</v>
      </c>
    </row>
    <row r="945" spans="1:11" x14ac:dyDescent="0.3">
      <c r="A945" s="9" t="s">
        <v>2571</v>
      </c>
      <c r="B945" s="9" t="s">
        <v>1615</v>
      </c>
      <c r="C945" s="9">
        <v>80</v>
      </c>
      <c r="D945" s="149" t="s">
        <v>1611</v>
      </c>
      <c r="E945" s="150">
        <v>45258</v>
      </c>
      <c r="F945" s="9">
        <v>148</v>
      </c>
      <c r="G945" s="9">
        <v>4.0999999999999996</v>
      </c>
      <c r="H945" s="9">
        <f>IF(MONTH(Call_Table_Data[[#This Row],[Date of Call]])&lt;=6,YEAR(Call_Table_Data[[#This Row],[Date of Call]]),YEAR(Call_Table_Data[[#This Row],[Date of Call]])+1)</f>
        <v>2024</v>
      </c>
      <c r="I945" s="9" t="str">
        <f>TEXT(Call_Table_Data[[#This Row],[Date of Call]],"DDDD")</f>
        <v>Tuesday</v>
      </c>
      <c r="J945" s="9" t="str" cm="1">
        <f t="array" ref="J945">_xlfn.IFS(Call_Table_Data[[#This Row],[Duration]]&lt;=10,"Under 10 Mins",Call_Table_Data[[#This Row],[Duration]]&lt;=30,"10 to 30 Mins",Call_Table_Data[[#This Row],[Duration]]&lt;=60,"30 to 60 Mins",Call_Table_Data[[#This Row],[Duration]]&lt;=120,"1 to 2 Hours",TRUE,"More Than 2 Hours")</f>
        <v>1 to 2 Hours</v>
      </c>
      <c r="K945" s="9">
        <f>ROUND(Call_Table_Data[[#This Row],[Satisfaction Rating]],0)</f>
        <v>4</v>
      </c>
    </row>
    <row r="946" spans="1:11" x14ac:dyDescent="0.3">
      <c r="A946" s="9" t="s">
        <v>2572</v>
      </c>
      <c r="B946" s="9" t="s">
        <v>1641</v>
      </c>
      <c r="C946" s="9">
        <v>152</v>
      </c>
      <c r="D946" s="149" t="s">
        <v>1616</v>
      </c>
      <c r="E946" s="150">
        <v>45258</v>
      </c>
      <c r="F946" s="9">
        <v>125</v>
      </c>
      <c r="G946" s="9">
        <v>3.9</v>
      </c>
      <c r="H946" s="9">
        <f>IF(MONTH(Call_Table_Data[[#This Row],[Date of Call]])&lt;=6,YEAR(Call_Table_Data[[#This Row],[Date of Call]]),YEAR(Call_Table_Data[[#This Row],[Date of Call]])+1)</f>
        <v>2024</v>
      </c>
      <c r="I946" s="9" t="str">
        <f>TEXT(Call_Table_Data[[#This Row],[Date of Call]],"DDDD")</f>
        <v>Tuesday</v>
      </c>
      <c r="J946" s="9" t="str" cm="1">
        <f t="array" ref="J946">_xlfn.IFS(Call_Table_Data[[#This Row],[Duration]]&lt;=10,"Under 10 Mins",Call_Table_Data[[#This Row],[Duration]]&lt;=30,"10 to 30 Mins",Call_Table_Data[[#This Row],[Duration]]&lt;=60,"30 to 60 Mins",Call_Table_Data[[#This Row],[Duration]]&lt;=120,"1 to 2 Hours",TRUE,"More Than 2 Hours")</f>
        <v>More Than 2 Hours</v>
      </c>
      <c r="K946" s="9">
        <f>ROUND(Call_Table_Data[[#This Row],[Satisfaction Rating]],0)</f>
        <v>4</v>
      </c>
    </row>
    <row r="947" spans="1:11" x14ac:dyDescent="0.3">
      <c r="A947" s="9" t="s">
        <v>2573</v>
      </c>
      <c r="B947" s="9" t="s">
        <v>1629</v>
      </c>
      <c r="C947" s="9">
        <v>34</v>
      </c>
      <c r="D947" s="149" t="s">
        <v>1621</v>
      </c>
      <c r="E947" s="150">
        <v>45258</v>
      </c>
      <c r="F947" s="9">
        <v>25</v>
      </c>
      <c r="G947" s="9">
        <v>4.0999999999999996</v>
      </c>
      <c r="H947" s="9">
        <f>IF(MONTH(Call_Table_Data[[#This Row],[Date of Call]])&lt;=6,YEAR(Call_Table_Data[[#This Row],[Date of Call]]),YEAR(Call_Table_Data[[#This Row],[Date of Call]])+1)</f>
        <v>2024</v>
      </c>
      <c r="I947" s="9" t="str">
        <f>TEXT(Call_Table_Data[[#This Row],[Date of Call]],"DDDD")</f>
        <v>Tuesday</v>
      </c>
      <c r="J947" s="9" t="str" cm="1">
        <f t="array" ref="J947">_xlfn.IFS(Call_Table_Data[[#This Row],[Duration]]&lt;=10,"Under 10 Mins",Call_Table_Data[[#This Row],[Duration]]&lt;=30,"10 to 30 Mins",Call_Table_Data[[#This Row],[Duration]]&lt;=60,"30 to 60 Mins",Call_Table_Data[[#This Row],[Duration]]&lt;=120,"1 to 2 Hours",TRUE,"More Than 2 Hours")</f>
        <v>30 to 60 Mins</v>
      </c>
      <c r="K947" s="9">
        <f>ROUND(Call_Table_Data[[#This Row],[Satisfaction Rating]],0)</f>
        <v>4</v>
      </c>
    </row>
    <row r="948" spans="1:11" x14ac:dyDescent="0.3">
      <c r="A948" s="9" t="s">
        <v>2574</v>
      </c>
      <c r="B948" s="9" t="s">
        <v>1633</v>
      </c>
      <c r="C948" s="9">
        <v>2</v>
      </c>
      <c r="D948" s="149" t="s">
        <v>1630</v>
      </c>
      <c r="E948" s="150">
        <v>45259</v>
      </c>
      <c r="F948" s="9">
        <v>62</v>
      </c>
      <c r="G948" s="9">
        <v>2.8</v>
      </c>
      <c r="H948" s="9">
        <f>IF(MONTH(Call_Table_Data[[#This Row],[Date of Call]])&lt;=6,YEAR(Call_Table_Data[[#This Row],[Date of Call]]),YEAR(Call_Table_Data[[#This Row],[Date of Call]])+1)</f>
        <v>2024</v>
      </c>
      <c r="I948" s="9" t="str">
        <f>TEXT(Call_Table_Data[[#This Row],[Date of Call]],"DDDD")</f>
        <v>Wednesday</v>
      </c>
      <c r="J948" s="9" t="str" cm="1">
        <f t="array" ref="J948">_xlfn.IFS(Call_Table_Data[[#This Row],[Duration]]&lt;=10,"Under 10 Mins",Call_Table_Data[[#This Row],[Duration]]&lt;=30,"10 to 30 Mins",Call_Table_Data[[#This Row],[Duration]]&lt;=60,"30 to 60 Mins",Call_Table_Data[[#This Row],[Duration]]&lt;=120,"1 to 2 Hours",TRUE,"More Than 2 Hours")</f>
        <v>Under 10 Mins</v>
      </c>
      <c r="K948" s="9">
        <f>ROUND(Call_Table_Data[[#This Row],[Satisfaction Rating]],0)</f>
        <v>3</v>
      </c>
    </row>
    <row r="949" spans="1:11" x14ac:dyDescent="0.3">
      <c r="A949" s="9" t="s">
        <v>2575</v>
      </c>
      <c r="B949" s="9" t="s">
        <v>1615</v>
      </c>
      <c r="C949" s="9">
        <v>140</v>
      </c>
      <c r="D949" s="149" t="s">
        <v>1621</v>
      </c>
      <c r="E949" s="150">
        <v>45260</v>
      </c>
      <c r="F949" s="9">
        <v>90</v>
      </c>
      <c r="G949" s="9">
        <v>4.5999999999999996</v>
      </c>
      <c r="H949" s="9">
        <f>IF(MONTH(Call_Table_Data[[#This Row],[Date of Call]])&lt;=6,YEAR(Call_Table_Data[[#This Row],[Date of Call]]),YEAR(Call_Table_Data[[#This Row],[Date of Call]])+1)</f>
        <v>2024</v>
      </c>
      <c r="I949" s="9" t="str">
        <f>TEXT(Call_Table_Data[[#This Row],[Date of Call]],"DDDD")</f>
        <v>Thursday</v>
      </c>
      <c r="J949" s="9" t="str" cm="1">
        <f t="array" ref="J949">_xlfn.IFS(Call_Table_Data[[#This Row],[Duration]]&lt;=10,"Under 10 Mins",Call_Table_Data[[#This Row],[Duration]]&lt;=30,"10 to 30 Mins",Call_Table_Data[[#This Row],[Duration]]&lt;=60,"30 to 60 Mins",Call_Table_Data[[#This Row],[Duration]]&lt;=120,"1 to 2 Hours",TRUE,"More Than 2 Hours")</f>
        <v>More Than 2 Hours</v>
      </c>
      <c r="K949" s="9">
        <f>ROUND(Call_Table_Data[[#This Row],[Satisfaction Rating]],0)</f>
        <v>5</v>
      </c>
    </row>
    <row r="950" spans="1:11" x14ac:dyDescent="0.3">
      <c r="A950" s="9" t="s">
        <v>2576</v>
      </c>
      <c r="B950" s="9" t="s">
        <v>1613</v>
      </c>
      <c r="C950" s="9">
        <v>126</v>
      </c>
      <c r="D950" s="149" t="s">
        <v>1626</v>
      </c>
      <c r="E950" s="150">
        <v>45261</v>
      </c>
      <c r="F950" s="9">
        <v>33</v>
      </c>
      <c r="G950" s="9">
        <v>4.8</v>
      </c>
      <c r="H950" s="9">
        <f>IF(MONTH(Call_Table_Data[[#This Row],[Date of Call]])&lt;=6,YEAR(Call_Table_Data[[#This Row],[Date of Call]]),YEAR(Call_Table_Data[[#This Row],[Date of Call]])+1)</f>
        <v>2024</v>
      </c>
      <c r="I950" s="9" t="str">
        <f>TEXT(Call_Table_Data[[#This Row],[Date of Call]],"DDDD")</f>
        <v>Friday</v>
      </c>
      <c r="J950" s="9" t="str" cm="1">
        <f t="array" ref="J950">_xlfn.IFS(Call_Table_Data[[#This Row],[Duration]]&lt;=10,"Under 10 Mins",Call_Table_Data[[#This Row],[Duration]]&lt;=30,"10 to 30 Mins",Call_Table_Data[[#This Row],[Duration]]&lt;=60,"30 to 60 Mins",Call_Table_Data[[#This Row],[Duration]]&lt;=120,"1 to 2 Hours",TRUE,"More Than 2 Hours")</f>
        <v>More Than 2 Hours</v>
      </c>
      <c r="K950" s="9">
        <f>ROUND(Call_Table_Data[[#This Row],[Satisfaction Rating]],0)</f>
        <v>5</v>
      </c>
    </row>
    <row r="951" spans="1:11" x14ac:dyDescent="0.3">
      <c r="A951" s="9" t="s">
        <v>2577</v>
      </c>
      <c r="B951" s="9" t="s">
        <v>1618</v>
      </c>
      <c r="C951" s="9">
        <v>79</v>
      </c>
      <c r="D951" s="149" t="s">
        <v>1630</v>
      </c>
      <c r="E951" s="150">
        <v>45261</v>
      </c>
      <c r="F951" s="9">
        <v>115</v>
      </c>
      <c r="G951" s="9">
        <v>2.2999999999999998</v>
      </c>
      <c r="H951" s="9">
        <f>IF(MONTH(Call_Table_Data[[#This Row],[Date of Call]])&lt;=6,YEAR(Call_Table_Data[[#This Row],[Date of Call]]),YEAR(Call_Table_Data[[#This Row],[Date of Call]])+1)</f>
        <v>2024</v>
      </c>
      <c r="I951" s="9" t="str">
        <f>TEXT(Call_Table_Data[[#This Row],[Date of Call]],"DDDD")</f>
        <v>Friday</v>
      </c>
      <c r="J951" s="9" t="str" cm="1">
        <f t="array" ref="J951">_xlfn.IFS(Call_Table_Data[[#This Row],[Duration]]&lt;=10,"Under 10 Mins",Call_Table_Data[[#This Row],[Duration]]&lt;=30,"10 to 30 Mins",Call_Table_Data[[#This Row],[Duration]]&lt;=60,"30 to 60 Mins",Call_Table_Data[[#This Row],[Duration]]&lt;=120,"1 to 2 Hours",TRUE,"More Than 2 Hours")</f>
        <v>1 to 2 Hours</v>
      </c>
      <c r="K951" s="9">
        <f>ROUND(Call_Table_Data[[#This Row],[Satisfaction Rating]],0)</f>
        <v>2</v>
      </c>
    </row>
    <row r="952" spans="1:11" x14ac:dyDescent="0.3">
      <c r="A952" s="9" t="s">
        <v>2578</v>
      </c>
      <c r="B952" s="9" t="s">
        <v>1613</v>
      </c>
      <c r="C952" s="9">
        <v>133</v>
      </c>
      <c r="D952" s="149" t="s">
        <v>1626</v>
      </c>
      <c r="E952" s="150">
        <v>45261</v>
      </c>
      <c r="F952" s="9">
        <v>45</v>
      </c>
      <c r="G952" s="9">
        <v>2.6</v>
      </c>
      <c r="H952" s="9">
        <f>IF(MONTH(Call_Table_Data[[#This Row],[Date of Call]])&lt;=6,YEAR(Call_Table_Data[[#This Row],[Date of Call]]),YEAR(Call_Table_Data[[#This Row],[Date of Call]])+1)</f>
        <v>2024</v>
      </c>
      <c r="I952" s="9" t="str">
        <f>TEXT(Call_Table_Data[[#This Row],[Date of Call]],"DDDD")</f>
        <v>Friday</v>
      </c>
      <c r="J952" s="9" t="str" cm="1">
        <f t="array" ref="J952">_xlfn.IFS(Call_Table_Data[[#This Row],[Duration]]&lt;=10,"Under 10 Mins",Call_Table_Data[[#This Row],[Duration]]&lt;=30,"10 to 30 Mins",Call_Table_Data[[#This Row],[Duration]]&lt;=60,"30 to 60 Mins",Call_Table_Data[[#This Row],[Duration]]&lt;=120,"1 to 2 Hours",TRUE,"More Than 2 Hours")</f>
        <v>More Than 2 Hours</v>
      </c>
      <c r="K952" s="9">
        <f>ROUND(Call_Table_Data[[#This Row],[Satisfaction Rating]],0)</f>
        <v>3</v>
      </c>
    </row>
    <row r="953" spans="1:11" x14ac:dyDescent="0.3">
      <c r="A953" s="9" t="s">
        <v>2579</v>
      </c>
      <c r="B953" s="9" t="s">
        <v>1629</v>
      </c>
      <c r="C953" s="9">
        <v>97</v>
      </c>
      <c r="D953" s="149" t="s">
        <v>1611</v>
      </c>
      <c r="E953" s="150">
        <v>45261</v>
      </c>
      <c r="F953" s="9">
        <v>114</v>
      </c>
      <c r="G953" s="9">
        <v>4.8</v>
      </c>
      <c r="H953" s="9">
        <f>IF(MONTH(Call_Table_Data[[#This Row],[Date of Call]])&lt;=6,YEAR(Call_Table_Data[[#This Row],[Date of Call]]),YEAR(Call_Table_Data[[#This Row],[Date of Call]])+1)</f>
        <v>2024</v>
      </c>
      <c r="I953" s="9" t="str">
        <f>TEXT(Call_Table_Data[[#This Row],[Date of Call]],"DDDD")</f>
        <v>Friday</v>
      </c>
      <c r="J953" s="9" t="str" cm="1">
        <f t="array" ref="J953">_xlfn.IFS(Call_Table_Data[[#This Row],[Duration]]&lt;=10,"Under 10 Mins",Call_Table_Data[[#This Row],[Duration]]&lt;=30,"10 to 30 Mins",Call_Table_Data[[#This Row],[Duration]]&lt;=60,"30 to 60 Mins",Call_Table_Data[[#This Row],[Duration]]&lt;=120,"1 to 2 Hours",TRUE,"More Than 2 Hours")</f>
        <v>1 to 2 Hours</v>
      </c>
      <c r="K953" s="9">
        <f>ROUND(Call_Table_Data[[#This Row],[Satisfaction Rating]],0)</f>
        <v>5</v>
      </c>
    </row>
    <row r="954" spans="1:11" x14ac:dyDescent="0.3">
      <c r="A954" s="9" t="s">
        <v>2580</v>
      </c>
      <c r="B954" s="9" t="s">
        <v>1618</v>
      </c>
      <c r="C954" s="9">
        <v>102</v>
      </c>
      <c r="D954" s="149" t="s">
        <v>1616</v>
      </c>
      <c r="E954" s="150">
        <v>45262</v>
      </c>
      <c r="F954" s="9">
        <v>72</v>
      </c>
      <c r="G954" s="9">
        <v>3.7</v>
      </c>
      <c r="H954" s="9">
        <f>IF(MONTH(Call_Table_Data[[#This Row],[Date of Call]])&lt;=6,YEAR(Call_Table_Data[[#This Row],[Date of Call]]),YEAR(Call_Table_Data[[#This Row],[Date of Call]])+1)</f>
        <v>2024</v>
      </c>
      <c r="I954" s="9" t="str">
        <f>TEXT(Call_Table_Data[[#This Row],[Date of Call]],"DDDD")</f>
        <v>Saturday</v>
      </c>
      <c r="J954" s="9" t="str" cm="1">
        <f t="array" ref="J954">_xlfn.IFS(Call_Table_Data[[#This Row],[Duration]]&lt;=10,"Under 10 Mins",Call_Table_Data[[#This Row],[Duration]]&lt;=30,"10 to 30 Mins",Call_Table_Data[[#This Row],[Duration]]&lt;=60,"30 to 60 Mins",Call_Table_Data[[#This Row],[Duration]]&lt;=120,"1 to 2 Hours",TRUE,"More Than 2 Hours")</f>
        <v>1 to 2 Hours</v>
      </c>
      <c r="K954" s="9">
        <f>ROUND(Call_Table_Data[[#This Row],[Satisfaction Rating]],0)</f>
        <v>4</v>
      </c>
    </row>
    <row r="955" spans="1:11" x14ac:dyDescent="0.3">
      <c r="A955" s="9" t="s">
        <v>2581</v>
      </c>
      <c r="B955" s="9" t="s">
        <v>1644</v>
      </c>
      <c r="C955" s="9">
        <v>62</v>
      </c>
      <c r="D955" s="149" t="s">
        <v>1611</v>
      </c>
      <c r="E955" s="150">
        <v>45262</v>
      </c>
      <c r="F955" s="9">
        <v>205</v>
      </c>
      <c r="G955" s="9">
        <v>4.2</v>
      </c>
      <c r="H955" s="9">
        <f>IF(MONTH(Call_Table_Data[[#This Row],[Date of Call]])&lt;=6,YEAR(Call_Table_Data[[#This Row],[Date of Call]]),YEAR(Call_Table_Data[[#This Row],[Date of Call]])+1)</f>
        <v>2024</v>
      </c>
      <c r="I955" s="9" t="str">
        <f>TEXT(Call_Table_Data[[#This Row],[Date of Call]],"DDDD")</f>
        <v>Saturday</v>
      </c>
      <c r="J955" s="9" t="str" cm="1">
        <f t="array" ref="J955">_xlfn.IFS(Call_Table_Data[[#This Row],[Duration]]&lt;=10,"Under 10 Mins",Call_Table_Data[[#This Row],[Duration]]&lt;=30,"10 to 30 Mins",Call_Table_Data[[#This Row],[Duration]]&lt;=60,"30 to 60 Mins",Call_Table_Data[[#This Row],[Duration]]&lt;=120,"1 to 2 Hours",TRUE,"More Than 2 Hours")</f>
        <v>1 to 2 Hours</v>
      </c>
      <c r="K955" s="9">
        <f>ROUND(Call_Table_Data[[#This Row],[Satisfaction Rating]],0)</f>
        <v>4</v>
      </c>
    </row>
    <row r="956" spans="1:11" x14ac:dyDescent="0.3">
      <c r="A956" s="9" t="s">
        <v>2582</v>
      </c>
      <c r="B956" s="9" t="s">
        <v>1613</v>
      </c>
      <c r="C956" s="9">
        <v>149</v>
      </c>
      <c r="D956" s="149" t="s">
        <v>1616</v>
      </c>
      <c r="E956" s="150">
        <v>45263</v>
      </c>
      <c r="F956" s="9">
        <v>42</v>
      </c>
      <c r="G956" s="9">
        <v>3.3</v>
      </c>
      <c r="H956" s="9">
        <f>IF(MONTH(Call_Table_Data[[#This Row],[Date of Call]])&lt;=6,YEAR(Call_Table_Data[[#This Row],[Date of Call]]),YEAR(Call_Table_Data[[#This Row],[Date of Call]])+1)</f>
        <v>2024</v>
      </c>
      <c r="I956" s="9" t="str">
        <f>TEXT(Call_Table_Data[[#This Row],[Date of Call]],"DDDD")</f>
        <v>Sunday</v>
      </c>
      <c r="J956" s="9" t="str" cm="1">
        <f t="array" ref="J956">_xlfn.IFS(Call_Table_Data[[#This Row],[Duration]]&lt;=10,"Under 10 Mins",Call_Table_Data[[#This Row],[Duration]]&lt;=30,"10 to 30 Mins",Call_Table_Data[[#This Row],[Duration]]&lt;=60,"30 to 60 Mins",Call_Table_Data[[#This Row],[Duration]]&lt;=120,"1 to 2 Hours",TRUE,"More Than 2 Hours")</f>
        <v>More Than 2 Hours</v>
      </c>
      <c r="K956" s="9">
        <f>ROUND(Call_Table_Data[[#This Row],[Satisfaction Rating]],0)</f>
        <v>3</v>
      </c>
    </row>
    <row r="957" spans="1:11" x14ac:dyDescent="0.3">
      <c r="A957" s="9" t="s">
        <v>2583</v>
      </c>
      <c r="B957" s="9" t="s">
        <v>1633</v>
      </c>
      <c r="C957" s="9">
        <v>133</v>
      </c>
      <c r="D957" s="149" t="s">
        <v>1611</v>
      </c>
      <c r="E957" s="150">
        <v>45263</v>
      </c>
      <c r="F957" s="9">
        <v>96</v>
      </c>
      <c r="G957" s="9">
        <v>4.3</v>
      </c>
      <c r="H957" s="9">
        <f>IF(MONTH(Call_Table_Data[[#This Row],[Date of Call]])&lt;=6,YEAR(Call_Table_Data[[#This Row],[Date of Call]]),YEAR(Call_Table_Data[[#This Row],[Date of Call]])+1)</f>
        <v>2024</v>
      </c>
      <c r="I957" s="9" t="str">
        <f>TEXT(Call_Table_Data[[#This Row],[Date of Call]],"DDDD")</f>
        <v>Sunday</v>
      </c>
      <c r="J957" s="9" t="str" cm="1">
        <f t="array" ref="J957">_xlfn.IFS(Call_Table_Data[[#This Row],[Duration]]&lt;=10,"Under 10 Mins",Call_Table_Data[[#This Row],[Duration]]&lt;=30,"10 to 30 Mins",Call_Table_Data[[#This Row],[Duration]]&lt;=60,"30 to 60 Mins",Call_Table_Data[[#This Row],[Duration]]&lt;=120,"1 to 2 Hours",TRUE,"More Than 2 Hours")</f>
        <v>More Than 2 Hours</v>
      </c>
      <c r="K957" s="9">
        <f>ROUND(Call_Table_Data[[#This Row],[Satisfaction Rating]],0)</f>
        <v>4</v>
      </c>
    </row>
    <row r="958" spans="1:11" x14ac:dyDescent="0.3">
      <c r="A958" s="9" t="s">
        <v>2584</v>
      </c>
      <c r="B958" s="9" t="s">
        <v>1618</v>
      </c>
      <c r="C958" s="9">
        <v>51</v>
      </c>
      <c r="D958" s="149" t="s">
        <v>1630</v>
      </c>
      <c r="E958" s="150">
        <v>45263</v>
      </c>
      <c r="F958" s="9">
        <v>64</v>
      </c>
      <c r="G958" s="9">
        <v>3.7</v>
      </c>
      <c r="H958" s="9">
        <f>IF(MONTH(Call_Table_Data[[#This Row],[Date of Call]])&lt;=6,YEAR(Call_Table_Data[[#This Row],[Date of Call]]),YEAR(Call_Table_Data[[#This Row],[Date of Call]])+1)</f>
        <v>2024</v>
      </c>
      <c r="I958" s="9" t="str">
        <f>TEXT(Call_Table_Data[[#This Row],[Date of Call]],"DDDD")</f>
        <v>Sunday</v>
      </c>
      <c r="J958" s="9" t="str" cm="1">
        <f t="array" ref="J958">_xlfn.IFS(Call_Table_Data[[#This Row],[Duration]]&lt;=10,"Under 10 Mins",Call_Table_Data[[#This Row],[Duration]]&lt;=30,"10 to 30 Mins",Call_Table_Data[[#This Row],[Duration]]&lt;=60,"30 to 60 Mins",Call_Table_Data[[#This Row],[Duration]]&lt;=120,"1 to 2 Hours",TRUE,"More Than 2 Hours")</f>
        <v>30 to 60 Mins</v>
      </c>
      <c r="K958" s="9">
        <f>ROUND(Call_Table_Data[[#This Row],[Satisfaction Rating]],0)</f>
        <v>4</v>
      </c>
    </row>
    <row r="959" spans="1:11" x14ac:dyDescent="0.3">
      <c r="A959" s="9" t="s">
        <v>2585</v>
      </c>
      <c r="B959" s="9" t="s">
        <v>1644</v>
      </c>
      <c r="C959" s="9">
        <v>110</v>
      </c>
      <c r="D959" s="149" t="s">
        <v>1611</v>
      </c>
      <c r="E959" s="150">
        <v>45264</v>
      </c>
      <c r="F959" s="9">
        <v>72</v>
      </c>
      <c r="G959" s="9">
        <v>3.7</v>
      </c>
      <c r="H959" s="9">
        <f>IF(MONTH(Call_Table_Data[[#This Row],[Date of Call]])&lt;=6,YEAR(Call_Table_Data[[#This Row],[Date of Call]]),YEAR(Call_Table_Data[[#This Row],[Date of Call]])+1)</f>
        <v>2024</v>
      </c>
      <c r="I959" s="9" t="str">
        <f>TEXT(Call_Table_Data[[#This Row],[Date of Call]],"DDDD")</f>
        <v>Monday</v>
      </c>
      <c r="J959" s="9" t="str" cm="1">
        <f t="array" ref="J959">_xlfn.IFS(Call_Table_Data[[#This Row],[Duration]]&lt;=10,"Under 10 Mins",Call_Table_Data[[#This Row],[Duration]]&lt;=30,"10 to 30 Mins",Call_Table_Data[[#This Row],[Duration]]&lt;=60,"30 to 60 Mins",Call_Table_Data[[#This Row],[Duration]]&lt;=120,"1 to 2 Hours",TRUE,"More Than 2 Hours")</f>
        <v>1 to 2 Hours</v>
      </c>
      <c r="K959" s="9">
        <f>ROUND(Call_Table_Data[[#This Row],[Satisfaction Rating]],0)</f>
        <v>4</v>
      </c>
    </row>
    <row r="960" spans="1:11" x14ac:dyDescent="0.3">
      <c r="A960" s="9" t="s">
        <v>2586</v>
      </c>
      <c r="B960" s="9" t="s">
        <v>1629</v>
      </c>
      <c r="C960" s="9">
        <v>38</v>
      </c>
      <c r="D960" s="149" t="s">
        <v>1626</v>
      </c>
      <c r="E960" s="150">
        <v>45265</v>
      </c>
      <c r="F960" s="9">
        <v>27</v>
      </c>
      <c r="G960" s="9">
        <v>3.1</v>
      </c>
      <c r="H960" s="9">
        <f>IF(MONTH(Call_Table_Data[[#This Row],[Date of Call]])&lt;=6,YEAR(Call_Table_Data[[#This Row],[Date of Call]]),YEAR(Call_Table_Data[[#This Row],[Date of Call]])+1)</f>
        <v>2024</v>
      </c>
      <c r="I960" s="9" t="str">
        <f>TEXT(Call_Table_Data[[#This Row],[Date of Call]],"DDDD")</f>
        <v>Tuesday</v>
      </c>
      <c r="J960" s="9" t="str" cm="1">
        <f t="array" ref="J960">_xlfn.IFS(Call_Table_Data[[#This Row],[Duration]]&lt;=10,"Under 10 Mins",Call_Table_Data[[#This Row],[Duration]]&lt;=30,"10 to 30 Mins",Call_Table_Data[[#This Row],[Duration]]&lt;=60,"30 to 60 Mins",Call_Table_Data[[#This Row],[Duration]]&lt;=120,"1 to 2 Hours",TRUE,"More Than 2 Hours")</f>
        <v>30 to 60 Mins</v>
      </c>
      <c r="K960" s="9">
        <f>ROUND(Call_Table_Data[[#This Row],[Satisfaction Rating]],0)</f>
        <v>3</v>
      </c>
    </row>
    <row r="961" spans="1:11" x14ac:dyDescent="0.3">
      <c r="A961" s="9" t="s">
        <v>2587</v>
      </c>
      <c r="B961" s="9" t="s">
        <v>1633</v>
      </c>
      <c r="C961" s="9">
        <v>78</v>
      </c>
      <c r="D961" s="149" t="s">
        <v>1626</v>
      </c>
      <c r="E961" s="150">
        <v>45267</v>
      </c>
      <c r="F961" s="9">
        <v>200</v>
      </c>
      <c r="G961" s="9">
        <v>2.4</v>
      </c>
      <c r="H961" s="9">
        <f>IF(MONTH(Call_Table_Data[[#This Row],[Date of Call]])&lt;=6,YEAR(Call_Table_Data[[#This Row],[Date of Call]]),YEAR(Call_Table_Data[[#This Row],[Date of Call]])+1)</f>
        <v>2024</v>
      </c>
      <c r="I961" s="9" t="str">
        <f>TEXT(Call_Table_Data[[#This Row],[Date of Call]],"DDDD")</f>
        <v>Thursday</v>
      </c>
      <c r="J961" s="9" t="str" cm="1">
        <f t="array" ref="J961">_xlfn.IFS(Call_Table_Data[[#This Row],[Duration]]&lt;=10,"Under 10 Mins",Call_Table_Data[[#This Row],[Duration]]&lt;=30,"10 to 30 Mins",Call_Table_Data[[#This Row],[Duration]]&lt;=60,"30 to 60 Mins",Call_Table_Data[[#This Row],[Duration]]&lt;=120,"1 to 2 Hours",TRUE,"More Than 2 Hours")</f>
        <v>1 to 2 Hours</v>
      </c>
      <c r="K961" s="9">
        <f>ROUND(Call_Table_Data[[#This Row],[Satisfaction Rating]],0)</f>
        <v>2</v>
      </c>
    </row>
    <row r="962" spans="1:11" x14ac:dyDescent="0.3">
      <c r="A962" s="9" t="s">
        <v>2588</v>
      </c>
      <c r="B962" s="9" t="s">
        <v>1629</v>
      </c>
      <c r="C962" s="9">
        <v>25</v>
      </c>
      <c r="D962" s="149" t="s">
        <v>1616</v>
      </c>
      <c r="E962" s="150">
        <v>45268</v>
      </c>
      <c r="F962" s="9">
        <v>93</v>
      </c>
      <c r="G962" s="9">
        <v>3.5</v>
      </c>
      <c r="H962" s="9">
        <f>IF(MONTH(Call_Table_Data[[#This Row],[Date of Call]])&lt;=6,YEAR(Call_Table_Data[[#This Row],[Date of Call]]),YEAR(Call_Table_Data[[#This Row],[Date of Call]])+1)</f>
        <v>2024</v>
      </c>
      <c r="I962" s="9" t="str">
        <f>TEXT(Call_Table_Data[[#This Row],[Date of Call]],"DDDD")</f>
        <v>Friday</v>
      </c>
      <c r="J962" s="9" t="str" cm="1">
        <f t="array" ref="J962">_xlfn.IFS(Call_Table_Data[[#This Row],[Duration]]&lt;=10,"Under 10 Mins",Call_Table_Data[[#This Row],[Duration]]&lt;=30,"10 to 30 Mins",Call_Table_Data[[#This Row],[Duration]]&lt;=60,"30 to 60 Mins",Call_Table_Data[[#This Row],[Duration]]&lt;=120,"1 to 2 Hours",TRUE,"More Than 2 Hours")</f>
        <v>10 to 30 Mins</v>
      </c>
      <c r="K962" s="9">
        <f>ROUND(Call_Table_Data[[#This Row],[Satisfaction Rating]],0)</f>
        <v>4</v>
      </c>
    </row>
    <row r="963" spans="1:11" x14ac:dyDescent="0.3">
      <c r="A963" s="9" t="s">
        <v>2589</v>
      </c>
      <c r="B963" s="9" t="s">
        <v>1652</v>
      </c>
      <c r="C963" s="9">
        <v>50</v>
      </c>
      <c r="D963" s="149" t="s">
        <v>1630</v>
      </c>
      <c r="E963" s="150">
        <v>45268</v>
      </c>
      <c r="F963" s="9">
        <v>54</v>
      </c>
      <c r="G963" s="9">
        <v>4.3</v>
      </c>
      <c r="H963" s="9">
        <f>IF(MONTH(Call_Table_Data[[#This Row],[Date of Call]])&lt;=6,YEAR(Call_Table_Data[[#This Row],[Date of Call]]),YEAR(Call_Table_Data[[#This Row],[Date of Call]])+1)</f>
        <v>2024</v>
      </c>
      <c r="I963" s="9" t="str">
        <f>TEXT(Call_Table_Data[[#This Row],[Date of Call]],"DDDD")</f>
        <v>Friday</v>
      </c>
      <c r="J963" s="9" t="str" cm="1">
        <f t="array" ref="J963">_xlfn.IFS(Call_Table_Data[[#This Row],[Duration]]&lt;=10,"Under 10 Mins",Call_Table_Data[[#This Row],[Duration]]&lt;=30,"10 to 30 Mins",Call_Table_Data[[#This Row],[Duration]]&lt;=60,"30 to 60 Mins",Call_Table_Data[[#This Row],[Duration]]&lt;=120,"1 to 2 Hours",TRUE,"More Than 2 Hours")</f>
        <v>30 to 60 Mins</v>
      </c>
      <c r="K963" s="9">
        <f>ROUND(Call_Table_Data[[#This Row],[Satisfaction Rating]],0)</f>
        <v>4</v>
      </c>
    </row>
    <row r="964" spans="1:11" x14ac:dyDescent="0.3">
      <c r="A964" s="9" t="s">
        <v>2590</v>
      </c>
      <c r="B964" s="9" t="s">
        <v>1629</v>
      </c>
      <c r="C964" s="9">
        <v>103</v>
      </c>
      <c r="D964" s="149" t="s">
        <v>1616</v>
      </c>
      <c r="E964" s="150">
        <v>45269</v>
      </c>
      <c r="F964" s="9">
        <v>72</v>
      </c>
      <c r="G964" s="9">
        <v>3.4</v>
      </c>
      <c r="H964" s="9">
        <f>IF(MONTH(Call_Table_Data[[#This Row],[Date of Call]])&lt;=6,YEAR(Call_Table_Data[[#This Row],[Date of Call]]),YEAR(Call_Table_Data[[#This Row],[Date of Call]])+1)</f>
        <v>2024</v>
      </c>
      <c r="I964" s="9" t="str">
        <f>TEXT(Call_Table_Data[[#This Row],[Date of Call]],"DDDD")</f>
        <v>Saturday</v>
      </c>
      <c r="J964" s="9" t="str" cm="1">
        <f t="array" ref="J964">_xlfn.IFS(Call_Table_Data[[#This Row],[Duration]]&lt;=10,"Under 10 Mins",Call_Table_Data[[#This Row],[Duration]]&lt;=30,"10 to 30 Mins",Call_Table_Data[[#This Row],[Duration]]&lt;=60,"30 to 60 Mins",Call_Table_Data[[#This Row],[Duration]]&lt;=120,"1 to 2 Hours",TRUE,"More Than 2 Hours")</f>
        <v>1 to 2 Hours</v>
      </c>
      <c r="K964" s="9">
        <f>ROUND(Call_Table_Data[[#This Row],[Satisfaction Rating]],0)</f>
        <v>3</v>
      </c>
    </row>
    <row r="965" spans="1:11" x14ac:dyDescent="0.3">
      <c r="A965" s="9" t="s">
        <v>2591</v>
      </c>
      <c r="B965" s="9" t="s">
        <v>1641</v>
      </c>
      <c r="C965" s="9">
        <v>63</v>
      </c>
      <c r="D965" s="149" t="s">
        <v>1621</v>
      </c>
      <c r="E965" s="150">
        <v>45269</v>
      </c>
      <c r="F965" s="9">
        <v>82</v>
      </c>
      <c r="G965" s="9">
        <v>3.7</v>
      </c>
      <c r="H965" s="9">
        <f>IF(MONTH(Call_Table_Data[[#This Row],[Date of Call]])&lt;=6,YEAR(Call_Table_Data[[#This Row],[Date of Call]]),YEAR(Call_Table_Data[[#This Row],[Date of Call]])+1)</f>
        <v>2024</v>
      </c>
      <c r="I965" s="9" t="str">
        <f>TEXT(Call_Table_Data[[#This Row],[Date of Call]],"DDDD")</f>
        <v>Saturday</v>
      </c>
      <c r="J965" s="9" t="str" cm="1">
        <f t="array" ref="J965">_xlfn.IFS(Call_Table_Data[[#This Row],[Duration]]&lt;=10,"Under 10 Mins",Call_Table_Data[[#This Row],[Duration]]&lt;=30,"10 to 30 Mins",Call_Table_Data[[#This Row],[Duration]]&lt;=60,"30 to 60 Mins",Call_Table_Data[[#This Row],[Duration]]&lt;=120,"1 to 2 Hours",TRUE,"More Than 2 Hours")</f>
        <v>1 to 2 Hours</v>
      </c>
      <c r="K965" s="9">
        <f>ROUND(Call_Table_Data[[#This Row],[Satisfaction Rating]],0)</f>
        <v>4</v>
      </c>
    </row>
    <row r="966" spans="1:11" x14ac:dyDescent="0.3">
      <c r="A966" s="9" t="s">
        <v>2592</v>
      </c>
      <c r="B966" s="9" t="s">
        <v>1652</v>
      </c>
      <c r="C966" s="9">
        <v>96</v>
      </c>
      <c r="D966" s="149" t="s">
        <v>1630</v>
      </c>
      <c r="E966" s="150">
        <v>45273</v>
      </c>
      <c r="F966" s="9">
        <v>164</v>
      </c>
      <c r="G966" s="9">
        <v>4.8</v>
      </c>
      <c r="H966" s="9">
        <f>IF(MONTH(Call_Table_Data[[#This Row],[Date of Call]])&lt;=6,YEAR(Call_Table_Data[[#This Row],[Date of Call]]),YEAR(Call_Table_Data[[#This Row],[Date of Call]])+1)</f>
        <v>2024</v>
      </c>
      <c r="I966" s="9" t="str">
        <f>TEXT(Call_Table_Data[[#This Row],[Date of Call]],"DDDD")</f>
        <v>Wednesday</v>
      </c>
      <c r="J966" s="9" t="str" cm="1">
        <f t="array" ref="J966">_xlfn.IFS(Call_Table_Data[[#This Row],[Duration]]&lt;=10,"Under 10 Mins",Call_Table_Data[[#This Row],[Duration]]&lt;=30,"10 to 30 Mins",Call_Table_Data[[#This Row],[Duration]]&lt;=60,"30 to 60 Mins",Call_Table_Data[[#This Row],[Duration]]&lt;=120,"1 to 2 Hours",TRUE,"More Than 2 Hours")</f>
        <v>1 to 2 Hours</v>
      </c>
      <c r="K966" s="9">
        <f>ROUND(Call_Table_Data[[#This Row],[Satisfaction Rating]],0)</f>
        <v>5</v>
      </c>
    </row>
    <row r="967" spans="1:11" x14ac:dyDescent="0.3">
      <c r="A967" s="9" t="s">
        <v>2593</v>
      </c>
      <c r="B967" s="9" t="s">
        <v>1615</v>
      </c>
      <c r="C967" s="9">
        <v>94</v>
      </c>
      <c r="D967" s="149" t="s">
        <v>1616</v>
      </c>
      <c r="E967" s="150">
        <v>45273</v>
      </c>
      <c r="F967" s="9">
        <v>78</v>
      </c>
      <c r="G967" s="9">
        <v>3.3</v>
      </c>
      <c r="H967" s="9">
        <f>IF(MONTH(Call_Table_Data[[#This Row],[Date of Call]])&lt;=6,YEAR(Call_Table_Data[[#This Row],[Date of Call]]),YEAR(Call_Table_Data[[#This Row],[Date of Call]])+1)</f>
        <v>2024</v>
      </c>
      <c r="I967" s="9" t="str">
        <f>TEXT(Call_Table_Data[[#This Row],[Date of Call]],"DDDD")</f>
        <v>Wednesday</v>
      </c>
      <c r="J967" s="9" t="str" cm="1">
        <f t="array" ref="J967">_xlfn.IFS(Call_Table_Data[[#This Row],[Duration]]&lt;=10,"Under 10 Mins",Call_Table_Data[[#This Row],[Duration]]&lt;=30,"10 to 30 Mins",Call_Table_Data[[#This Row],[Duration]]&lt;=60,"30 to 60 Mins",Call_Table_Data[[#This Row],[Duration]]&lt;=120,"1 to 2 Hours",TRUE,"More Than 2 Hours")</f>
        <v>1 to 2 Hours</v>
      </c>
      <c r="K967" s="9">
        <f>ROUND(Call_Table_Data[[#This Row],[Satisfaction Rating]],0)</f>
        <v>3</v>
      </c>
    </row>
    <row r="968" spans="1:11" x14ac:dyDescent="0.3">
      <c r="A968" s="9" t="s">
        <v>2594</v>
      </c>
      <c r="B968" s="9" t="s">
        <v>1644</v>
      </c>
      <c r="C968" s="9">
        <v>46</v>
      </c>
      <c r="D968" s="149" t="s">
        <v>1626</v>
      </c>
      <c r="E968" s="150">
        <v>45274</v>
      </c>
      <c r="F968" s="9">
        <v>135</v>
      </c>
      <c r="G968" s="9">
        <v>4.2</v>
      </c>
      <c r="H968" s="9">
        <f>IF(MONTH(Call_Table_Data[[#This Row],[Date of Call]])&lt;=6,YEAR(Call_Table_Data[[#This Row],[Date of Call]]),YEAR(Call_Table_Data[[#This Row],[Date of Call]])+1)</f>
        <v>2024</v>
      </c>
      <c r="I968" s="9" t="str">
        <f>TEXT(Call_Table_Data[[#This Row],[Date of Call]],"DDDD")</f>
        <v>Thursday</v>
      </c>
      <c r="J968" s="9" t="str" cm="1">
        <f t="array" ref="J968">_xlfn.IFS(Call_Table_Data[[#This Row],[Duration]]&lt;=10,"Under 10 Mins",Call_Table_Data[[#This Row],[Duration]]&lt;=30,"10 to 30 Mins",Call_Table_Data[[#This Row],[Duration]]&lt;=60,"30 to 60 Mins",Call_Table_Data[[#This Row],[Duration]]&lt;=120,"1 to 2 Hours",TRUE,"More Than 2 Hours")</f>
        <v>30 to 60 Mins</v>
      </c>
      <c r="K968" s="9">
        <f>ROUND(Call_Table_Data[[#This Row],[Satisfaction Rating]],0)</f>
        <v>4</v>
      </c>
    </row>
    <row r="969" spans="1:11" x14ac:dyDescent="0.3">
      <c r="A969" s="9" t="s">
        <v>2595</v>
      </c>
      <c r="B969" s="9" t="s">
        <v>1682</v>
      </c>
      <c r="C969" s="9">
        <v>127</v>
      </c>
      <c r="D969" s="149" t="s">
        <v>1630</v>
      </c>
      <c r="E969" s="150">
        <v>45275</v>
      </c>
      <c r="F969" s="9">
        <v>145</v>
      </c>
      <c r="G969" s="9">
        <v>2.6</v>
      </c>
      <c r="H969" s="9">
        <f>IF(MONTH(Call_Table_Data[[#This Row],[Date of Call]])&lt;=6,YEAR(Call_Table_Data[[#This Row],[Date of Call]]),YEAR(Call_Table_Data[[#This Row],[Date of Call]])+1)</f>
        <v>2024</v>
      </c>
      <c r="I969" s="9" t="str">
        <f>TEXT(Call_Table_Data[[#This Row],[Date of Call]],"DDDD")</f>
        <v>Friday</v>
      </c>
      <c r="J969" s="9" t="str" cm="1">
        <f t="array" ref="J969">_xlfn.IFS(Call_Table_Data[[#This Row],[Duration]]&lt;=10,"Under 10 Mins",Call_Table_Data[[#This Row],[Duration]]&lt;=30,"10 to 30 Mins",Call_Table_Data[[#This Row],[Duration]]&lt;=60,"30 to 60 Mins",Call_Table_Data[[#This Row],[Duration]]&lt;=120,"1 to 2 Hours",TRUE,"More Than 2 Hours")</f>
        <v>More Than 2 Hours</v>
      </c>
      <c r="K969" s="9">
        <f>ROUND(Call_Table_Data[[#This Row],[Satisfaction Rating]],0)</f>
        <v>3</v>
      </c>
    </row>
    <row r="970" spans="1:11" x14ac:dyDescent="0.3">
      <c r="A970" s="9" t="s">
        <v>2596</v>
      </c>
      <c r="B970" s="9" t="s">
        <v>1624</v>
      </c>
      <c r="C970" s="9">
        <v>96</v>
      </c>
      <c r="D970" s="149" t="s">
        <v>1626</v>
      </c>
      <c r="E970" s="150">
        <v>45275</v>
      </c>
      <c r="F970" s="9">
        <v>115</v>
      </c>
      <c r="G970" s="9">
        <v>4.9000000000000004</v>
      </c>
      <c r="H970" s="9">
        <f>IF(MONTH(Call_Table_Data[[#This Row],[Date of Call]])&lt;=6,YEAR(Call_Table_Data[[#This Row],[Date of Call]]),YEAR(Call_Table_Data[[#This Row],[Date of Call]])+1)</f>
        <v>2024</v>
      </c>
      <c r="I970" s="9" t="str">
        <f>TEXT(Call_Table_Data[[#This Row],[Date of Call]],"DDDD")</f>
        <v>Friday</v>
      </c>
      <c r="J970" s="9" t="str" cm="1">
        <f t="array" ref="J970">_xlfn.IFS(Call_Table_Data[[#This Row],[Duration]]&lt;=10,"Under 10 Mins",Call_Table_Data[[#This Row],[Duration]]&lt;=30,"10 to 30 Mins",Call_Table_Data[[#This Row],[Duration]]&lt;=60,"30 to 60 Mins",Call_Table_Data[[#This Row],[Duration]]&lt;=120,"1 to 2 Hours",TRUE,"More Than 2 Hours")</f>
        <v>1 to 2 Hours</v>
      </c>
      <c r="K970" s="9">
        <f>ROUND(Call_Table_Data[[#This Row],[Satisfaction Rating]],0)</f>
        <v>5</v>
      </c>
    </row>
    <row r="971" spans="1:11" x14ac:dyDescent="0.3">
      <c r="A971" s="9" t="s">
        <v>2597</v>
      </c>
      <c r="B971" s="9" t="s">
        <v>1662</v>
      </c>
      <c r="C971" s="9">
        <v>151</v>
      </c>
      <c r="D971" s="149" t="s">
        <v>1616</v>
      </c>
      <c r="E971" s="150">
        <v>45275</v>
      </c>
      <c r="F971" s="9">
        <v>117</v>
      </c>
      <c r="G971" s="9">
        <v>2</v>
      </c>
      <c r="H971" s="9">
        <f>IF(MONTH(Call_Table_Data[[#This Row],[Date of Call]])&lt;=6,YEAR(Call_Table_Data[[#This Row],[Date of Call]]),YEAR(Call_Table_Data[[#This Row],[Date of Call]])+1)</f>
        <v>2024</v>
      </c>
      <c r="I971" s="9" t="str">
        <f>TEXT(Call_Table_Data[[#This Row],[Date of Call]],"DDDD")</f>
        <v>Friday</v>
      </c>
      <c r="J971" s="9" t="str" cm="1">
        <f t="array" ref="J971">_xlfn.IFS(Call_Table_Data[[#This Row],[Duration]]&lt;=10,"Under 10 Mins",Call_Table_Data[[#This Row],[Duration]]&lt;=30,"10 to 30 Mins",Call_Table_Data[[#This Row],[Duration]]&lt;=60,"30 to 60 Mins",Call_Table_Data[[#This Row],[Duration]]&lt;=120,"1 to 2 Hours",TRUE,"More Than 2 Hours")</f>
        <v>More Than 2 Hours</v>
      </c>
      <c r="K971" s="9">
        <f>ROUND(Call_Table_Data[[#This Row],[Satisfaction Rating]],0)</f>
        <v>2</v>
      </c>
    </row>
    <row r="972" spans="1:11" x14ac:dyDescent="0.3">
      <c r="A972" s="9" t="s">
        <v>2598</v>
      </c>
      <c r="B972" s="9" t="s">
        <v>1682</v>
      </c>
      <c r="C972" s="9">
        <v>158</v>
      </c>
      <c r="D972" s="149" t="s">
        <v>1611</v>
      </c>
      <c r="E972" s="150">
        <v>45276</v>
      </c>
      <c r="F972" s="9">
        <v>36</v>
      </c>
      <c r="G972" s="9">
        <v>4.7</v>
      </c>
      <c r="H972" s="9">
        <f>IF(MONTH(Call_Table_Data[[#This Row],[Date of Call]])&lt;=6,YEAR(Call_Table_Data[[#This Row],[Date of Call]]),YEAR(Call_Table_Data[[#This Row],[Date of Call]])+1)</f>
        <v>2024</v>
      </c>
      <c r="I972" s="9" t="str">
        <f>TEXT(Call_Table_Data[[#This Row],[Date of Call]],"DDDD")</f>
        <v>Saturday</v>
      </c>
      <c r="J972" s="9" t="str" cm="1">
        <f t="array" ref="J972">_xlfn.IFS(Call_Table_Data[[#This Row],[Duration]]&lt;=10,"Under 10 Mins",Call_Table_Data[[#This Row],[Duration]]&lt;=30,"10 to 30 Mins",Call_Table_Data[[#This Row],[Duration]]&lt;=60,"30 to 60 Mins",Call_Table_Data[[#This Row],[Duration]]&lt;=120,"1 to 2 Hours",TRUE,"More Than 2 Hours")</f>
        <v>More Than 2 Hours</v>
      </c>
      <c r="K972" s="9">
        <f>ROUND(Call_Table_Data[[#This Row],[Satisfaction Rating]],0)</f>
        <v>5</v>
      </c>
    </row>
    <row r="973" spans="1:11" x14ac:dyDescent="0.3">
      <c r="A973" s="9" t="s">
        <v>2599</v>
      </c>
      <c r="B973" s="9" t="s">
        <v>1615</v>
      </c>
      <c r="C973" s="9">
        <v>45</v>
      </c>
      <c r="D973" s="149" t="s">
        <v>1611</v>
      </c>
      <c r="E973" s="150">
        <v>45276</v>
      </c>
      <c r="F973" s="9">
        <v>84</v>
      </c>
      <c r="G973" s="9">
        <v>2.8</v>
      </c>
      <c r="H973" s="9">
        <f>IF(MONTH(Call_Table_Data[[#This Row],[Date of Call]])&lt;=6,YEAR(Call_Table_Data[[#This Row],[Date of Call]]),YEAR(Call_Table_Data[[#This Row],[Date of Call]])+1)</f>
        <v>2024</v>
      </c>
      <c r="I973" s="9" t="str">
        <f>TEXT(Call_Table_Data[[#This Row],[Date of Call]],"DDDD")</f>
        <v>Saturday</v>
      </c>
      <c r="J973" s="9" t="str" cm="1">
        <f t="array" ref="J973">_xlfn.IFS(Call_Table_Data[[#This Row],[Duration]]&lt;=10,"Under 10 Mins",Call_Table_Data[[#This Row],[Duration]]&lt;=30,"10 to 30 Mins",Call_Table_Data[[#This Row],[Duration]]&lt;=60,"30 to 60 Mins",Call_Table_Data[[#This Row],[Duration]]&lt;=120,"1 to 2 Hours",TRUE,"More Than 2 Hours")</f>
        <v>30 to 60 Mins</v>
      </c>
      <c r="K973" s="9">
        <f>ROUND(Call_Table_Data[[#This Row],[Satisfaction Rating]],0)</f>
        <v>3</v>
      </c>
    </row>
    <row r="974" spans="1:11" x14ac:dyDescent="0.3">
      <c r="A974" s="9" t="s">
        <v>2600</v>
      </c>
      <c r="B974" s="9" t="s">
        <v>1635</v>
      </c>
      <c r="C974" s="9">
        <v>141</v>
      </c>
      <c r="D974" s="149" t="s">
        <v>1611</v>
      </c>
      <c r="E974" s="150">
        <v>45276</v>
      </c>
      <c r="F974" s="9">
        <v>66</v>
      </c>
      <c r="G974" s="9">
        <v>3.2</v>
      </c>
      <c r="H974" s="9">
        <f>IF(MONTH(Call_Table_Data[[#This Row],[Date of Call]])&lt;=6,YEAR(Call_Table_Data[[#This Row],[Date of Call]]),YEAR(Call_Table_Data[[#This Row],[Date of Call]])+1)</f>
        <v>2024</v>
      </c>
      <c r="I974" s="9" t="str">
        <f>TEXT(Call_Table_Data[[#This Row],[Date of Call]],"DDDD")</f>
        <v>Saturday</v>
      </c>
      <c r="J974" s="9" t="str" cm="1">
        <f t="array" ref="J974">_xlfn.IFS(Call_Table_Data[[#This Row],[Duration]]&lt;=10,"Under 10 Mins",Call_Table_Data[[#This Row],[Duration]]&lt;=30,"10 to 30 Mins",Call_Table_Data[[#This Row],[Duration]]&lt;=60,"30 to 60 Mins",Call_Table_Data[[#This Row],[Duration]]&lt;=120,"1 to 2 Hours",TRUE,"More Than 2 Hours")</f>
        <v>More Than 2 Hours</v>
      </c>
      <c r="K974" s="9">
        <f>ROUND(Call_Table_Data[[#This Row],[Satisfaction Rating]],0)</f>
        <v>3</v>
      </c>
    </row>
    <row r="975" spans="1:11" x14ac:dyDescent="0.3">
      <c r="A975" s="9" t="s">
        <v>2601</v>
      </c>
      <c r="B975" s="9" t="s">
        <v>1629</v>
      </c>
      <c r="C975" s="9">
        <v>147</v>
      </c>
      <c r="D975" s="149" t="s">
        <v>1626</v>
      </c>
      <c r="E975" s="150">
        <v>45276</v>
      </c>
      <c r="F975" s="9">
        <v>76</v>
      </c>
      <c r="G975" s="9">
        <v>4.7</v>
      </c>
      <c r="H975" s="9">
        <f>IF(MONTH(Call_Table_Data[[#This Row],[Date of Call]])&lt;=6,YEAR(Call_Table_Data[[#This Row],[Date of Call]]),YEAR(Call_Table_Data[[#This Row],[Date of Call]])+1)</f>
        <v>2024</v>
      </c>
      <c r="I975" s="9" t="str">
        <f>TEXT(Call_Table_Data[[#This Row],[Date of Call]],"DDDD")</f>
        <v>Saturday</v>
      </c>
      <c r="J975" s="9" t="str" cm="1">
        <f t="array" ref="J975">_xlfn.IFS(Call_Table_Data[[#This Row],[Duration]]&lt;=10,"Under 10 Mins",Call_Table_Data[[#This Row],[Duration]]&lt;=30,"10 to 30 Mins",Call_Table_Data[[#This Row],[Duration]]&lt;=60,"30 to 60 Mins",Call_Table_Data[[#This Row],[Duration]]&lt;=120,"1 to 2 Hours",TRUE,"More Than 2 Hours")</f>
        <v>More Than 2 Hours</v>
      </c>
      <c r="K975" s="9">
        <f>ROUND(Call_Table_Data[[#This Row],[Satisfaction Rating]],0)</f>
        <v>5</v>
      </c>
    </row>
    <row r="976" spans="1:11" x14ac:dyDescent="0.3">
      <c r="A976" s="9" t="s">
        <v>2602</v>
      </c>
      <c r="B976" s="9" t="s">
        <v>1649</v>
      </c>
      <c r="C976" s="9">
        <v>126</v>
      </c>
      <c r="D976" s="149" t="s">
        <v>1626</v>
      </c>
      <c r="E976" s="150">
        <v>45276</v>
      </c>
      <c r="F976" s="9">
        <v>185</v>
      </c>
      <c r="G976" s="9">
        <v>4.8</v>
      </c>
      <c r="H976" s="9">
        <f>IF(MONTH(Call_Table_Data[[#This Row],[Date of Call]])&lt;=6,YEAR(Call_Table_Data[[#This Row],[Date of Call]]),YEAR(Call_Table_Data[[#This Row],[Date of Call]])+1)</f>
        <v>2024</v>
      </c>
      <c r="I976" s="9" t="str">
        <f>TEXT(Call_Table_Data[[#This Row],[Date of Call]],"DDDD")</f>
        <v>Saturday</v>
      </c>
      <c r="J976" s="9" t="str" cm="1">
        <f t="array" ref="J976">_xlfn.IFS(Call_Table_Data[[#This Row],[Duration]]&lt;=10,"Under 10 Mins",Call_Table_Data[[#This Row],[Duration]]&lt;=30,"10 to 30 Mins",Call_Table_Data[[#This Row],[Duration]]&lt;=60,"30 to 60 Mins",Call_Table_Data[[#This Row],[Duration]]&lt;=120,"1 to 2 Hours",TRUE,"More Than 2 Hours")</f>
        <v>More Than 2 Hours</v>
      </c>
      <c r="K976" s="9">
        <f>ROUND(Call_Table_Data[[#This Row],[Satisfaction Rating]],0)</f>
        <v>5</v>
      </c>
    </row>
    <row r="977" spans="1:11" x14ac:dyDescent="0.3">
      <c r="A977" s="9" t="s">
        <v>2603</v>
      </c>
      <c r="B977" s="9" t="s">
        <v>1615</v>
      </c>
      <c r="C977" s="9">
        <v>126</v>
      </c>
      <c r="D977" s="149" t="s">
        <v>1621</v>
      </c>
      <c r="E977" s="150">
        <v>45277</v>
      </c>
      <c r="F977" s="9">
        <v>80</v>
      </c>
      <c r="G977" s="9">
        <v>4.7</v>
      </c>
      <c r="H977" s="9">
        <f>IF(MONTH(Call_Table_Data[[#This Row],[Date of Call]])&lt;=6,YEAR(Call_Table_Data[[#This Row],[Date of Call]]),YEAR(Call_Table_Data[[#This Row],[Date of Call]])+1)</f>
        <v>2024</v>
      </c>
      <c r="I977" s="9" t="str">
        <f>TEXT(Call_Table_Data[[#This Row],[Date of Call]],"DDDD")</f>
        <v>Sunday</v>
      </c>
      <c r="J977" s="9" t="str" cm="1">
        <f t="array" ref="J977">_xlfn.IFS(Call_Table_Data[[#This Row],[Duration]]&lt;=10,"Under 10 Mins",Call_Table_Data[[#This Row],[Duration]]&lt;=30,"10 to 30 Mins",Call_Table_Data[[#This Row],[Duration]]&lt;=60,"30 to 60 Mins",Call_Table_Data[[#This Row],[Duration]]&lt;=120,"1 to 2 Hours",TRUE,"More Than 2 Hours")</f>
        <v>More Than 2 Hours</v>
      </c>
      <c r="K977" s="9">
        <f>ROUND(Call_Table_Data[[#This Row],[Satisfaction Rating]],0)</f>
        <v>5</v>
      </c>
    </row>
    <row r="978" spans="1:11" x14ac:dyDescent="0.3">
      <c r="A978" s="9" t="s">
        <v>2604</v>
      </c>
      <c r="B978" s="9" t="s">
        <v>1633</v>
      </c>
      <c r="C978" s="9">
        <v>32</v>
      </c>
      <c r="D978" s="149" t="s">
        <v>1626</v>
      </c>
      <c r="E978" s="150">
        <v>45277</v>
      </c>
      <c r="F978" s="9">
        <v>148</v>
      </c>
      <c r="G978" s="9">
        <v>4</v>
      </c>
      <c r="H978" s="9">
        <f>IF(MONTH(Call_Table_Data[[#This Row],[Date of Call]])&lt;=6,YEAR(Call_Table_Data[[#This Row],[Date of Call]]),YEAR(Call_Table_Data[[#This Row],[Date of Call]])+1)</f>
        <v>2024</v>
      </c>
      <c r="I978" s="9" t="str">
        <f>TEXT(Call_Table_Data[[#This Row],[Date of Call]],"DDDD")</f>
        <v>Sunday</v>
      </c>
      <c r="J978" s="9" t="str" cm="1">
        <f t="array" ref="J978">_xlfn.IFS(Call_Table_Data[[#This Row],[Duration]]&lt;=10,"Under 10 Mins",Call_Table_Data[[#This Row],[Duration]]&lt;=30,"10 to 30 Mins",Call_Table_Data[[#This Row],[Duration]]&lt;=60,"30 to 60 Mins",Call_Table_Data[[#This Row],[Duration]]&lt;=120,"1 to 2 Hours",TRUE,"More Than 2 Hours")</f>
        <v>30 to 60 Mins</v>
      </c>
      <c r="K978" s="9">
        <f>ROUND(Call_Table_Data[[#This Row],[Satisfaction Rating]],0)</f>
        <v>4</v>
      </c>
    </row>
    <row r="979" spans="1:11" x14ac:dyDescent="0.3">
      <c r="A979" s="9" t="s">
        <v>2605</v>
      </c>
      <c r="B979" s="9" t="s">
        <v>1615</v>
      </c>
      <c r="C979" s="9">
        <v>84</v>
      </c>
      <c r="D979" s="149" t="s">
        <v>1630</v>
      </c>
      <c r="E979" s="150">
        <v>45279</v>
      </c>
      <c r="F979" s="9">
        <v>180</v>
      </c>
      <c r="G979" s="9">
        <v>4.9000000000000004</v>
      </c>
      <c r="H979" s="9">
        <f>IF(MONTH(Call_Table_Data[[#This Row],[Date of Call]])&lt;=6,YEAR(Call_Table_Data[[#This Row],[Date of Call]]),YEAR(Call_Table_Data[[#This Row],[Date of Call]])+1)</f>
        <v>2024</v>
      </c>
      <c r="I979" s="9" t="str">
        <f>TEXT(Call_Table_Data[[#This Row],[Date of Call]],"DDDD")</f>
        <v>Tuesday</v>
      </c>
      <c r="J979" s="9" t="str" cm="1">
        <f t="array" ref="J979">_xlfn.IFS(Call_Table_Data[[#This Row],[Duration]]&lt;=10,"Under 10 Mins",Call_Table_Data[[#This Row],[Duration]]&lt;=30,"10 to 30 Mins",Call_Table_Data[[#This Row],[Duration]]&lt;=60,"30 to 60 Mins",Call_Table_Data[[#This Row],[Duration]]&lt;=120,"1 to 2 Hours",TRUE,"More Than 2 Hours")</f>
        <v>1 to 2 Hours</v>
      </c>
      <c r="K979" s="9">
        <f>ROUND(Call_Table_Data[[#This Row],[Satisfaction Rating]],0)</f>
        <v>5</v>
      </c>
    </row>
    <row r="980" spans="1:11" x14ac:dyDescent="0.3">
      <c r="A980" s="9" t="s">
        <v>2606</v>
      </c>
      <c r="B980" s="9" t="s">
        <v>1641</v>
      </c>
      <c r="C980" s="9">
        <v>120</v>
      </c>
      <c r="D980" s="149" t="s">
        <v>1621</v>
      </c>
      <c r="E980" s="150">
        <v>45280</v>
      </c>
      <c r="F980" s="9">
        <v>190</v>
      </c>
      <c r="G980" s="9">
        <v>3.7</v>
      </c>
      <c r="H980" s="9">
        <f>IF(MONTH(Call_Table_Data[[#This Row],[Date of Call]])&lt;=6,YEAR(Call_Table_Data[[#This Row],[Date of Call]]),YEAR(Call_Table_Data[[#This Row],[Date of Call]])+1)</f>
        <v>2024</v>
      </c>
      <c r="I980" s="9" t="str">
        <f>TEXT(Call_Table_Data[[#This Row],[Date of Call]],"DDDD")</f>
        <v>Wednesday</v>
      </c>
      <c r="J980" s="9" t="str" cm="1">
        <f t="array" ref="J980">_xlfn.IFS(Call_Table_Data[[#This Row],[Duration]]&lt;=10,"Under 10 Mins",Call_Table_Data[[#This Row],[Duration]]&lt;=30,"10 to 30 Mins",Call_Table_Data[[#This Row],[Duration]]&lt;=60,"30 to 60 Mins",Call_Table_Data[[#This Row],[Duration]]&lt;=120,"1 to 2 Hours",TRUE,"More Than 2 Hours")</f>
        <v>1 to 2 Hours</v>
      </c>
      <c r="K980" s="9">
        <f>ROUND(Call_Table_Data[[#This Row],[Satisfaction Rating]],0)</f>
        <v>4</v>
      </c>
    </row>
    <row r="981" spans="1:11" x14ac:dyDescent="0.3">
      <c r="A981" s="9" t="s">
        <v>2607</v>
      </c>
      <c r="B981" s="9" t="s">
        <v>1620</v>
      </c>
      <c r="C981" s="9">
        <v>93</v>
      </c>
      <c r="D981" s="149" t="s">
        <v>1626</v>
      </c>
      <c r="E981" s="150">
        <v>45280</v>
      </c>
      <c r="F981" s="9">
        <v>38</v>
      </c>
      <c r="G981" s="9">
        <v>4.5</v>
      </c>
      <c r="H981" s="9">
        <f>IF(MONTH(Call_Table_Data[[#This Row],[Date of Call]])&lt;=6,YEAR(Call_Table_Data[[#This Row],[Date of Call]]),YEAR(Call_Table_Data[[#This Row],[Date of Call]])+1)</f>
        <v>2024</v>
      </c>
      <c r="I981" s="9" t="str">
        <f>TEXT(Call_Table_Data[[#This Row],[Date of Call]],"DDDD")</f>
        <v>Wednesday</v>
      </c>
      <c r="J981" s="9" t="str" cm="1">
        <f t="array" ref="J981">_xlfn.IFS(Call_Table_Data[[#This Row],[Duration]]&lt;=10,"Under 10 Mins",Call_Table_Data[[#This Row],[Duration]]&lt;=30,"10 to 30 Mins",Call_Table_Data[[#This Row],[Duration]]&lt;=60,"30 to 60 Mins",Call_Table_Data[[#This Row],[Duration]]&lt;=120,"1 to 2 Hours",TRUE,"More Than 2 Hours")</f>
        <v>1 to 2 Hours</v>
      </c>
      <c r="K981" s="9">
        <f>ROUND(Call_Table_Data[[#This Row],[Satisfaction Rating]],0)</f>
        <v>5</v>
      </c>
    </row>
    <row r="982" spans="1:11" x14ac:dyDescent="0.3">
      <c r="A982" s="9" t="s">
        <v>2608</v>
      </c>
      <c r="B982" s="9" t="s">
        <v>1624</v>
      </c>
      <c r="C982" s="9">
        <v>76</v>
      </c>
      <c r="D982" s="149" t="s">
        <v>1616</v>
      </c>
      <c r="E982" s="150">
        <v>45281</v>
      </c>
      <c r="F982" s="9">
        <v>82</v>
      </c>
      <c r="G982" s="9">
        <v>2.1</v>
      </c>
      <c r="H982" s="9">
        <f>IF(MONTH(Call_Table_Data[[#This Row],[Date of Call]])&lt;=6,YEAR(Call_Table_Data[[#This Row],[Date of Call]]),YEAR(Call_Table_Data[[#This Row],[Date of Call]])+1)</f>
        <v>2024</v>
      </c>
      <c r="I982" s="9" t="str">
        <f>TEXT(Call_Table_Data[[#This Row],[Date of Call]],"DDDD")</f>
        <v>Thursday</v>
      </c>
      <c r="J982" s="9" t="str" cm="1">
        <f t="array" ref="J982">_xlfn.IFS(Call_Table_Data[[#This Row],[Duration]]&lt;=10,"Under 10 Mins",Call_Table_Data[[#This Row],[Duration]]&lt;=30,"10 to 30 Mins",Call_Table_Data[[#This Row],[Duration]]&lt;=60,"30 to 60 Mins",Call_Table_Data[[#This Row],[Duration]]&lt;=120,"1 to 2 Hours",TRUE,"More Than 2 Hours")</f>
        <v>1 to 2 Hours</v>
      </c>
      <c r="K982" s="9">
        <f>ROUND(Call_Table_Data[[#This Row],[Satisfaction Rating]],0)</f>
        <v>2</v>
      </c>
    </row>
    <row r="983" spans="1:11" x14ac:dyDescent="0.3">
      <c r="A983" s="9" t="s">
        <v>2609</v>
      </c>
      <c r="B983" s="9" t="s">
        <v>1682</v>
      </c>
      <c r="C983" s="9">
        <v>89</v>
      </c>
      <c r="D983" s="149" t="s">
        <v>1626</v>
      </c>
      <c r="E983" s="150">
        <v>45284</v>
      </c>
      <c r="F983" s="9">
        <v>88</v>
      </c>
      <c r="G983" s="9">
        <v>2.8</v>
      </c>
      <c r="H983" s="9">
        <f>IF(MONTH(Call_Table_Data[[#This Row],[Date of Call]])&lt;=6,YEAR(Call_Table_Data[[#This Row],[Date of Call]]),YEAR(Call_Table_Data[[#This Row],[Date of Call]])+1)</f>
        <v>2024</v>
      </c>
      <c r="I983" s="9" t="str">
        <f>TEXT(Call_Table_Data[[#This Row],[Date of Call]],"DDDD")</f>
        <v>Sunday</v>
      </c>
      <c r="J983" s="9" t="str" cm="1">
        <f t="array" ref="J983">_xlfn.IFS(Call_Table_Data[[#This Row],[Duration]]&lt;=10,"Under 10 Mins",Call_Table_Data[[#This Row],[Duration]]&lt;=30,"10 to 30 Mins",Call_Table_Data[[#This Row],[Duration]]&lt;=60,"30 to 60 Mins",Call_Table_Data[[#This Row],[Duration]]&lt;=120,"1 to 2 Hours",TRUE,"More Than 2 Hours")</f>
        <v>1 to 2 Hours</v>
      </c>
      <c r="K983" s="9">
        <f>ROUND(Call_Table_Data[[#This Row],[Satisfaction Rating]],0)</f>
        <v>3</v>
      </c>
    </row>
    <row r="984" spans="1:11" x14ac:dyDescent="0.3">
      <c r="A984" s="9" t="s">
        <v>2610</v>
      </c>
      <c r="B984" s="9" t="s">
        <v>1618</v>
      </c>
      <c r="C984" s="9">
        <v>91</v>
      </c>
      <c r="D984" s="149" t="s">
        <v>1630</v>
      </c>
      <c r="E984" s="150">
        <v>45284</v>
      </c>
      <c r="F984" s="9">
        <v>42</v>
      </c>
      <c r="G984" s="9">
        <v>4.0999999999999996</v>
      </c>
      <c r="H984" s="9">
        <f>IF(MONTH(Call_Table_Data[[#This Row],[Date of Call]])&lt;=6,YEAR(Call_Table_Data[[#This Row],[Date of Call]]),YEAR(Call_Table_Data[[#This Row],[Date of Call]])+1)</f>
        <v>2024</v>
      </c>
      <c r="I984" s="9" t="str">
        <f>TEXT(Call_Table_Data[[#This Row],[Date of Call]],"DDDD")</f>
        <v>Sunday</v>
      </c>
      <c r="J984" s="9" t="str" cm="1">
        <f t="array" ref="J984">_xlfn.IFS(Call_Table_Data[[#This Row],[Duration]]&lt;=10,"Under 10 Mins",Call_Table_Data[[#This Row],[Duration]]&lt;=30,"10 to 30 Mins",Call_Table_Data[[#This Row],[Duration]]&lt;=60,"30 to 60 Mins",Call_Table_Data[[#This Row],[Duration]]&lt;=120,"1 to 2 Hours",TRUE,"More Than 2 Hours")</f>
        <v>1 to 2 Hours</v>
      </c>
      <c r="K984" s="9">
        <f>ROUND(Call_Table_Data[[#This Row],[Satisfaction Rating]],0)</f>
        <v>4</v>
      </c>
    </row>
    <row r="985" spans="1:11" x14ac:dyDescent="0.3">
      <c r="A985" s="9" t="s">
        <v>2611</v>
      </c>
      <c r="B985" s="9" t="s">
        <v>1644</v>
      </c>
      <c r="C985" s="9">
        <v>7</v>
      </c>
      <c r="D985" s="149" t="s">
        <v>1611</v>
      </c>
      <c r="E985" s="150">
        <v>45285</v>
      </c>
      <c r="F985" s="9">
        <v>64</v>
      </c>
      <c r="G985" s="9">
        <v>3.3</v>
      </c>
      <c r="H985" s="9">
        <f>IF(MONTH(Call_Table_Data[[#This Row],[Date of Call]])&lt;=6,YEAR(Call_Table_Data[[#This Row],[Date of Call]]),YEAR(Call_Table_Data[[#This Row],[Date of Call]])+1)</f>
        <v>2024</v>
      </c>
      <c r="I985" s="9" t="str">
        <f>TEXT(Call_Table_Data[[#This Row],[Date of Call]],"DDDD")</f>
        <v>Monday</v>
      </c>
      <c r="J985" s="9" t="str" cm="1">
        <f t="array" ref="J985">_xlfn.IFS(Call_Table_Data[[#This Row],[Duration]]&lt;=10,"Under 10 Mins",Call_Table_Data[[#This Row],[Duration]]&lt;=30,"10 to 30 Mins",Call_Table_Data[[#This Row],[Duration]]&lt;=60,"30 to 60 Mins",Call_Table_Data[[#This Row],[Duration]]&lt;=120,"1 to 2 Hours",TRUE,"More Than 2 Hours")</f>
        <v>Under 10 Mins</v>
      </c>
      <c r="K985" s="9">
        <f>ROUND(Call_Table_Data[[#This Row],[Satisfaction Rating]],0)</f>
        <v>3</v>
      </c>
    </row>
    <row r="986" spans="1:11" x14ac:dyDescent="0.3">
      <c r="A986" s="9" t="s">
        <v>2612</v>
      </c>
      <c r="B986" s="9" t="s">
        <v>1633</v>
      </c>
      <c r="C986" s="9">
        <v>140</v>
      </c>
      <c r="D986" s="149" t="s">
        <v>1611</v>
      </c>
      <c r="E986" s="150">
        <v>45285</v>
      </c>
      <c r="F986" s="9">
        <v>105</v>
      </c>
      <c r="G986" s="9">
        <v>1.7</v>
      </c>
      <c r="H986" s="9">
        <f>IF(MONTH(Call_Table_Data[[#This Row],[Date of Call]])&lt;=6,YEAR(Call_Table_Data[[#This Row],[Date of Call]]),YEAR(Call_Table_Data[[#This Row],[Date of Call]])+1)</f>
        <v>2024</v>
      </c>
      <c r="I986" s="9" t="str">
        <f>TEXT(Call_Table_Data[[#This Row],[Date of Call]],"DDDD")</f>
        <v>Monday</v>
      </c>
      <c r="J986" s="9" t="str" cm="1">
        <f t="array" ref="J986">_xlfn.IFS(Call_Table_Data[[#This Row],[Duration]]&lt;=10,"Under 10 Mins",Call_Table_Data[[#This Row],[Duration]]&lt;=30,"10 to 30 Mins",Call_Table_Data[[#This Row],[Duration]]&lt;=60,"30 to 60 Mins",Call_Table_Data[[#This Row],[Duration]]&lt;=120,"1 to 2 Hours",TRUE,"More Than 2 Hours")</f>
        <v>More Than 2 Hours</v>
      </c>
      <c r="K986" s="9">
        <f>ROUND(Call_Table_Data[[#This Row],[Satisfaction Rating]],0)</f>
        <v>2</v>
      </c>
    </row>
    <row r="987" spans="1:11" x14ac:dyDescent="0.3">
      <c r="A987" s="9" t="s">
        <v>2613</v>
      </c>
      <c r="B987" s="9" t="s">
        <v>1613</v>
      </c>
      <c r="C987" s="9">
        <v>58</v>
      </c>
      <c r="D987" s="149" t="s">
        <v>1621</v>
      </c>
      <c r="E987" s="150">
        <v>45285</v>
      </c>
      <c r="F987" s="9">
        <v>25</v>
      </c>
      <c r="G987" s="9">
        <v>3.6</v>
      </c>
      <c r="H987" s="9">
        <f>IF(MONTH(Call_Table_Data[[#This Row],[Date of Call]])&lt;=6,YEAR(Call_Table_Data[[#This Row],[Date of Call]]),YEAR(Call_Table_Data[[#This Row],[Date of Call]])+1)</f>
        <v>2024</v>
      </c>
      <c r="I987" s="9" t="str">
        <f>TEXT(Call_Table_Data[[#This Row],[Date of Call]],"DDDD")</f>
        <v>Monday</v>
      </c>
      <c r="J987" s="9" t="str" cm="1">
        <f t="array" ref="J987">_xlfn.IFS(Call_Table_Data[[#This Row],[Duration]]&lt;=10,"Under 10 Mins",Call_Table_Data[[#This Row],[Duration]]&lt;=30,"10 to 30 Mins",Call_Table_Data[[#This Row],[Duration]]&lt;=60,"30 to 60 Mins",Call_Table_Data[[#This Row],[Duration]]&lt;=120,"1 to 2 Hours",TRUE,"More Than 2 Hours")</f>
        <v>30 to 60 Mins</v>
      </c>
      <c r="K987" s="9">
        <f>ROUND(Call_Table_Data[[#This Row],[Satisfaction Rating]],0)</f>
        <v>4</v>
      </c>
    </row>
    <row r="988" spans="1:11" x14ac:dyDescent="0.3">
      <c r="A988" s="9" t="s">
        <v>2614</v>
      </c>
      <c r="B988" s="9" t="s">
        <v>1610</v>
      </c>
      <c r="C988" s="9">
        <v>90</v>
      </c>
      <c r="D988" s="149" t="s">
        <v>1616</v>
      </c>
      <c r="E988" s="150">
        <v>45286</v>
      </c>
      <c r="F988" s="9">
        <v>176</v>
      </c>
      <c r="G988" s="9">
        <v>3.6</v>
      </c>
      <c r="H988" s="9">
        <f>IF(MONTH(Call_Table_Data[[#This Row],[Date of Call]])&lt;=6,YEAR(Call_Table_Data[[#This Row],[Date of Call]]),YEAR(Call_Table_Data[[#This Row],[Date of Call]])+1)</f>
        <v>2024</v>
      </c>
      <c r="I988" s="9" t="str">
        <f>TEXT(Call_Table_Data[[#This Row],[Date of Call]],"DDDD")</f>
        <v>Tuesday</v>
      </c>
      <c r="J988" s="9" t="str" cm="1">
        <f t="array" ref="J988">_xlfn.IFS(Call_Table_Data[[#This Row],[Duration]]&lt;=10,"Under 10 Mins",Call_Table_Data[[#This Row],[Duration]]&lt;=30,"10 to 30 Mins",Call_Table_Data[[#This Row],[Duration]]&lt;=60,"30 to 60 Mins",Call_Table_Data[[#This Row],[Duration]]&lt;=120,"1 to 2 Hours",TRUE,"More Than 2 Hours")</f>
        <v>1 to 2 Hours</v>
      </c>
      <c r="K988" s="9">
        <f>ROUND(Call_Table_Data[[#This Row],[Satisfaction Rating]],0)</f>
        <v>4</v>
      </c>
    </row>
    <row r="989" spans="1:11" x14ac:dyDescent="0.3">
      <c r="A989" s="9" t="s">
        <v>2615</v>
      </c>
      <c r="B989" s="9" t="s">
        <v>1610</v>
      </c>
      <c r="C989" s="9">
        <v>106</v>
      </c>
      <c r="D989" s="149" t="s">
        <v>1626</v>
      </c>
      <c r="E989" s="150">
        <v>45287</v>
      </c>
      <c r="F989" s="9">
        <v>46</v>
      </c>
      <c r="G989" s="9">
        <v>4.5999999999999996</v>
      </c>
      <c r="H989" s="9">
        <f>IF(MONTH(Call_Table_Data[[#This Row],[Date of Call]])&lt;=6,YEAR(Call_Table_Data[[#This Row],[Date of Call]]),YEAR(Call_Table_Data[[#This Row],[Date of Call]])+1)</f>
        <v>2024</v>
      </c>
      <c r="I989" s="9" t="str">
        <f>TEXT(Call_Table_Data[[#This Row],[Date of Call]],"DDDD")</f>
        <v>Wednesday</v>
      </c>
      <c r="J989" s="9" t="str" cm="1">
        <f t="array" ref="J989">_xlfn.IFS(Call_Table_Data[[#This Row],[Duration]]&lt;=10,"Under 10 Mins",Call_Table_Data[[#This Row],[Duration]]&lt;=30,"10 to 30 Mins",Call_Table_Data[[#This Row],[Duration]]&lt;=60,"30 to 60 Mins",Call_Table_Data[[#This Row],[Duration]]&lt;=120,"1 to 2 Hours",TRUE,"More Than 2 Hours")</f>
        <v>1 to 2 Hours</v>
      </c>
      <c r="K989" s="9">
        <f>ROUND(Call_Table_Data[[#This Row],[Satisfaction Rating]],0)</f>
        <v>5</v>
      </c>
    </row>
    <row r="990" spans="1:11" x14ac:dyDescent="0.3">
      <c r="A990" s="9" t="s">
        <v>2616</v>
      </c>
      <c r="B990" s="9" t="s">
        <v>1641</v>
      </c>
      <c r="C990" s="9">
        <v>72</v>
      </c>
      <c r="D990" s="149" t="s">
        <v>1611</v>
      </c>
      <c r="E990" s="150">
        <v>45287</v>
      </c>
      <c r="F990" s="9">
        <v>164</v>
      </c>
      <c r="G990" s="9">
        <v>4.8</v>
      </c>
      <c r="H990" s="9">
        <f>IF(MONTH(Call_Table_Data[[#This Row],[Date of Call]])&lt;=6,YEAR(Call_Table_Data[[#This Row],[Date of Call]]),YEAR(Call_Table_Data[[#This Row],[Date of Call]])+1)</f>
        <v>2024</v>
      </c>
      <c r="I990" s="9" t="str">
        <f>TEXT(Call_Table_Data[[#This Row],[Date of Call]],"DDDD")</f>
        <v>Wednesday</v>
      </c>
      <c r="J990" s="9" t="str" cm="1">
        <f t="array" ref="J990">_xlfn.IFS(Call_Table_Data[[#This Row],[Duration]]&lt;=10,"Under 10 Mins",Call_Table_Data[[#This Row],[Duration]]&lt;=30,"10 to 30 Mins",Call_Table_Data[[#This Row],[Duration]]&lt;=60,"30 to 60 Mins",Call_Table_Data[[#This Row],[Duration]]&lt;=120,"1 to 2 Hours",TRUE,"More Than 2 Hours")</f>
        <v>1 to 2 Hours</v>
      </c>
      <c r="K990" s="9">
        <f>ROUND(Call_Table_Data[[#This Row],[Satisfaction Rating]],0)</f>
        <v>5</v>
      </c>
    </row>
    <row r="991" spans="1:11" x14ac:dyDescent="0.3">
      <c r="A991" s="9" t="s">
        <v>2617</v>
      </c>
      <c r="B991" s="9" t="s">
        <v>1644</v>
      </c>
      <c r="C991" s="9">
        <v>124</v>
      </c>
      <c r="D991" s="149" t="s">
        <v>1611</v>
      </c>
      <c r="E991" s="150">
        <v>45288</v>
      </c>
      <c r="F991" s="9">
        <v>64</v>
      </c>
      <c r="G991" s="9">
        <v>4.5</v>
      </c>
      <c r="H991" s="9">
        <f>IF(MONTH(Call_Table_Data[[#This Row],[Date of Call]])&lt;=6,YEAR(Call_Table_Data[[#This Row],[Date of Call]]),YEAR(Call_Table_Data[[#This Row],[Date of Call]])+1)</f>
        <v>2024</v>
      </c>
      <c r="I991" s="9" t="str">
        <f>TEXT(Call_Table_Data[[#This Row],[Date of Call]],"DDDD")</f>
        <v>Thursday</v>
      </c>
      <c r="J991" s="9" t="str" cm="1">
        <f t="array" ref="J991">_xlfn.IFS(Call_Table_Data[[#This Row],[Duration]]&lt;=10,"Under 10 Mins",Call_Table_Data[[#This Row],[Duration]]&lt;=30,"10 to 30 Mins",Call_Table_Data[[#This Row],[Duration]]&lt;=60,"30 to 60 Mins",Call_Table_Data[[#This Row],[Duration]]&lt;=120,"1 to 2 Hours",TRUE,"More Than 2 Hours")</f>
        <v>More Than 2 Hours</v>
      </c>
      <c r="K991" s="9">
        <f>ROUND(Call_Table_Data[[#This Row],[Satisfaction Rating]],0)</f>
        <v>5</v>
      </c>
    </row>
    <row r="992" spans="1:11" x14ac:dyDescent="0.3">
      <c r="A992" s="9" t="s">
        <v>2618</v>
      </c>
      <c r="B992" s="9" t="s">
        <v>1635</v>
      </c>
      <c r="C992" s="9">
        <v>86</v>
      </c>
      <c r="D992" s="149" t="s">
        <v>1630</v>
      </c>
      <c r="E992" s="150">
        <v>45288</v>
      </c>
      <c r="F992" s="9">
        <v>205</v>
      </c>
      <c r="G992" s="9">
        <v>4.5</v>
      </c>
      <c r="H992" s="9">
        <f>IF(MONTH(Call_Table_Data[[#This Row],[Date of Call]])&lt;=6,YEAR(Call_Table_Data[[#This Row],[Date of Call]]),YEAR(Call_Table_Data[[#This Row],[Date of Call]])+1)</f>
        <v>2024</v>
      </c>
      <c r="I992" s="9" t="str">
        <f>TEXT(Call_Table_Data[[#This Row],[Date of Call]],"DDDD")</f>
        <v>Thursday</v>
      </c>
      <c r="J992" s="9" t="str" cm="1">
        <f t="array" ref="J992">_xlfn.IFS(Call_Table_Data[[#This Row],[Duration]]&lt;=10,"Under 10 Mins",Call_Table_Data[[#This Row],[Duration]]&lt;=30,"10 to 30 Mins",Call_Table_Data[[#This Row],[Duration]]&lt;=60,"30 to 60 Mins",Call_Table_Data[[#This Row],[Duration]]&lt;=120,"1 to 2 Hours",TRUE,"More Than 2 Hours")</f>
        <v>1 to 2 Hours</v>
      </c>
      <c r="K992" s="9">
        <f>ROUND(Call_Table_Data[[#This Row],[Satisfaction Rating]],0)</f>
        <v>5</v>
      </c>
    </row>
    <row r="993" spans="1:11" x14ac:dyDescent="0.3">
      <c r="A993" s="9" t="s">
        <v>2619</v>
      </c>
      <c r="B993" s="9" t="s">
        <v>1615</v>
      </c>
      <c r="C993" s="9">
        <v>164</v>
      </c>
      <c r="D993" s="149" t="s">
        <v>1630</v>
      </c>
      <c r="E993" s="150">
        <v>45289</v>
      </c>
      <c r="F993" s="9">
        <v>100</v>
      </c>
      <c r="G993" s="9">
        <v>4.5999999999999996</v>
      </c>
      <c r="H993" s="9">
        <f>IF(MONTH(Call_Table_Data[[#This Row],[Date of Call]])&lt;=6,YEAR(Call_Table_Data[[#This Row],[Date of Call]]),YEAR(Call_Table_Data[[#This Row],[Date of Call]])+1)</f>
        <v>2024</v>
      </c>
      <c r="I993" s="9" t="str">
        <f>TEXT(Call_Table_Data[[#This Row],[Date of Call]],"DDDD")</f>
        <v>Friday</v>
      </c>
      <c r="J993" s="9" t="str" cm="1">
        <f t="array" ref="J993">_xlfn.IFS(Call_Table_Data[[#This Row],[Duration]]&lt;=10,"Under 10 Mins",Call_Table_Data[[#This Row],[Duration]]&lt;=30,"10 to 30 Mins",Call_Table_Data[[#This Row],[Duration]]&lt;=60,"30 to 60 Mins",Call_Table_Data[[#This Row],[Duration]]&lt;=120,"1 to 2 Hours",TRUE,"More Than 2 Hours")</f>
        <v>More Than 2 Hours</v>
      </c>
      <c r="K993" s="9">
        <f>ROUND(Call_Table_Data[[#This Row],[Satisfaction Rating]],0)</f>
        <v>5</v>
      </c>
    </row>
    <row r="994" spans="1:11" x14ac:dyDescent="0.3">
      <c r="A994" s="9" t="s">
        <v>2620</v>
      </c>
      <c r="B994" s="9" t="s">
        <v>1620</v>
      </c>
      <c r="C994" s="9">
        <v>40</v>
      </c>
      <c r="D994" s="149" t="s">
        <v>1616</v>
      </c>
      <c r="E994" s="150">
        <v>45289</v>
      </c>
      <c r="F994" s="9">
        <v>111</v>
      </c>
      <c r="G994" s="9">
        <v>4.5999999999999996</v>
      </c>
      <c r="H994" s="9">
        <f>IF(MONTH(Call_Table_Data[[#This Row],[Date of Call]])&lt;=6,YEAR(Call_Table_Data[[#This Row],[Date of Call]]),YEAR(Call_Table_Data[[#This Row],[Date of Call]])+1)</f>
        <v>2024</v>
      </c>
      <c r="I994" s="9" t="str">
        <f>TEXT(Call_Table_Data[[#This Row],[Date of Call]],"DDDD")</f>
        <v>Friday</v>
      </c>
      <c r="J994" s="9" t="str" cm="1">
        <f t="array" ref="J994">_xlfn.IFS(Call_Table_Data[[#This Row],[Duration]]&lt;=10,"Under 10 Mins",Call_Table_Data[[#This Row],[Duration]]&lt;=30,"10 to 30 Mins",Call_Table_Data[[#This Row],[Duration]]&lt;=60,"30 to 60 Mins",Call_Table_Data[[#This Row],[Duration]]&lt;=120,"1 to 2 Hours",TRUE,"More Than 2 Hours")</f>
        <v>30 to 60 Mins</v>
      </c>
      <c r="K994" s="9">
        <f>ROUND(Call_Table_Data[[#This Row],[Satisfaction Rating]],0)</f>
        <v>5</v>
      </c>
    </row>
    <row r="995" spans="1:11" x14ac:dyDescent="0.3">
      <c r="A995" s="9" t="s">
        <v>2621</v>
      </c>
      <c r="B995" s="9" t="s">
        <v>1618</v>
      </c>
      <c r="C995" s="9">
        <v>76</v>
      </c>
      <c r="D995" s="149" t="s">
        <v>1621</v>
      </c>
      <c r="E995" s="150">
        <v>45289</v>
      </c>
      <c r="F995" s="9">
        <v>80</v>
      </c>
      <c r="G995" s="9">
        <v>3.5</v>
      </c>
      <c r="H995" s="9">
        <f>IF(MONTH(Call_Table_Data[[#This Row],[Date of Call]])&lt;=6,YEAR(Call_Table_Data[[#This Row],[Date of Call]]),YEAR(Call_Table_Data[[#This Row],[Date of Call]])+1)</f>
        <v>2024</v>
      </c>
      <c r="I995" s="9" t="str">
        <f>TEXT(Call_Table_Data[[#This Row],[Date of Call]],"DDDD")</f>
        <v>Friday</v>
      </c>
      <c r="J995" s="9" t="str" cm="1">
        <f t="array" ref="J995">_xlfn.IFS(Call_Table_Data[[#This Row],[Duration]]&lt;=10,"Under 10 Mins",Call_Table_Data[[#This Row],[Duration]]&lt;=30,"10 to 30 Mins",Call_Table_Data[[#This Row],[Duration]]&lt;=60,"30 to 60 Mins",Call_Table_Data[[#This Row],[Duration]]&lt;=120,"1 to 2 Hours",TRUE,"More Than 2 Hours")</f>
        <v>1 to 2 Hours</v>
      </c>
      <c r="K995" s="9">
        <f>ROUND(Call_Table_Data[[#This Row],[Satisfaction Rating]],0)</f>
        <v>4</v>
      </c>
    </row>
    <row r="996" spans="1:11" x14ac:dyDescent="0.3">
      <c r="A996" s="9" t="s">
        <v>2622</v>
      </c>
      <c r="B996" s="9" t="s">
        <v>1644</v>
      </c>
      <c r="C996" s="9">
        <v>95</v>
      </c>
      <c r="D996" s="149" t="s">
        <v>1626</v>
      </c>
      <c r="E996" s="150">
        <v>45289</v>
      </c>
      <c r="F996" s="9">
        <v>50</v>
      </c>
      <c r="G996" s="9">
        <v>2.9</v>
      </c>
      <c r="H996" s="9">
        <f>IF(MONTH(Call_Table_Data[[#This Row],[Date of Call]])&lt;=6,YEAR(Call_Table_Data[[#This Row],[Date of Call]]),YEAR(Call_Table_Data[[#This Row],[Date of Call]])+1)</f>
        <v>2024</v>
      </c>
      <c r="I996" s="9" t="str">
        <f>TEXT(Call_Table_Data[[#This Row],[Date of Call]],"DDDD")</f>
        <v>Friday</v>
      </c>
      <c r="J996" s="9" t="str" cm="1">
        <f t="array" ref="J996">_xlfn.IFS(Call_Table_Data[[#This Row],[Duration]]&lt;=10,"Under 10 Mins",Call_Table_Data[[#This Row],[Duration]]&lt;=30,"10 to 30 Mins",Call_Table_Data[[#This Row],[Duration]]&lt;=60,"30 to 60 Mins",Call_Table_Data[[#This Row],[Duration]]&lt;=120,"1 to 2 Hours",TRUE,"More Than 2 Hours")</f>
        <v>1 to 2 Hours</v>
      </c>
      <c r="K996" s="9">
        <f>ROUND(Call_Table_Data[[#This Row],[Satisfaction Rating]],0)</f>
        <v>3</v>
      </c>
    </row>
    <row r="997" spans="1:11" x14ac:dyDescent="0.3">
      <c r="A997" s="9" t="s">
        <v>2623</v>
      </c>
      <c r="B997" s="9" t="s">
        <v>1618</v>
      </c>
      <c r="C997" s="9">
        <v>113</v>
      </c>
      <c r="D997" s="149" t="s">
        <v>1611</v>
      </c>
      <c r="E997" s="150">
        <v>45290</v>
      </c>
      <c r="F997" s="9">
        <v>165</v>
      </c>
      <c r="G997" s="9">
        <v>4.7</v>
      </c>
      <c r="H997" s="9">
        <f>IF(MONTH(Call_Table_Data[[#This Row],[Date of Call]])&lt;=6,YEAR(Call_Table_Data[[#This Row],[Date of Call]]),YEAR(Call_Table_Data[[#This Row],[Date of Call]])+1)</f>
        <v>2024</v>
      </c>
      <c r="I997" s="9" t="str">
        <f>TEXT(Call_Table_Data[[#This Row],[Date of Call]],"DDDD")</f>
        <v>Saturday</v>
      </c>
      <c r="J997" s="9" t="str" cm="1">
        <f t="array" ref="J997">_xlfn.IFS(Call_Table_Data[[#This Row],[Duration]]&lt;=10,"Under 10 Mins",Call_Table_Data[[#This Row],[Duration]]&lt;=30,"10 to 30 Mins",Call_Table_Data[[#This Row],[Duration]]&lt;=60,"30 to 60 Mins",Call_Table_Data[[#This Row],[Duration]]&lt;=120,"1 to 2 Hours",TRUE,"More Than 2 Hours")</f>
        <v>1 to 2 Hours</v>
      </c>
      <c r="K997" s="9">
        <f>ROUND(Call_Table_Data[[#This Row],[Satisfaction Rating]],0)</f>
        <v>5</v>
      </c>
    </row>
    <row r="998" spans="1:11" x14ac:dyDescent="0.3">
      <c r="A998" s="9" t="s">
        <v>2624</v>
      </c>
      <c r="B998" s="9" t="s">
        <v>1635</v>
      </c>
      <c r="C998" s="9">
        <v>81</v>
      </c>
      <c r="D998" s="149" t="s">
        <v>1611</v>
      </c>
      <c r="E998" s="150">
        <v>45290</v>
      </c>
      <c r="F998" s="9">
        <v>28</v>
      </c>
      <c r="G998" s="9">
        <v>3.9</v>
      </c>
      <c r="H998" s="9">
        <f>IF(MONTH(Call_Table_Data[[#This Row],[Date of Call]])&lt;=6,YEAR(Call_Table_Data[[#This Row],[Date of Call]]),YEAR(Call_Table_Data[[#This Row],[Date of Call]])+1)</f>
        <v>2024</v>
      </c>
      <c r="I998" s="9" t="str">
        <f>TEXT(Call_Table_Data[[#This Row],[Date of Call]],"DDDD")</f>
        <v>Saturday</v>
      </c>
      <c r="J998" s="9" t="str" cm="1">
        <f t="array" ref="J998">_xlfn.IFS(Call_Table_Data[[#This Row],[Duration]]&lt;=10,"Under 10 Mins",Call_Table_Data[[#This Row],[Duration]]&lt;=30,"10 to 30 Mins",Call_Table_Data[[#This Row],[Duration]]&lt;=60,"30 to 60 Mins",Call_Table_Data[[#This Row],[Duration]]&lt;=120,"1 to 2 Hours",TRUE,"More Than 2 Hours")</f>
        <v>1 to 2 Hours</v>
      </c>
      <c r="K998" s="9">
        <f>ROUND(Call_Table_Data[[#This Row],[Satisfaction Rating]],0)</f>
        <v>4</v>
      </c>
    </row>
    <row r="999" spans="1:11" x14ac:dyDescent="0.3">
      <c r="A999" s="9" t="s">
        <v>2625</v>
      </c>
      <c r="B999" s="9" t="s">
        <v>1624</v>
      </c>
      <c r="C999" s="9">
        <v>127</v>
      </c>
      <c r="D999" s="149" t="s">
        <v>1626</v>
      </c>
      <c r="E999" s="150">
        <v>45290</v>
      </c>
      <c r="F999" s="9">
        <v>215</v>
      </c>
      <c r="G999" s="9">
        <v>3.8</v>
      </c>
      <c r="H999" s="9">
        <f>IF(MONTH(Call_Table_Data[[#This Row],[Date of Call]])&lt;=6,YEAR(Call_Table_Data[[#This Row],[Date of Call]]),YEAR(Call_Table_Data[[#This Row],[Date of Call]])+1)</f>
        <v>2024</v>
      </c>
      <c r="I999" s="9" t="str">
        <f>TEXT(Call_Table_Data[[#This Row],[Date of Call]],"DDDD")</f>
        <v>Saturday</v>
      </c>
      <c r="J999" s="9" t="str" cm="1">
        <f t="array" ref="J999">_xlfn.IFS(Call_Table_Data[[#This Row],[Duration]]&lt;=10,"Under 10 Mins",Call_Table_Data[[#This Row],[Duration]]&lt;=30,"10 to 30 Mins",Call_Table_Data[[#This Row],[Duration]]&lt;=60,"30 to 60 Mins",Call_Table_Data[[#This Row],[Duration]]&lt;=120,"1 to 2 Hours",TRUE,"More Than 2 Hours")</f>
        <v>More Than 2 Hours</v>
      </c>
      <c r="K999" s="9">
        <f>ROUND(Call_Table_Data[[#This Row],[Satisfaction Rating]],0)</f>
        <v>4</v>
      </c>
    </row>
    <row r="1000" spans="1:11" x14ac:dyDescent="0.3">
      <c r="A1000" s="9" t="s">
        <v>2626</v>
      </c>
      <c r="B1000" s="9" t="s">
        <v>1633</v>
      </c>
      <c r="C1000" s="9">
        <v>146</v>
      </c>
      <c r="D1000" s="149" t="s">
        <v>1611</v>
      </c>
      <c r="E1000" s="150">
        <v>45291</v>
      </c>
      <c r="F1000" s="9">
        <v>115</v>
      </c>
      <c r="G1000" s="9">
        <v>2.2999999999999998</v>
      </c>
      <c r="H1000" s="9">
        <f>IF(MONTH(Call_Table_Data[[#This Row],[Date of Call]])&lt;=6,YEAR(Call_Table_Data[[#This Row],[Date of Call]]),YEAR(Call_Table_Data[[#This Row],[Date of Call]])+1)</f>
        <v>2024</v>
      </c>
      <c r="I1000" s="9" t="str">
        <f>TEXT(Call_Table_Data[[#This Row],[Date of Call]],"DDDD")</f>
        <v>Sunday</v>
      </c>
      <c r="J1000" s="9" t="str" cm="1">
        <f t="array" ref="J1000">_xlfn.IFS(Call_Table_Data[[#This Row],[Duration]]&lt;=10,"Under 10 Mins",Call_Table_Data[[#This Row],[Duration]]&lt;=30,"10 to 30 Mins",Call_Table_Data[[#This Row],[Duration]]&lt;=60,"30 to 60 Mins",Call_Table_Data[[#This Row],[Duration]]&lt;=120,"1 to 2 Hours",TRUE,"More Than 2 Hours")</f>
        <v>More Than 2 Hours</v>
      </c>
      <c r="K1000" s="9">
        <f>ROUND(Call_Table_Data[[#This Row],[Satisfaction Rating]],0)</f>
        <v>2</v>
      </c>
    </row>
    <row r="1001" spans="1:11" x14ac:dyDescent="0.3">
      <c r="A1001" s="9" t="s">
        <v>2627</v>
      </c>
      <c r="B1001" s="9" t="s">
        <v>1629</v>
      </c>
      <c r="C1001" s="9">
        <v>123</v>
      </c>
      <c r="D1001" s="149" t="s">
        <v>1611</v>
      </c>
      <c r="E1001" s="150">
        <v>45291</v>
      </c>
      <c r="F1001" s="9">
        <v>64</v>
      </c>
      <c r="G1001" s="9">
        <v>3.7</v>
      </c>
      <c r="H1001" s="9">
        <f>IF(MONTH(Call_Table_Data[[#This Row],[Date of Call]])&lt;=6,YEAR(Call_Table_Data[[#This Row],[Date of Call]]),YEAR(Call_Table_Data[[#This Row],[Date of Call]])+1)</f>
        <v>2024</v>
      </c>
      <c r="I1001" s="9" t="str">
        <f>TEXT(Call_Table_Data[[#This Row],[Date of Call]],"DDDD")</f>
        <v>Sunday</v>
      </c>
      <c r="J1001" s="9" t="str" cm="1">
        <f t="array" ref="J1001">_xlfn.IFS(Call_Table_Data[[#This Row],[Duration]]&lt;=10,"Under 10 Mins",Call_Table_Data[[#This Row],[Duration]]&lt;=30,"10 to 30 Mins",Call_Table_Data[[#This Row],[Duration]]&lt;=60,"30 to 60 Mins",Call_Table_Data[[#This Row],[Duration]]&lt;=120,"1 to 2 Hours",TRUE,"More Than 2 Hours")</f>
        <v>More Than 2 Hours</v>
      </c>
      <c r="K1001" s="9">
        <f>ROUND(Call_Table_Data[[#This Row],[Satisfaction Rating]],0)</f>
        <v>4</v>
      </c>
    </row>
    <row r="1002" spans="1:11" x14ac:dyDescent="0.3">
      <c r="A1002" s="9" t="s">
        <v>2628</v>
      </c>
      <c r="B1002" s="9" t="s">
        <v>1641</v>
      </c>
      <c r="C1002" s="9">
        <v>114</v>
      </c>
      <c r="D1002" s="149" t="s">
        <v>1621</v>
      </c>
      <c r="E1002" s="150">
        <v>45291</v>
      </c>
      <c r="F1002" s="9">
        <v>40</v>
      </c>
      <c r="G1002" s="9">
        <v>3.9</v>
      </c>
      <c r="H1002" s="9">
        <f>IF(MONTH(Call_Table_Data[[#This Row],[Date of Call]])&lt;=6,YEAR(Call_Table_Data[[#This Row],[Date of Call]]),YEAR(Call_Table_Data[[#This Row],[Date of Call]])+1)</f>
        <v>2024</v>
      </c>
      <c r="I1002" s="9" t="str">
        <f>TEXT(Call_Table_Data[[#This Row],[Date of Call]],"DDDD")</f>
        <v>Sunday</v>
      </c>
      <c r="J1002" s="9" t="str" cm="1">
        <f t="array" ref="J1002">_xlfn.IFS(Call_Table_Data[[#This Row],[Duration]]&lt;=10,"Under 10 Mins",Call_Table_Data[[#This Row],[Duration]]&lt;=30,"10 to 30 Mins",Call_Table_Data[[#This Row],[Duration]]&lt;=60,"30 to 60 Mins",Call_Table_Data[[#This Row],[Duration]]&lt;=120,"1 to 2 Hours",TRUE,"More Than 2 Hours")</f>
        <v>1 to 2 Hours</v>
      </c>
      <c r="K1002" s="9">
        <f>ROUND(Call_Table_Data[[#This Row],[Satisfaction Rating]],0)</f>
        <v>4</v>
      </c>
    </row>
  </sheetData>
  <mergeCells count="1">
    <mergeCell ref="A1:K1"/>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E6D7-8D42-4550-AC74-B280BD93C547}">
  <dimension ref="A1:H18"/>
  <sheetViews>
    <sheetView workbookViewId="0">
      <selection activeCell="G3" sqref="G3"/>
    </sheetView>
  </sheetViews>
  <sheetFormatPr defaultRowHeight="14.2" x14ac:dyDescent="0.3"/>
  <cols>
    <col min="1" max="1" width="5" customWidth="1"/>
    <col min="2" max="2" width="30.09765625" customWidth="1"/>
    <col min="3" max="3" width="5.3984375" customWidth="1"/>
    <col min="4" max="4" width="80.19921875" customWidth="1"/>
    <col min="5" max="5" width="7.69921875" customWidth="1"/>
    <col min="6" max="7" width="5" customWidth="1"/>
    <col min="8" max="8" width="19.69921875" customWidth="1"/>
    <col min="10" max="10" width="8.19921875" customWidth="1"/>
  </cols>
  <sheetData>
    <row r="1" spans="1:8" ht="14.5" x14ac:dyDescent="0.3">
      <c r="A1" s="113" t="s">
        <v>2710</v>
      </c>
      <c r="B1" s="113" t="s">
        <v>2709</v>
      </c>
      <c r="C1" s="113" t="s">
        <v>38</v>
      </c>
      <c r="D1" s="113" t="s">
        <v>2714</v>
      </c>
      <c r="E1" s="113" t="s">
        <v>185</v>
      </c>
      <c r="F1" s="113" t="s">
        <v>39</v>
      </c>
      <c r="G1" s="113" t="s">
        <v>2634</v>
      </c>
      <c r="H1" s="113" t="s">
        <v>2715</v>
      </c>
    </row>
    <row r="2" spans="1:8" ht="56.7" x14ac:dyDescent="0.3">
      <c r="A2" s="175">
        <v>1</v>
      </c>
      <c r="B2" s="175" t="s">
        <v>2711</v>
      </c>
      <c r="C2" s="8">
        <v>1</v>
      </c>
      <c r="D2" s="6" t="s">
        <v>2716</v>
      </c>
      <c r="E2" s="8"/>
      <c r="F2" s="8"/>
      <c r="G2" s="8"/>
      <c r="H2" s="8" t="s">
        <v>2717</v>
      </c>
    </row>
    <row r="3" spans="1:8" x14ac:dyDescent="0.3">
      <c r="A3" s="176"/>
      <c r="B3" s="176"/>
      <c r="C3" s="8">
        <v>2</v>
      </c>
      <c r="D3" s="8" t="s">
        <v>2718</v>
      </c>
      <c r="E3" s="8"/>
      <c r="F3" s="8"/>
      <c r="G3" s="8"/>
      <c r="H3" s="8" t="s">
        <v>2719</v>
      </c>
    </row>
    <row r="4" spans="1:8" ht="14.5" x14ac:dyDescent="0.3">
      <c r="A4" s="8"/>
      <c r="B4" s="8"/>
      <c r="C4" s="8"/>
      <c r="D4" s="8"/>
      <c r="E4" s="8"/>
      <c r="F4" s="8"/>
      <c r="G4" s="8"/>
      <c r="H4" s="8"/>
    </row>
    <row r="5" spans="1:8" ht="14.5" x14ac:dyDescent="0.3">
      <c r="A5" s="8"/>
      <c r="B5" s="8"/>
      <c r="C5" s="8"/>
      <c r="D5" s="8"/>
      <c r="E5" s="8"/>
      <c r="F5" s="8"/>
      <c r="G5" s="8"/>
      <c r="H5" s="8"/>
    </row>
    <row r="6" spans="1:8" ht="14.5" x14ac:dyDescent="0.3">
      <c r="A6" s="8"/>
      <c r="B6" s="8"/>
      <c r="C6" s="8"/>
      <c r="D6" s="8"/>
      <c r="E6" s="8"/>
      <c r="F6" s="8"/>
      <c r="G6" s="8"/>
      <c r="H6" s="8"/>
    </row>
    <row r="7" spans="1:8" ht="14.5" x14ac:dyDescent="0.3">
      <c r="A7" s="8"/>
      <c r="B7" s="8"/>
      <c r="C7" s="8"/>
      <c r="D7" s="8"/>
      <c r="E7" s="8"/>
      <c r="F7" s="8"/>
      <c r="G7" s="8"/>
      <c r="H7" s="8"/>
    </row>
    <row r="8" spans="1:8" ht="14.5" x14ac:dyDescent="0.3">
      <c r="A8" s="8"/>
      <c r="B8" s="8"/>
      <c r="C8" s="8"/>
      <c r="D8" s="8"/>
      <c r="E8" s="8"/>
      <c r="F8" s="8"/>
      <c r="G8" s="8"/>
      <c r="H8" s="8"/>
    </row>
    <row r="9" spans="1:8" ht="14.5" x14ac:dyDescent="0.3">
      <c r="A9" s="8"/>
      <c r="B9" s="8"/>
      <c r="C9" s="8"/>
      <c r="D9" s="8"/>
      <c r="E9" s="8"/>
      <c r="F9" s="8"/>
      <c r="G9" s="8"/>
      <c r="H9" s="8"/>
    </row>
    <row r="10" spans="1:8" ht="14.5" x14ac:dyDescent="0.3">
      <c r="A10" s="8"/>
      <c r="B10" s="8"/>
      <c r="C10" s="8"/>
      <c r="D10" s="8"/>
      <c r="E10" s="8"/>
      <c r="F10" s="8"/>
      <c r="G10" s="8"/>
      <c r="H10" s="8"/>
    </row>
    <row r="11" spans="1:8" ht="14.5" x14ac:dyDescent="0.3">
      <c r="A11" s="8"/>
      <c r="B11" s="8"/>
      <c r="C11" s="8"/>
      <c r="D11" s="8"/>
      <c r="E11" s="8"/>
      <c r="F11" s="8"/>
      <c r="G11" s="8"/>
      <c r="H11" s="8"/>
    </row>
    <row r="12" spans="1:8" x14ac:dyDescent="0.3">
      <c r="A12" s="8"/>
      <c r="B12" s="8"/>
      <c r="C12" s="8"/>
      <c r="D12" s="8"/>
      <c r="E12" s="8"/>
      <c r="F12" s="8"/>
      <c r="G12" s="8"/>
      <c r="H12" s="8"/>
    </row>
    <row r="13" spans="1:8" x14ac:dyDescent="0.3">
      <c r="A13" s="8"/>
      <c r="B13" s="8"/>
      <c r="C13" s="8"/>
      <c r="D13" s="8"/>
      <c r="E13" s="8"/>
      <c r="F13" s="8"/>
      <c r="G13" s="8"/>
      <c r="H13" s="8"/>
    </row>
    <row r="14" spans="1:8" x14ac:dyDescent="0.3">
      <c r="A14" s="8"/>
      <c r="B14" s="8"/>
      <c r="C14" s="8"/>
      <c r="D14" s="8"/>
      <c r="E14" s="8"/>
      <c r="F14" s="8"/>
      <c r="G14" s="8"/>
      <c r="H14" s="8"/>
    </row>
    <row r="15" spans="1:8" x14ac:dyDescent="0.3">
      <c r="A15" s="8"/>
      <c r="B15" s="8"/>
      <c r="C15" s="8"/>
      <c r="D15" s="8"/>
      <c r="E15" s="8"/>
      <c r="F15" s="8"/>
      <c r="G15" s="8"/>
      <c r="H15" s="8"/>
    </row>
    <row r="16" spans="1:8" x14ac:dyDescent="0.3">
      <c r="A16" s="8"/>
      <c r="B16" s="8"/>
      <c r="C16" s="8"/>
      <c r="D16" s="8"/>
      <c r="E16" s="8"/>
      <c r="F16" s="8"/>
      <c r="G16" s="8"/>
      <c r="H16" s="8"/>
    </row>
    <row r="17" spans="1:8" x14ac:dyDescent="0.3">
      <c r="A17" s="8"/>
      <c r="B17" s="8"/>
      <c r="C17" s="8"/>
      <c r="D17" s="8"/>
      <c r="E17" s="8"/>
      <c r="F17" s="8"/>
      <c r="G17" s="8"/>
      <c r="H17" s="8"/>
    </row>
    <row r="18" spans="1:8" x14ac:dyDescent="0.3">
      <c r="A18" s="8"/>
      <c r="B18" s="8"/>
      <c r="C18" s="8"/>
      <c r="D18" s="8"/>
      <c r="E18" s="8"/>
      <c r="F18" s="8"/>
      <c r="G18" s="8"/>
      <c r="H18" s="8"/>
    </row>
  </sheetData>
  <mergeCells count="2">
    <mergeCell ref="B2:B3"/>
    <mergeCell ref="A2:A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C837-FFA3-4CC5-91BA-742EC1E0A6A5}">
  <dimension ref="A3:C20"/>
  <sheetViews>
    <sheetView tabSelected="1" workbookViewId="0">
      <selection activeCell="H19" sqref="H19"/>
    </sheetView>
  </sheetViews>
  <sheetFormatPr defaultRowHeight="14.2" x14ac:dyDescent="0.3"/>
  <sheetData>
    <row r="3" spans="1:3" x14ac:dyDescent="0.3">
      <c r="A3" s="160"/>
      <c r="B3" s="161"/>
      <c r="C3" s="162"/>
    </row>
    <row r="4" spans="1:3" x14ac:dyDescent="0.3">
      <c r="A4" s="163"/>
      <c r="B4" s="164"/>
      <c r="C4" s="165"/>
    </row>
    <row r="5" spans="1:3" x14ac:dyDescent="0.3">
      <c r="A5" s="163"/>
      <c r="B5" s="164"/>
      <c r="C5" s="165"/>
    </row>
    <row r="6" spans="1:3" x14ac:dyDescent="0.3">
      <c r="A6" s="163"/>
      <c r="B6" s="164"/>
      <c r="C6" s="165"/>
    </row>
    <row r="7" spans="1:3" x14ac:dyDescent="0.3">
      <c r="A7" s="163"/>
      <c r="B7" s="164"/>
      <c r="C7" s="165"/>
    </row>
    <row r="8" spans="1:3" x14ac:dyDescent="0.3">
      <c r="A8" s="163"/>
      <c r="B8" s="164"/>
      <c r="C8" s="165"/>
    </row>
    <row r="9" spans="1:3" x14ac:dyDescent="0.3">
      <c r="A9" s="163"/>
      <c r="B9" s="164"/>
      <c r="C9" s="165"/>
    </row>
    <row r="10" spans="1:3" x14ac:dyDescent="0.3">
      <c r="A10" s="163"/>
      <c r="B10" s="164"/>
      <c r="C10" s="165"/>
    </row>
    <row r="11" spans="1:3" x14ac:dyDescent="0.3">
      <c r="A11" s="163"/>
      <c r="B11" s="164"/>
      <c r="C11" s="165"/>
    </row>
    <row r="12" spans="1:3" x14ac:dyDescent="0.3">
      <c r="A12" s="163"/>
      <c r="B12" s="164"/>
      <c r="C12" s="165"/>
    </row>
    <row r="13" spans="1:3" x14ac:dyDescent="0.3">
      <c r="A13" s="163"/>
      <c r="B13" s="164"/>
      <c r="C13" s="165"/>
    </row>
    <row r="14" spans="1:3" x14ac:dyDescent="0.3">
      <c r="A14" s="163"/>
      <c r="B14" s="164"/>
      <c r="C14" s="165"/>
    </row>
    <row r="15" spans="1:3" x14ac:dyDescent="0.3">
      <c r="A15" s="163"/>
      <c r="B15" s="164"/>
      <c r="C15" s="165"/>
    </row>
    <row r="16" spans="1:3" x14ac:dyDescent="0.3">
      <c r="A16" s="163"/>
      <c r="B16" s="164"/>
      <c r="C16" s="165"/>
    </row>
    <row r="17" spans="1:3" x14ac:dyDescent="0.3">
      <c r="A17" s="163"/>
      <c r="B17" s="164"/>
      <c r="C17" s="165"/>
    </row>
    <row r="18" spans="1:3" x14ac:dyDescent="0.3">
      <c r="A18" s="163"/>
      <c r="B18" s="164"/>
      <c r="C18" s="165"/>
    </row>
    <row r="19" spans="1:3" x14ac:dyDescent="0.3">
      <c r="A19" s="163"/>
      <c r="B19" s="164"/>
      <c r="C19" s="165"/>
    </row>
    <row r="20" spans="1:3" x14ac:dyDescent="0.3">
      <c r="A20" s="166"/>
      <c r="B20" s="167"/>
      <c r="C20" s="168"/>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EB84B-9FEF-414F-B0CB-4780FDAA4516}">
  <dimension ref="A1:Z50"/>
  <sheetViews>
    <sheetView zoomScale="101" workbookViewId="0">
      <selection activeCell="F26" sqref="F26"/>
    </sheetView>
  </sheetViews>
  <sheetFormatPr defaultRowHeight="14.2" x14ac:dyDescent="0.3"/>
  <cols>
    <col min="1" max="1" width="4" customWidth="1"/>
    <col min="26" max="26" width="4.19921875" customWidth="1"/>
  </cols>
  <sheetData>
    <row r="1" spans="1:26" x14ac:dyDescent="0.3">
      <c r="A1" s="159"/>
      <c r="B1" s="159"/>
      <c r="C1" s="159"/>
      <c r="D1" s="159"/>
      <c r="E1" s="159"/>
      <c r="F1" s="159"/>
      <c r="G1" s="159"/>
      <c r="H1" s="159"/>
      <c r="I1" s="159"/>
      <c r="J1" s="159"/>
      <c r="K1" s="159"/>
      <c r="L1" s="159"/>
      <c r="M1" s="159"/>
      <c r="N1" s="159"/>
      <c r="O1" s="159"/>
      <c r="P1" s="159"/>
      <c r="Q1" s="159"/>
      <c r="R1" s="159"/>
      <c r="S1" s="159"/>
      <c r="T1" s="159"/>
      <c r="U1" s="159"/>
      <c r="V1" s="159"/>
      <c r="W1" s="159"/>
      <c r="X1" s="159"/>
      <c r="Y1" s="159"/>
      <c r="Z1" s="159" t="s">
        <v>2713</v>
      </c>
    </row>
    <row r="2" spans="1:26" x14ac:dyDescent="0.3">
      <c r="A2" s="159"/>
      <c r="B2" s="159"/>
      <c r="C2" s="159"/>
      <c r="D2" s="159"/>
      <c r="E2" s="159"/>
      <c r="F2" s="159"/>
      <c r="G2" s="159"/>
      <c r="H2" s="159"/>
      <c r="I2" s="159"/>
      <c r="J2" s="159"/>
      <c r="K2" s="159"/>
      <c r="L2" s="159"/>
      <c r="M2" s="159"/>
      <c r="N2" s="159"/>
      <c r="O2" s="159"/>
      <c r="P2" s="159"/>
      <c r="Q2" s="159"/>
      <c r="R2" s="159"/>
      <c r="S2" s="159"/>
      <c r="T2" s="159"/>
      <c r="U2" s="159"/>
      <c r="V2" s="159"/>
      <c r="W2" s="159"/>
      <c r="X2" s="159"/>
      <c r="Y2" s="159"/>
      <c r="Z2" s="159"/>
    </row>
    <row r="3" spans="1:26" x14ac:dyDescent="0.3">
      <c r="A3" s="159"/>
      <c r="B3" s="159"/>
      <c r="C3" s="159"/>
      <c r="D3" s="159"/>
      <c r="E3" s="159"/>
      <c r="F3" s="159"/>
      <c r="G3" s="159"/>
      <c r="H3" s="159"/>
      <c r="I3" s="159"/>
      <c r="J3" s="159"/>
      <c r="K3" s="159"/>
      <c r="L3" s="159"/>
      <c r="M3" s="159"/>
      <c r="N3" s="159"/>
      <c r="O3" s="159"/>
      <c r="P3" s="159"/>
      <c r="Q3" s="159"/>
      <c r="R3" s="159"/>
      <c r="S3" s="159"/>
      <c r="T3" s="159"/>
      <c r="U3" s="159"/>
      <c r="V3" s="159"/>
      <c r="W3" s="159"/>
      <c r="X3" s="159"/>
      <c r="Y3" s="159"/>
      <c r="Z3" s="159"/>
    </row>
    <row r="4" spans="1:26" x14ac:dyDescent="0.3">
      <c r="A4" s="159"/>
      <c r="B4" s="159"/>
      <c r="C4" s="159"/>
      <c r="D4" s="159"/>
      <c r="E4" s="159"/>
      <c r="F4" s="159"/>
      <c r="G4" s="159"/>
      <c r="H4" s="159"/>
      <c r="I4" s="159"/>
      <c r="J4" s="159"/>
      <c r="K4" s="159"/>
      <c r="L4" s="159"/>
      <c r="M4" s="159"/>
      <c r="N4" s="159"/>
      <c r="O4" s="159"/>
      <c r="P4" s="159"/>
      <c r="Q4" s="159"/>
      <c r="R4" s="159"/>
      <c r="S4" s="159"/>
      <c r="T4" s="159"/>
      <c r="U4" s="159"/>
      <c r="V4" s="159"/>
      <c r="W4" s="159"/>
      <c r="X4" s="159"/>
      <c r="Y4" s="159"/>
      <c r="Z4" s="159"/>
    </row>
    <row r="5" spans="1:26" x14ac:dyDescent="0.3">
      <c r="A5" s="159"/>
      <c r="B5" s="159"/>
      <c r="C5" s="159"/>
      <c r="D5" s="159"/>
      <c r="E5" s="159"/>
      <c r="F5" s="159"/>
      <c r="G5" s="159"/>
      <c r="H5" s="159"/>
      <c r="I5" s="159"/>
      <c r="J5" s="159"/>
      <c r="K5" s="159"/>
      <c r="L5" s="159"/>
      <c r="M5" s="159"/>
      <c r="N5" s="159"/>
      <c r="O5" s="159"/>
      <c r="P5" s="159"/>
      <c r="Q5" s="159"/>
      <c r="R5" s="159"/>
      <c r="S5" s="159"/>
      <c r="T5" s="159"/>
      <c r="U5" s="159"/>
      <c r="V5" s="159"/>
      <c r="W5" s="159"/>
      <c r="X5" s="159"/>
      <c r="Y5" s="159"/>
      <c r="Z5" s="159"/>
    </row>
    <row r="6" spans="1:26" x14ac:dyDescent="0.3">
      <c r="A6" s="159"/>
      <c r="B6" s="169"/>
      <c r="C6" s="159"/>
      <c r="D6" s="159"/>
      <c r="E6" s="159"/>
      <c r="F6" s="159"/>
      <c r="G6" s="159"/>
      <c r="H6" s="159"/>
      <c r="I6" s="159"/>
      <c r="J6" s="159"/>
      <c r="K6" s="159"/>
      <c r="L6" s="159"/>
      <c r="M6" s="159"/>
      <c r="N6" s="159"/>
      <c r="O6" s="159"/>
      <c r="P6" s="159"/>
      <c r="Q6" s="159"/>
      <c r="R6" s="159"/>
      <c r="S6" s="159"/>
      <c r="T6" s="159"/>
      <c r="U6" s="159"/>
      <c r="V6" s="159"/>
      <c r="W6" s="159"/>
      <c r="X6" s="159"/>
      <c r="Y6" s="159"/>
      <c r="Z6" s="159"/>
    </row>
    <row r="7" spans="1:26" x14ac:dyDescent="0.3">
      <c r="A7" s="159"/>
      <c r="B7" s="169"/>
      <c r="C7" s="159"/>
      <c r="D7" s="159"/>
      <c r="E7" s="159"/>
      <c r="F7" s="159"/>
      <c r="G7" s="159"/>
      <c r="H7" s="159"/>
      <c r="I7" s="159"/>
      <c r="J7" s="159"/>
      <c r="K7" s="159"/>
      <c r="L7" s="159"/>
      <c r="M7" s="159"/>
      <c r="N7" s="159"/>
      <c r="O7" s="159"/>
      <c r="P7" s="159"/>
      <c r="Q7" s="159"/>
      <c r="R7" s="159"/>
      <c r="S7" s="159"/>
      <c r="T7" s="159"/>
      <c r="U7" s="159"/>
      <c r="V7" s="159"/>
      <c r="W7" s="159"/>
      <c r="X7" s="159"/>
      <c r="Y7" s="159"/>
      <c r="Z7" s="159"/>
    </row>
    <row r="8" spans="1:26" x14ac:dyDescent="0.3">
      <c r="A8" s="159"/>
      <c r="B8" s="169"/>
      <c r="C8" s="159"/>
      <c r="D8" s="159"/>
      <c r="E8" s="159"/>
      <c r="F8" s="159"/>
      <c r="G8" s="159"/>
      <c r="H8" s="159"/>
      <c r="I8" s="159"/>
      <c r="J8" s="159"/>
      <c r="K8" s="159"/>
      <c r="L8" s="159"/>
      <c r="M8" s="159"/>
      <c r="N8" s="159"/>
      <c r="O8" s="159"/>
      <c r="P8" s="159"/>
      <c r="Q8" s="159"/>
      <c r="R8" s="159"/>
      <c r="S8" s="159"/>
      <c r="T8" s="159"/>
      <c r="U8" s="159"/>
      <c r="V8" s="159"/>
      <c r="W8" s="159"/>
      <c r="X8" s="159"/>
      <c r="Y8" s="159"/>
      <c r="Z8" s="159"/>
    </row>
    <row r="9" spans="1:26" x14ac:dyDescent="0.3">
      <c r="A9" s="159"/>
      <c r="B9" s="159"/>
      <c r="C9" s="159"/>
      <c r="D9" s="159"/>
      <c r="E9" s="159"/>
      <c r="F9" s="159"/>
      <c r="G9" s="159"/>
      <c r="H9" s="159"/>
      <c r="I9" s="159"/>
      <c r="J9" s="159"/>
      <c r="K9" s="159"/>
      <c r="L9" s="159"/>
      <c r="M9" s="159"/>
      <c r="N9" s="159"/>
      <c r="O9" s="159"/>
      <c r="P9" s="159"/>
      <c r="Q9" s="159"/>
      <c r="R9" s="159"/>
      <c r="S9" s="159"/>
      <c r="T9" s="159"/>
      <c r="U9" s="159"/>
      <c r="V9" s="159"/>
      <c r="W9" s="159"/>
      <c r="X9" s="159"/>
      <c r="Y9" s="159"/>
      <c r="Z9" s="159"/>
    </row>
    <row r="10" spans="1:26" x14ac:dyDescent="0.3">
      <c r="A10" s="159"/>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row>
    <row r="11" spans="1:26" x14ac:dyDescent="0.3">
      <c r="A11" s="159"/>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row>
    <row r="12" spans="1:26" x14ac:dyDescent="0.3">
      <c r="A12" s="159"/>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row>
    <row r="13" spans="1:26" x14ac:dyDescent="0.3">
      <c r="A13" s="159"/>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row>
    <row r="14" spans="1:26" x14ac:dyDescent="0.3">
      <c r="A14" s="159"/>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row>
    <row r="15" spans="1:26" x14ac:dyDescent="0.3">
      <c r="A15" s="159"/>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row>
    <row r="16" spans="1:26" x14ac:dyDescent="0.3">
      <c r="A16" s="159"/>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row>
    <row r="17" spans="1:26" x14ac:dyDescent="0.3">
      <c r="A17" s="159"/>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row>
    <row r="18" spans="1:26" x14ac:dyDescent="0.3">
      <c r="A18" s="159"/>
      <c r="B18" s="159"/>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row>
    <row r="19" spans="1:26" x14ac:dyDescent="0.3">
      <c r="A19" s="159"/>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row>
    <row r="20" spans="1:26" x14ac:dyDescent="0.3">
      <c r="A20" s="159"/>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row>
    <row r="21" spans="1:26" x14ac:dyDescent="0.3">
      <c r="A21" s="159"/>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row>
    <row r="22" spans="1:26" x14ac:dyDescent="0.3">
      <c r="A22" s="159"/>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row>
    <row r="23" spans="1:26" x14ac:dyDescent="0.3">
      <c r="A23" s="159"/>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row>
    <row r="24" spans="1:26" x14ac:dyDescent="0.3">
      <c r="A24" s="159"/>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c r="Z24" s="159"/>
    </row>
    <row r="25" spans="1:26" x14ac:dyDescent="0.3">
      <c r="A25" s="159"/>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c r="Z25" s="159"/>
    </row>
    <row r="26" spans="1:26" x14ac:dyDescent="0.3">
      <c r="A26" s="159"/>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c r="Z26" s="159"/>
    </row>
    <row r="27" spans="1:26" x14ac:dyDescent="0.3">
      <c r="A27" s="159"/>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c r="Z27" s="159"/>
    </row>
    <row r="28" spans="1:26" x14ac:dyDescent="0.3">
      <c r="A28" s="159"/>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row>
    <row r="29" spans="1:26" x14ac:dyDescent="0.3">
      <c r="A29" s="159"/>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row>
    <row r="30" spans="1:26" x14ac:dyDescent="0.3">
      <c r="A30" s="159"/>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row>
    <row r="31" spans="1:26" x14ac:dyDescent="0.3">
      <c r="A31" s="159"/>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row>
    <row r="32" spans="1:26" x14ac:dyDescent="0.3">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row>
    <row r="33" spans="1:26" x14ac:dyDescent="0.3">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row>
    <row r="34" spans="1:26" x14ac:dyDescent="0.3">
      <c r="A34" s="159"/>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row>
    <row r="35" spans="1:26" x14ac:dyDescent="0.3">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row>
    <row r="36" spans="1:26" x14ac:dyDescent="0.3">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row>
    <row r="37" spans="1:26" x14ac:dyDescent="0.3">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row>
    <row r="38" spans="1:26" x14ac:dyDescent="0.3">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row>
    <row r="39" spans="1:26" x14ac:dyDescent="0.3">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row>
    <row r="40" spans="1:26" x14ac:dyDescent="0.3">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row>
    <row r="41" spans="1:26" x14ac:dyDescent="0.3">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row>
    <row r="42" spans="1:26" x14ac:dyDescent="0.3">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c r="Z42" s="159"/>
    </row>
    <row r="43" spans="1:26" x14ac:dyDescent="0.3">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row>
    <row r="44" spans="1:26" x14ac:dyDescent="0.3">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row>
    <row r="45" spans="1:26" x14ac:dyDescent="0.3">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row>
    <row r="46" spans="1:26" x14ac:dyDescent="0.3">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159"/>
    </row>
    <row r="47" spans="1:26" x14ac:dyDescent="0.3">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row>
    <row r="48" spans="1:26" x14ac:dyDescent="0.3">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row>
    <row r="49" spans="1:26" x14ac:dyDescent="0.3">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row>
    <row r="50" spans="1:26" x14ac:dyDescent="0.3">
      <c r="A50" s="159" t="s">
        <v>2713</v>
      </c>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F327-7C85-4E66-AD1E-D30F6932DA43}">
  <dimension ref="A1"/>
  <sheetViews>
    <sheetView workbookViewId="0"/>
  </sheetViews>
  <sheetFormatPr defaultRowHeight="14.2" x14ac:dyDescent="0.3"/>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FB9CD-657F-46DD-9F51-3D2E6E950D8F}">
  <dimension ref="B6:B8"/>
  <sheetViews>
    <sheetView workbookViewId="0">
      <selection activeCell="L18" sqref="L18"/>
    </sheetView>
  </sheetViews>
  <sheetFormatPr defaultRowHeight="14.2" x14ac:dyDescent="0.3"/>
  <sheetData>
    <row r="6" spans="2:2" x14ac:dyDescent="0.3">
      <c r="B6" s="169"/>
    </row>
    <row r="7" spans="2:2" x14ac:dyDescent="0.3">
      <c r="B7" s="169"/>
    </row>
    <row r="8" spans="2:2" x14ac:dyDescent="0.3">
      <c r="B8" s="16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3D352-AED4-4DF2-82F1-79716D2186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Sample Data</vt:lpstr>
      <vt:lpstr>View and Worksheet UI</vt:lpstr>
      <vt:lpstr>Shortcuts Hot Keys</vt:lpstr>
      <vt:lpstr>Font</vt:lpstr>
      <vt:lpstr>Sort &amp; Filter</vt:lpstr>
      <vt:lpstr>UNIQUE_COUNT_#_TEXTJOIN</vt:lpstr>
      <vt:lpstr>Aggregate Functions</vt:lpstr>
      <vt:lpstr>Calculations</vt:lpstr>
      <vt:lpstr>Xl to Power Query</vt:lpstr>
      <vt:lpstr>Table_Lookup</vt:lpstr>
      <vt:lpstr>Emp_result</vt:lpstr>
      <vt:lpstr>VLOOKUP_INDEX</vt:lpstr>
      <vt:lpstr>XLOOKUP</vt:lpstr>
      <vt:lpstr>Excel to Power Query</vt:lpstr>
      <vt:lpstr>Weblink to Power Query</vt:lpstr>
      <vt:lpstr>Table_PIVOT</vt:lpstr>
      <vt:lpstr>PIVOT_CALL_REPORT</vt:lpstr>
      <vt:lpstr>PIVOT_FILTER</vt:lpstr>
      <vt:lpstr>PIVOT_GROUPING</vt:lpstr>
      <vt:lpstr>DATE_PIVOT</vt:lpstr>
      <vt:lpstr>DURATION_RATING_PIVOT</vt:lpstr>
      <vt:lpstr>Call_Data_Table_Sheet</vt:lpstr>
      <vt:lpstr>Icons_Assests_Notes</vt:lpstr>
      <vt:lpstr>Call_Pivot_Calculations</vt:lpstr>
      <vt:lpstr>Call_Center_1</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Ananda Ranganathan Harikrishnan</dc:creator>
  <cp:lastModifiedBy>Ananda Ranganathan Harikrishnan</cp:lastModifiedBy>
  <dcterms:created xsi:type="dcterms:W3CDTF">2025-06-10T03:30:10Z</dcterms:created>
  <dcterms:modified xsi:type="dcterms:W3CDTF">2025-10-06T19:47:31Z</dcterms:modified>
</cp:coreProperties>
</file>