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02"/>
  <workbookPr defaultThemeVersion="166925"/>
  <mc:AlternateContent xmlns:mc="http://schemas.openxmlformats.org/markup-compatibility/2006">
    <mc:Choice Requires="x15">
      <x15ac:absPath xmlns:x15ac="http://schemas.microsoft.com/office/spreadsheetml/2010/11/ac" url="C:\Users\I753478\Desktop\University\Operations - Dr. Peter Wolf\"/>
    </mc:Choice>
  </mc:AlternateContent>
  <xr:revisionPtr revIDLastSave="17" documentId="13_ncr:1_{DE70FFC3-6E29-4713-9D24-CC1442A1870D}" xr6:coauthVersionLast="47" xr6:coauthVersionMax="47" xr10:uidLastSave="{2FA13810-54B2-480F-AAD1-99D28AAF9DA4}"/>
  <bookViews>
    <workbookView xWindow="-108" yWindow="-108" windowWidth="23256" windowHeight="13896" firstSheet="1" xr2:uid="{E1761FDC-5060-4523-AFB5-ED7D16E9AEB7}"/>
  </bookViews>
  <sheets>
    <sheet name="Calculation" sheetId="1" r:id="rId1"/>
    <sheet name="Forecasting" sheetId="6" r:id="rId2"/>
    <sheet name="Estimates" sheetId="2" r:id="rId3"/>
    <sheet name="Material" sheetId="3" r:id="rId4"/>
    <sheet name="What can we power annually" sheetId="4"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0" i="6" l="1"/>
  <c r="N13" i="6"/>
  <c r="O13" i="6" s="1"/>
  <c r="P13" i="6" s="1"/>
  <c r="Q13" i="6" s="1"/>
  <c r="R13" i="6" s="1"/>
  <c r="S13" i="6" s="1"/>
  <c r="S5" i="6"/>
  <c r="S10" i="6"/>
  <c r="R4" i="6"/>
  <c r="S4" i="6" s="1"/>
  <c r="AL4" i="6"/>
  <c r="AN4" i="6" s="1"/>
  <c r="R10" i="6"/>
  <c r="Q5" i="6"/>
  <c r="Q4" i="6"/>
  <c r="N5" i="6"/>
  <c r="M3" i="6"/>
  <c r="AH5" i="6"/>
  <c r="AH4" i="6"/>
  <c r="AG5" i="6"/>
  <c r="AG4" i="6"/>
  <c r="N4" i="6"/>
  <c r="M5" i="6"/>
  <c r="M10" i="6"/>
  <c r="Q10" i="6"/>
  <c r="P10" i="6"/>
  <c r="O10" i="6"/>
  <c r="N10" i="6"/>
  <c r="M15" i="6"/>
  <c r="L15" i="6"/>
  <c r="L10" i="6"/>
  <c r="M4" i="6"/>
  <c r="L6" i="6"/>
  <c r="J15" i="1"/>
  <c r="J18" i="1" s="1"/>
  <c r="I15" i="1"/>
  <c r="I18" i="1" s="1"/>
  <c r="H15" i="1"/>
  <c r="H18" i="1" s="1"/>
  <c r="D15" i="1"/>
  <c r="C15" i="1"/>
  <c r="B15" i="1"/>
  <c r="E14" i="1"/>
  <c r="E16" i="1" s="1"/>
  <c r="D13" i="1"/>
  <c r="D14" i="1" s="1"/>
  <c r="C13" i="1"/>
  <c r="C14" i="1" s="1"/>
  <c r="B13" i="1"/>
  <c r="B14" i="1" s="1"/>
  <c r="J8" i="1"/>
  <c r="J9" i="1" s="1"/>
  <c r="I8" i="1"/>
  <c r="I9" i="1" s="1"/>
  <c r="I10" i="1" s="1"/>
  <c r="I11" i="1" s="1"/>
  <c r="I17" i="1" s="1"/>
  <c r="H8" i="1"/>
  <c r="H9" i="1" s="1"/>
  <c r="E4" i="1"/>
  <c r="E6" i="1" s="1"/>
  <c r="D2" i="1"/>
  <c r="E7" i="1" s="1"/>
  <c r="C2" i="1"/>
  <c r="C5" i="1" s="1"/>
  <c r="B2" i="1"/>
  <c r="B5" i="1" s="1"/>
  <c r="C20" i="6" l="1"/>
  <c r="N3" i="6"/>
  <c r="O3" i="6" s="1"/>
  <c r="P3" i="6" s="1"/>
  <c r="Q3" i="6" s="1"/>
  <c r="R3" i="6" s="1"/>
  <c r="N15" i="6"/>
  <c r="N16" i="6" s="1"/>
  <c r="R5" i="6"/>
  <c r="M16" i="6"/>
  <c r="P15" i="6"/>
  <c r="P16" i="6" s="1"/>
  <c r="AM4" i="6"/>
  <c r="O15" i="6"/>
  <c r="O16" i="6" s="1"/>
  <c r="L16" i="6"/>
  <c r="L20" i="6" s="1"/>
  <c r="N6" i="6"/>
  <c r="M6" i="6"/>
  <c r="D5" i="1"/>
  <c r="D16" i="1"/>
  <c r="C16" i="1"/>
  <c r="C17" i="1" s="1"/>
  <c r="C18" i="1" s="1"/>
  <c r="B4" i="1"/>
  <c r="B6" i="1" s="1"/>
  <c r="B8" i="1" s="1"/>
  <c r="B9" i="1" s="1"/>
  <c r="B16" i="1"/>
  <c r="B17" i="1" s="1"/>
  <c r="E17" i="1" s="1"/>
  <c r="E18" i="1" s="1"/>
  <c r="I20" i="1"/>
  <c r="I19" i="1"/>
  <c r="J10" i="1"/>
  <c r="J11" i="1" s="1"/>
  <c r="J17" i="1" s="1"/>
  <c r="D17" i="1"/>
  <c r="D18" i="1" s="1"/>
  <c r="H10" i="1"/>
  <c r="H11" i="1" s="1"/>
  <c r="H17" i="1" s="1"/>
  <c r="C4" i="1"/>
  <c r="C6" i="1" s="1"/>
  <c r="D4" i="1"/>
  <c r="D20" i="6" l="1"/>
  <c r="S3" i="6"/>
  <c r="M20" i="6"/>
  <c r="O6" i="6"/>
  <c r="O20" i="6" s="1"/>
  <c r="Q15" i="6"/>
  <c r="Q16" i="6" s="1"/>
  <c r="N20" i="6"/>
  <c r="I21" i="1"/>
  <c r="D6" i="1"/>
  <c r="D8" i="1" s="1"/>
  <c r="E8" i="1" s="1"/>
  <c r="E9" i="1" s="1"/>
  <c r="H19" i="1"/>
  <c r="H20" i="1"/>
  <c r="J20" i="1"/>
  <c r="J19" i="1"/>
  <c r="C8" i="1"/>
  <c r="C9" i="1"/>
  <c r="B18" i="1"/>
  <c r="E20" i="6" l="1"/>
  <c r="R15" i="6"/>
  <c r="R16" i="6" s="1"/>
  <c r="S15" i="6"/>
  <c r="S16" i="6" s="1"/>
  <c r="H21" i="1"/>
  <c r="J21" i="1"/>
  <c r="D9" i="1"/>
  <c r="F20" i="6" l="1"/>
  <c r="P6" i="6"/>
  <c r="P20" i="6" s="1"/>
  <c r="Q6" i="6"/>
  <c r="Q20" i="6" s="1"/>
  <c r="G20" i="6" l="1"/>
  <c r="R6" i="6"/>
  <c r="R20" i="6" s="1"/>
  <c r="S6" i="6"/>
  <c r="S20" i="6" s="1"/>
  <c r="I20" i="6" l="1"/>
  <c r="H20"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tc={0DFF3C1F-D403-4475-9BF3-4CE875DF4ED0}</author>
  </authors>
  <commentList>
    <comment ref="G9" authorId="0" shapeId="0" xr:uid="{0DFF3C1F-D403-4475-9BF3-4CE875DF4ED0}">
      <text>
        <t>[Threaded comment]
Your version of Excel allows you to read this threaded comment; however, any edits to it will get removed if the file is opened in a newer version of Excel. Learn more: https://go.microsoft.com/fwlink/?linkid=870924
Comment:
    Assuming a 2-way road with two lanes in each direction:
Lane Width: 3.5 meters (a common standard for highways).
Total Width of Road (4 lanes): 3.5 m×4=14 m
Area:
Length of road = 10,000 meters
Width = 14 meters
Area=10,000m×14m=140,000m2
After optimal spacing of panels - 20% of the area will be replaced with kinetic energy panels.
140,000 x 20% = 28,000m2</t>
      </text>
    </comment>
  </commentList>
</comments>
</file>

<file path=xl/sharedStrings.xml><?xml version="1.0" encoding="utf-8"?>
<sst xmlns="http://schemas.openxmlformats.org/spreadsheetml/2006/main" count="251" uniqueCount="210">
  <si>
    <t>High-end</t>
  </si>
  <si>
    <t>Mid-end</t>
  </si>
  <si>
    <t>Low-end</t>
  </si>
  <si>
    <t>%</t>
  </si>
  <si>
    <t>in USD</t>
  </si>
  <si>
    <t>Revenue from installation / 10km</t>
  </si>
  <si>
    <t>Kinetic Energy Conversion Components</t>
  </si>
  <si>
    <t>Direct Costs</t>
  </si>
  <si>
    <t>Piezoelectric Materials</t>
  </si>
  <si>
    <t>Gross Profit / Contribution Margin</t>
  </si>
  <si>
    <t>Electromagnetic Induction Systems</t>
  </si>
  <si>
    <t>Administrative Costs (20%)</t>
  </si>
  <si>
    <t>Road Surface Material</t>
  </si>
  <si>
    <t>EBIT</t>
  </si>
  <si>
    <t>- Asphalt</t>
  </si>
  <si>
    <t>Interests</t>
  </si>
  <si>
    <t>- Concrete</t>
  </si>
  <si>
    <t>Taxes (30%)</t>
  </si>
  <si>
    <t>Total Material Cost per sqm.</t>
  </si>
  <si>
    <t>Net profit after taxes</t>
  </si>
  <si>
    <t>Cost per 10km of 2-way road (4-lanes)</t>
  </si>
  <si>
    <t>20% discount for bulk (estimate)</t>
  </si>
  <si>
    <t>Material Cost per 10km</t>
  </si>
  <si>
    <t>Revenue from annual  maintenance contracts / 10km</t>
  </si>
  <si>
    <t>Annual energy storage per 10km in kWh</t>
  </si>
  <si>
    <t>Energy storage costs per kWh</t>
  </si>
  <si>
    <t>Administrative Costs (10%)</t>
  </si>
  <si>
    <t>Annual storage costs</t>
  </si>
  <si>
    <t>I suggest that we use collaboration strategy with actual power companies for energy storage contractual costs can lower this to an estimate of 30%</t>
  </si>
  <si>
    <t>Material</t>
  </si>
  <si>
    <t>Storage</t>
  </si>
  <si>
    <t>Labor (30% of material)</t>
  </si>
  <si>
    <t>Maintenance (40% of material)</t>
  </si>
  <si>
    <t>Total Cost per 10km</t>
  </si>
  <si>
    <t>USD in Millions</t>
  </si>
  <si>
    <t>Country 1</t>
  </si>
  <si>
    <t>Y0</t>
  </si>
  <si>
    <t>Y1</t>
  </si>
  <si>
    <t>Y2</t>
  </si>
  <si>
    <t>Y3</t>
  </si>
  <si>
    <t>Y4</t>
  </si>
  <si>
    <t>Y5</t>
  </si>
  <si>
    <t>Y6</t>
  </si>
  <si>
    <t>Y7</t>
  </si>
  <si>
    <t>Cash</t>
  </si>
  <si>
    <t>Cash flow would recover once all liabilities during inception has been settled.</t>
  </si>
  <si>
    <t>A/R - Installation</t>
  </si>
  <si>
    <t>The receivable policy would be 30% open balance at year-end.</t>
  </si>
  <si>
    <t>A/R - Maintenance</t>
  </si>
  <si>
    <t>Total Assets</t>
  </si>
  <si>
    <t>Bank Loans</t>
  </si>
  <si>
    <t xml:space="preserve">All liabilities are expected to be settled in 5 years. </t>
  </si>
  <si>
    <t>Government Financing</t>
  </si>
  <si>
    <t>Total Liabilities</t>
  </si>
  <si>
    <t>Paid-in Capital</t>
  </si>
  <si>
    <t>Retained Earnings</t>
  </si>
  <si>
    <t>Dividends</t>
  </si>
  <si>
    <t>Total Equity</t>
  </si>
  <si>
    <t>Total Liabilities &amp; Equity</t>
  </si>
  <si>
    <t>Target total installation (in km)</t>
  </si>
  <si>
    <t>Control Formula</t>
  </si>
  <si>
    <t xml:space="preserve"> </t>
  </si>
  <si>
    <t>Component</t>
  </si>
  <si>
    <t>Description</t>
  </si>
  <si>
    <t>Cost Estimate per sqm.</t>
  </si>
  <si>
    <t>Operating Costs (Annual)</t>
  </si>
  <si>
    <r>
      <t xml:space="preserve">- </t>
    </r>
    <r>
      <rPr>
        <b/>
        <sz val="11"/>
        <color theme="1"/>
        <rFont val="Calibri"/>
        <family val="2"/>
        <scheme val="minor"/>
      </rPr>
      <t>Piezoelectric Materials</t>
    </r>
  </si>
  <si>
    <t>Piezoelectric materials like PZT or quartz</t>
  </si>
  <si>
    <t>30 - 300</t>
  </si>
  <si>
    <t>Low maintenance, $100 – $300</t>
  </si>
  <si>
    <r>
      <t xml:space="preserve">- </t>
    </r>
    <r>
      <rPr>
        <b/>
        <sz val="11"/>
        <color theme="1"/>
        <rFont val="Calibri"/>
        <family val="2"/>
        <scheme val="minor"/>
      </rPr>
      <t>Electromagnetic Induction Systems</t>
    </r>
  </si>
  <si>
    <t>Electromagnetic coils for energy conversion</t>
  </si>
  <si>
    <t>$1,500 – $2,500</t>
  </si>
  <si>
    <t>Moderate, $200 – $400</t>
  </si>
  <si>
    <r>
      <t xml:space="preserve">- </t>
    </r>
    <r>
      <rPr>
        <b/>
        <sz val="11"/>
        <color theme="1"/>
        <rFont val="Calibri"/>
        <family val="2"/>
        <scheme val="minor"/>
      </rPr>
      <t>Asphalt</t>
    </r>
  </si>
  <si>
    <t>Common road material, compatible with panels</t>
  </si>
  <si>
    <t>$30 – $40 (per square meter)</t>
  </si>
  <si>
    <t>Standard maintenance</t>
  </si>
  <si>
    <r>
      <t xml:space="preserve">- </t>
    </r>
    <r>
      <rPr>
        <b/>
        <sz val="11"/>
        <color theme="1"/>
        <rFont val="Calibri"/>
        <family val="2"/>
        <scheme val="minor"/>
      </rPr>
      <t>Concrete</t>
    </r>
  </si>
  <si>
    <t>High-strength concrete, more durable</t>
  </si>
  <si>
    <t>$50 – $100 (per square meter)</t>
  </si>
  <si>
    <t>Energy Storage/Transmission</t>
  </si>
  <si>
    <r>
      <t xml:space="preserve">- </t>
    </r>
    <r>
      <rPr>
        <b/>
        <sz val="11"/>
        <color theme="1"/>
        <rFont val="Calibri"/>
        <family val="2"/>
        <scheme val="minor"/>
      </rPr>
      <t>Energy Storage (Lithium-ion batteries)</t>
    </r>
  </si>
  <si>
    <t>Energy storage for captured electricity</t>
  </si>
  <si>
    <t>$200 – $500 (per kWh)</t>
  </si>
  <si>
    <t>Battery replacement over time</t>
  </si>
  <si>
    <r>
      <t xml:space="preserve">- </t>
    </r>
    <r>
      <rPr>
        <b/>
        <sz val="11"/>
        <color theme="1"/>
        <rFont val="Calibri"/>
        <family val="2"/>
        <scheme val="minor"/>
      </rPr>
      <t>Inverters and Power Converters</t>
    </r>
  </si>
  <si>
    <t>For converting and conditioning electricity</t>
  </si>
  <si>
    <t>$100 – $300</t>
  </si>
  <si>
    <t>Regular monitoring, $50 – $100</t>
  </si>
  <si>
    <t>Supportive Infrastructure</t>
  </si>
  <si>
    <r>
      <t xml:space="preserve">- </t>
    </r>
    <r>
      <rPr>
        <b/>
        <sz val="11"/>
        <color theme="1"/>
        <rFont val="Calibri"/>
        <family val="2"/>
        <scheme val="minor"/>
      </rPr>
      <t>Cabling and Connectors</t>
    </r>
  </si>
  <si>
    <t>Electrical cabling for energy transmission</t>
  </si>
  <si>
    <t>$50 – $150</t>
  </si>
  <si>
    <t>Low maintenance, $50 – $100</t>
  </si>
  <si>
    <t>Panel Installation</t>
  </si>
  <si>
    <r>
      <t xml:space="preserve">- </t>
    </r>
    <r>
      <rPr>
        <b/>
        <sz val="11"/>
        <color theme="1"/>
        <rFont val="Calibri"/>
        <family val="2"/>
        <scheme val="minor"/>
      </rPr>
      <t>Installation Labor &amp; Equipment</t>
    </r>
  </si>
  <si>
    <t>Labor, equipment, and road modification costs</t>
  </si>
  <si>
    <t>$200 – $1,000</t>
  </si>
  <si>
    <t>Regular upkeep, $100 – $200</t>
  </si>
  <si>
    <t>R&amp;D and Prototyping</t>
  </si>
  <si>
    <t>Research and development for panel technology</t>
  </si>
  <si>
    <t>$2,000 – $5,000</t>
  </si>
  <si>
    <t>N/A</t>
  </si>
  <si>
    <t>Grid Integration</t>
  </si>
  <si>
    <t>Connecting the generated energy to the local grid</t>
  </si>
  <si>
    <t>$50 – $100</t>
  </si>
  <si>
    <t>Regular grid monitoring</t>
  </si>
  <si>
    <t>Miscellaneous Costs</t>
  </si>
  <si>
    <r>
      <t xml:space="preserve">- </t>
    </r>
    <r>
      <rPr>
        <b/>
        <sz val="11"/>
        <color theme="1"/>
        <rFont val="Calibri"/>
        <family val="2"/>
        <scheme val="minor"/>
      </rPr>
      <t>Maintenance (annual)</t>
    </r>
  </si>
  <si>
    <t>General upkeep of installed panels</t>
  </si>
  <si>
    <t>$50,000 – $100,000 per km</t>
  </si>
  <si>
    <r>
      <t xml:space="preserve">- </t>
    </r>
    <r>
      <rPr>
        <b/>
        <sz val="11"/>
        <color theme="1"/>
        <rFont val="Calibri"/>
        <family val="2"/>
        <scheme val="minor"/>
      </rPr>
      <t>Regulatory Compliance</t>
    </r>
  </si>
  <si>
    <t>Testing, safety certifications</t>
  </si>
  <si>
    <t>$5,000 – $10,000 (initial setup)</t>
  </si>
  <si>
    <t>Re-evaluation as needed</t>
  </si>
  <si>
    <t>Assumptions:</t>
  </si>
  <si>
    <t>Piezoelectric materials</t>
  </si>
  <si>
    <r>
      <t>1. Kinetic Energy Harvesting Technology</t>
    </r>
    <r>
      <rPr>
        <sz val="11"/>
        <color theme="1"/>
        <rFont val="Calibri"/>
        <family val="2"/>
        <scheme val="minor"/>
      </rPr>
      <t>:</t>
    </r>
  </si>
  <si>
    <t>“current price piezoelectric material per piece or per square meter”</t>
  </si>
  <si>
    <t>bing.com</t>
  </si>
  <si>
    <t>This refers to devices that convert the kinetic energy from the movement of vehicles into electrical energy. Examples include piezoelectric devices or electromagnetic systems installed under the road surface.</t>
  </si>
  <si>
    <t>americanpiezo — Piezoelectric Ceramics Prices | Piezo Prices</t>
  </si>
  <si>
    <t>americanpiezo.com</t>
  </si>
  <si>
    <r>
      <t>2. Energy Harvesting Efficiency</t>
    </r>
    <r>
      <rPr>
        <sz val="11"/>
        <color theme="1"/>
        <rFont val="Calibri"/>
        <family val="2"/>
        <scheme val="minor"/>
      </rPr>
      <t>:</t>
    </r>
  </si>
  <si>
    <t>americanpiezo — Piezo Products &amp; Materials | APC International</t>
  </si>
  <si>
    <r>
      <t xml:space="preserve">These systems typically capture a small percentage of the kinetic energy from passing vehicles. Current piezoelectric systems and similar technologies can generally convert between </t>
    </r>
    <r>
      <rPr>
        <b/>
        <sz val="11"/>
        <color theme="1"/>
        <rFont val="Calibri"/>
        <family val="2"/>
        <scheme val="minor"/>
      </rPr>
      <t>5% and 15%</t>
    </r>
    <r>
      <rPr>
        <sz val="11"/>
        <color theme="1"/>
        <rFont val="Calibri"/>
        <family val="2"/>
        <scheme val="minor"/>
      </rPr>
      <t xml:space="preserve"> of the kinetic energy from vehicles into usable electrical energy.</t>
    </r>
  </si>
  <si>
    <t>Piezo Hannas — piezoelectric materials cost news - Piezo Hannas</t>
  </si>
  <si>
    <r>
      <t>3. Average Vehicle Weight and Speed</t>
    </r>
    <r>
      <rPr>
        <sz val="11"/>
        <color theme="1"/>
        <rFont val="Calibri"/>
        <family val="2"/>
        <scheme val="minor"/>
      </rPr>
      <t>:</t>
    </r>
  </si>
  <si>
    <t>piezohannas.com</t>
  </si>
  <si>
    <t>Piezoelectric materials, like lead zirconate titanate (PZT), are often priced based on their form, application, and volume of purchase. The cost per square meter can vary widely depending on material type and manufacturer. For road applications, the cost of PZT elements typically ranges from $30 to $300 per square meter. A large project covering 140,000 square meters (a 10-kilometer, two-lane road) could therefore have material costs estimated between $4.2 million and $42 million, based solely on the cost of piezoelectric materials. This price range accounts for low-cost versus high-performance piezoelectric materials and potential bulk discounts often available through suppliers like American Piezo and Piezo Hannas.</t>
  </si>
  <si>
    <r>
      <t>Average vehicle weight</t>
    </r>
    <r>
      <rPr>
        <sz val="11"/>
        <color theme="1"/>
        <rFont val="Calibri"/>
        <family val="2"/>
        <scheme val="minor"/>
      </rPr>
      <t>: 1,500 kg (1.5 tons).</t>
    </r>
  </si>
  <si>
    <r>
      <t>Average speed</t>
    </r>
    <r>
      <rPr>
        <sz val="11"/>
        <color theme="1"/>
        <rFont val="Calibri"/>
        <family val="2"/>
        <scheme val="minor"/>
      </rPr>
      <t>: 60 km/h (16.67 m/s), assuming normal driving conditions.</t>
    </r>
  </si>
  <si>
    <r>
      <t>4. Energy Harvesting System Efficiency</t>
    </r>
    <r>
      <rPr>
        <sz val="11"/>
        <color theme="1"/>
        <rFont val="Calibri"/>
        <family val="2"/>
        <scheme val="minor"/>
      </rPr>
      <t>:</t>
    </r>
  </si>
  <si>
    <r>
      <t xml:space="preserve">We’ll assume a </t>
    </r>
    <r>
      <rPr>
        <b/>
        <sz val="11"/>
        <color theme="1"/>
        <rFont val="Calibri"/>
        <family val="2"/>
        <scheme val="minor"/>
      </rPr>
      <t>5% efficiency</t>
    </r>
    <r>
      <rPr>
        <sz val="11"/>
        <color theme="1"/>
        <rFont val="Calibri"/>
        <family val="2"/>
        <scheme val="minor"/>
      </rPr>
      <t xml:space="preserve"> for energy capture, which is reasonable for current kinetic energy harvesting systems.</t>
    </r>
  </si>
  <si>
    <t>Step 1: Kinetic Energy of a Moving Vehicle</t>
  </si>
  <si>
    <t>The kinetic energy (KE) of a vehicle can be calculated using the formula:</t>
  </si>
  <si>
    <t>KE=12mv2KE = \frac{1}{2} m v^2KE=21​mv2</t>
  </si>
  <si>
    <t>Where:</t>
  </si>
  <si>
    <t>mmm is the mass of the vehicle (1,500 kg),</t>
  </si>
  <si>
    <t>vvv is the speed of the vehicle (16.67 m/s).</t>
  </si>
  <si>
    <t>Plugging in the numbers:</t>
  </si>
  <si>
    <t>KE=12×1500 kg×(16.67 m/s)2KE = \frac{1}{2} \times 1500 \, \text{kg} \times (16.67 \, \text{m/s})^2KE=21​×1500kg×(16.67m/s)2 KE=12×1500×277.89=208,417.5 Joules (J)KE = \frac{1}{2} \times 1500 \times 277.89 = 208,417.5 \, \text{Joules} \, (\text{J})KE=21​×1500×277.89=208,417.5Joules(J)</t>
  </si>
  <si>
    <r>
      <t xml:space="preserve">So, the kinetic energy of one vehicle passing over the road is approximately </t>
    </r>
    <r>
      <rPr>
        <b/>
        <sz val="11"/>
        <color theme="1"/>
        <rFont val="Calibri"/>
        <family val="2"/>
        <scheme val="minor"/>
      </rPr>
      <t>208,418 Joules</t>
    </r>
    <r>
      <rPr>
        <sz val="11"/>
        <color theme="1"/>
        <rFont val="Calibri"/>
        <family val="2"/>
        <scheme val="minor"/>
      </rPr>
      <t>.</t>
    </r>
  </si>
  <si>
    <t>Step 2: Energy Harvested from One Vehicle</t>
  </si>
  <si>
    <r>
      <t xml:space="preserve">Assuming an efficiency of </t>
    </r>
    <r>
      <rPr>
        <b/>
        <sz val="11"/>
        <color theme="1"/>
        <rFont val="Calibri"/>
        <family val="2"/>
        <scheme val="minor"/>
      </rPr>
      <t>5%</t>
    </r>
    <r>
      <rPr>
        <sz val="11"/>
        <color theme="1"/>
        <rFont val="Calibri"/>
        <family val="2"/>
        <scheme val="minor"/>
      </rPr>
      <t xml:space="preserve"> for the energy-harvesting system, the energy harvested from one vehicle would be:</t>
    </r>
  </si>
  <si>
    <t>Energy harvested per vehicle=208,418 J×0.05=10,420.9 J\text{Energy harvested per vehicle} = 208,418 \, \text{J} \times 0.05 = 10,420.9 \, \text{J}Energy harvested per vehicle=208,418J×0.05=10,420.9J</t>
  </si>
  <si>
    <t>To convert Joules to kilowatt-hours (kWh), we use the conversion factor:</t>
  </si>
  <si>
    <t>1 J=2.77778×10−7 kWh1 \, \text{J} = 2.77778 \times 10^{-7} \, \text{kWh}1J=2.77778×10−7kWh</t>
  </si>
  <si>
    <t>So, the energy harvested per vehicle in kWh is:</t>
  </si>
  <si>
    <t>10,420.9 J×2.77778×10−7 kWh/J≈0.00289 kWh10,420.9 \, \text{J} \times 2.77778 \times 10^{-7} \, \text{kWh/J} \approx 0.00289 \, \text{kWh}10,420.9J×2.77778×10−7kWh/J≈0.00289kWh</t>
  </si>
  <si>
    <t>Step 3: Number of Vehicles on the Road</t>
  </si>
  <si>
    <t>Next, we need to estimate how many vehicles pass over the road per day. Assuming:</t>
  </si>
  <si>
    <r>
      <t>Average traffic density</t>
    </r>
    <r>
      <rPr>
        <sz val="11"/>
        <color theme="1"/>
        <rFont val="Calibri"/>
        <family val="2"/>
        <scheme val="minor"/>
      </rPr>
      <t>: 1,000 vehicles per hour per lane,</t>
    </r>
  </si>
  <si>
    <t>For a 4-lane road, the total number of vehicles per hour would be: 1,000 vehicles/hour/lane×4 lanes=4,000 vehicles/hour1,000 \, \text{vehicles/hour/lane} \times 4 \, \text{lanes} = 4,000 \, \text{vehicles/hour}1,000vehicles/hour/lane×4lanes=4,000vehicles/hour</t>
  </si>
  <si>
    <r>
      <t>Vehicles per day</t>
    </r>
    <r>
      <rPr>
        <sz val="11"/>
        <color theme="1"/>
        <rFont val="Calibri"/>
        <family val="2"/>
        <scheme val="minor"/>
      </rPr>
      <t>: Assuming 24 hours of traffic: 4,000 vehicles/hour×24 hours/day=96,000 vehicles/day4,000 \, \text{vehicles/hour} \times 24 \, \text{hours/day} = 96,000 \, \text{vehicles/day}4,000vehicles/hour×24hours/day=96,000vehicles/day</t>
    </r>
  </si>
  <si>
    <t>Step 4: Total Energy Harvested per Day</t>
  </si>
  <si>
    <t>Now, we can calculate the total energy harvested per day:</t>
  </si>
  <si>
    <t>Total energy harvested per day=96,000 vehicles/day×0.00289 kWh/vehicle\text{Total energy harvested per day} = 96,000 \, \text{vehicles/day} \times 0.00289 \, \text{kWh/vehicle}Total energy harvested per day=96,000vehicles/day×0.00289kWh/vehicle Total energy harvested per day=277.44 kWh/day\text{Total energy harvested per day} = 277.44 \, \text{kWh/day}Total energy harvested per day=277.44kWh/day</t>
  </si>
  <si>
    <t>Step 5: Energy Harvested per Year</t>
  </si>
  <si>
    <t>To estimate the total energy harvested per year, we multiply by 365 days:</t>
  </si>
  <si>
    <t>Total energy harvested per year=277.44 kWh/day×365 days/year\text{Total energy harvested per year} = 277.44 \, \text{kWh/day} \times 365 \, \text{days/year}Total energy harvested per year=277.44kWh/day×365days/year Total energy harvested per year≈101,012 kWh/year\text{Total energy harvested per year} \approx 101,012 \, \text{kWh/year}Total energy harvested per year≈101,012kWh/year</t>
  </si>
  <si>
    <t>Final Estimate:</t>
  </si>
  <si>
    <r>
      <t xml:space="preserve">So, for a </t>
    </r>
    <r>
      <rPr>
        <b/>
        <sz val="11"/>
        <color theme="1"/>
        <rFont val="Calibri"/>
        <family val="2"/>
        <scheme val="minor"/>
      </rPr>
      <t>10 km, 4-lane asphalt road with kinetic energy panels</t>
    </r>
    <r>
      <rPr>
        <sz val="11"/>
        <color theme="1"/>
        <rFont val="Calibri"/>
        <family val="2"/>
        <scheme val="minor"/>
      </rPr>
      <t xml:space="preserve">, the </t>
    </r>
    <r>
      <rPr>
        <b/>
        <sz val="11"/>
        <color theme="1"/>
        <rFont val="Calibri"/>
        <family val="2"/>
        <scheme val="minor"/>
      </rPr>
      <t>estimated energy harvested per year</t>
    </r>
    <r>
      <rPr>
        <sz val="11"/>
        <color theme="1"/>
        <rFont val="Calibri"/>
        <family val="2"/>
        <scheme val="minor"/>
      </rPr>
      <t xml:space="preserve"> would be approximately </t>
    </r>
    <r>
      <rPr>
        <b/>
        <sz val="11"/>
        <color theme="1"/>
        <rFont val="Calibri"/>
        <family val="2"/>
        <scheme val="minor"/>
      </rPr>
      <t>101,012 kWh</t>
    </r>
    <r>
      <rPr>
        <sz val="11"/>
        <color theme="1"/>
        <rFont val="Calibri"/>
        <family val="2"/>
        <scheme val="minor"/>
      </rPr>
      <t>.</t>
    </r>
  </si>
  <si>
    <t>This estimate assumes constant traffic and a system efficiency of 5%. The actual value could vary depending on the traffic density, vehicle speeds, the specific energy harvesting system used, and local conditions.</t>
  </si>
  <si>
    <r>
      <t xml:space="preserve">The 101,012 kWh per year generated from a </t>
    </r>
    <r>
      <rPr>
        <b/>
        <sz val="11"/>
        <color theme="1"/>
        <rFont val="Calibri"/>
        <family val="2"/>
        <scheme val="minor"/>
      </rPr>
      <t>10 km, 4-lane asphalt road with kinetic energy panels</t>
    </r>
    <r>
      <rPr>
        <sz val="11"/>
        <color theme="1"/>
        <rFont val="Calibri"/>
        <family val="2"/>
        <scheme val="minor"/>
      </rPr>
      <t xml:space="preserve"> could be used to power various types of road infrastructure and services. Here’s an idea of what that amount of energy could potentially power:</t>
    </r>
  </si>
  <si>
    <t>1. Street Lighting</t>
  </si>
  <si>
    <t>Street lighting is one of the most common energy demands for road infrastructure. The energy harvested could power a significant number of streetlights.</t>
  </si>
  <si>
    <r>
      <t>Average LED streetlight power consumption</t>
    </r>
    <r>
      <rPr>
        <sz val="11"/>
        <color theme="1"/>
        <rFont val="Calibri"/>
        <family val="2"/>
        <scheme val="minor"/>
      </rPr>
      <t xml:space="preserve">: Around </t>
    </r>
    <r>
      <rPr>
        <b/>
        <sz val="11"/>
        <color theme="1"/>
        <rFont val="Calibri"/>
        <family val="2"/>
        <scheme val="minor"/>
      </rPr>
      <t>50 to 100 watts</t>
    </r>
    <r>
      <rPr>
        <sz val="11"/>
        <color theme="1"/>
        <rFont val="Calibri"/>
        <family val="2"/>
        <scheme val="minor"/>
      </rPr>
      <t xml:space="preserve"> per streetlight.</t>
    </r>
  </si>
  <si>
    <r>
      <t xml:space="preserve">Assuming each streetlight uses an average of </t>
    </r>
    <r>
      <rPr>
        <b/>
        <sz val="11"/>
        <color theme="1"/>
        <rFont val="Calibri"/>
        <family val="2"/>
        <scheme val="minor"/>
      </rPr>
      <t>75 watts</t>
    </r>
    <r>
      <rPr>
        <sz val="11"/>
        <color theme="1"/>
        <rFont val="Calibri"/>
        <family val="2"/>
        <scheme val="minor"/>
      </rPr>
      <t>:</t>
    </r>
  </si>
  <si>
    <t>Energy used per streetlight per year=75 watts×24 hours/day×365 days/year\text{Energy used per streetlight per year} = 75 \, \text{watts} \times 24 \, \text{hours/day} \times 365 \, \text{days/year}Energy used per streetlight per year=75watts×24hours/day×365days/year Energy used per streetlight per year=657,000 watt-hours=657 kWh/year\text{Energy used per streetlight per year} = 657,000 \, \text{watt-hours} = 657 \, \text{kWh/year}Energy used per streetlight per year=657,000watt-hours=657kWh/year</t>
  </si>
  <si>
    <t>Now, divide the total energy available (101,012 kWh) by the energy used by each streetlight:</t>
  </si>
  <si>
    <t>Number of streetlights powered=101,012 kWh657 kWh≈153 streetlights\text{Number of streetlights powered} = \frac{101,012 \, \text{kWh}}{657 \, \text{kWh}} \approx 153 \, \text{streetlights}Number of streetlights powered=657kWh101,012kWh​≈153streetlights</t>
  </si>
  <si>
    <r>
      <t xml:space="preserve">Thus, </t>
    </r>
    <r>
      <rPr>
        <b/>
        <sz val="11"/>
        <color theme="1"/>
        <rFont val="Calibri"/>
        <family val="2"/>
        <scheme val="minor"/>
      </rPr>
      <t>101,012 kWh</t>
    </r>
    <r>
      <rPr>
        <sz val="11"/>
        <color theme="1"/>
        <rFont val="Calibri"/>
        <family val="2"/>
        <scheme val="minor"/>
      </rPr>
      <t xml:space="preserve"> could power about </t>
    </r>
    <r>
      <rPr>
        <b/>
        <sz val="11"/>
        <color theme="1"/>
        <rFont val="Calibri"/>
        <family val="2"/>
        <scheme val="minor"/>
      </rPr>
      <t>153 LED streetlights</t>
    </r>
    <r>
      <rPr>
        <sz val="11"/>
        <color theme="1"/>
        <rFont val="Calibri"/>
        <family val="2"/>
        <scheme val="minor"/>
      </rPr>
      <t xml:space="preserve"> for one year.</t>
    </r>
  </si>
  <si>
    <t>2. Traffic Signals</t>
  </si>
  <si>
    <t>Traffic signals consume less energy compared to street lighting but are still a significant part of road infrastructure.</t>
  </si>
  <si>
    <r>
      <t>Average traffic signal power consumption</t>
    </r>
    <r>
      <rPr>
        <sz val="11"/>
        <color theme="1"/>
        <rFont val="Calibri"/>
        <family val="2"/>
        <scheme val="minor"/>
      </rPr>
      <t xml:space="preserve">: Around </t>
    </r>
    <r>
      <rPr>
        <b/>
        <sz val="11"/>
        <color theme="1"/>
        <rFont val="Calibri"/>
        <family val="2"/>
        <scheme val="minor"/>
      </rPr>
      <t>200 to 400 watts</t>
    </r>
    <r>
      <rPr>
        <sz val="11"/>
        <color theme="1"/>
        <rFont val="Calibri"/>
        <family val="2"/>
        <scheme val="minor"/>
      </rPr>
      <t xml:space="preserve"> per signal, depending on the type and the number of lights.</t>
    </r>
  </si>
  <si>
    <r>
      <t xml:space="preserve">Assuming an average of </t>
    </r>
    <r>
      <rPr>
        <b/>
        <sz val="11"/>
        <color theme="1"/>
        <rFont val="Calibri"/>
        <family val="2"/>
        <scheme val="minor"/>
      </rPr>
      <t>300 watts</t>
    </r>
    <r>
      <rPr>
        <sz val="11"/>
        <color theme="1"/>
        <rFont val="Calibri"/>
        <family val="2"/>
        <scheme val="minor"/>
      </rPr>
      <t xml:space="preserve"> per traffic signal:</t>
    </r>
  </si>
  <si>
    <t>Energy used per signal per year=300 watts×24 hours/day×365 days/year\text{Energy used per signal per year} = 300 \, \text{watts} \times 24 \, \text{hours/day} \times 365 \, \text{days/year}Energy used per signal per year=300watts×24hours/day×365days/year Energy used per signal per year=2,628,000 watt-hours=2,628 kWh/year\text{Energy used per signal per year} = 2,628,000 \, \text{watt-hours} = 2,628 \, \text{kWh/year}Energy used per signal per year=2,628,000watt-hours=2,628kWh/year</t>
  </si>
  <si>
    <t>Now, divide the total energy available (101,012 kWh) by the energy used by each traffic signal:</t>
  </si>
  <si>
    <t>Number of traffic signals powered=101,012 kWh2,628 kWh≈38 traffic signals\text{Number of traffic signals powered} = \frac{101,012 \, \text{kWh}}{2,628 \, \text{kWh}} \approx 38 \, \text{traffic signals}Number of traffic signals powered=2,628kWh101,012kWh​≈38traffic signals</t>
  </si>
  <si>
    <r>
      <t xml:space="preserve">Thus, </t>
    </r>
    <r>
      <rPr>
        <b/>
        <sz val="11"/>
        <color theme="1"/>
        <rFont val="Calibri"/>
        <family val="2"/>
        <scheme val="minor"/>
      </rPr>
      <t>101,012 kWh</t>
    </r>
    <r>
      <rPr>
        <sz val="11"/>
        <color theme="1"/>
        <rFont val="Calibri"/>
        <family val="2"/>
        <scheme val="minor"/>
      </rPr>
      <t xml:space="preserve"> could power around </t>
    </r>
    <r>
      <rPr>
        <b/>
        <sz val="11"/>
        <color theme="1"/>
        <rFont val="Calibri"/>
        <family val="2"/>
        <scheme val="minor"/>
      </rPr>
      <t>38 traffic signals</t>
    </r>
    <r>
      <rPr>
        <sz val="11"/>
        <color theme="1"/>
        <rFont val="Calibri"/>
        <family val="2"/>
        <scheme val="minor"/>
      </rPr>
      <t xml:space="preserve"> for one year.</t>
    </r>
  </si>
  <si>
    <t>3. Roadside Signs and Digital Billboards</t>
  </si>
  <si>
    <t>Digital billboards and roadside information signs often consume a considerable amount of energy, depending on their size and brightness.</t>
  </si>
  <si>
    <r>
      <t>Average power consumption for a digital billboard</t>
    </r>
    <r>
      <rPr>
        <sz val="11"/>
        <color theme="1"/>
        <rFont val="Calibri"/>
        <family val="2"/>
        <scheme val="minor"/>
      </rPr>
      <t xml:space="preserve">: Around </t>
    </r>
    <r>
      <rPr>
        <b/>
        <sz val="11"/>
        <color theme="1"/>
        <rFont val="Calibri"/>
        <family val="2"/>
        <scheme val="minor"/>
      </rPr>
      <t>1,000 to 2,000 watts</t>
    </r>
    <r>
      <rPr>
        <sz val="11"/>
        <color theme="1"/>
        <rFont val="Calibri"/>
        <family val="2"/>
        <scheme val="minor"/>
      </rPr>
      <t xml:space="preserve"> per billboard.</t>
    </r>
  </si>
  <si>
    <r>
      <t xml:space="preserve">Assuming an average of </t>
    </r>
    <r>
      <rPr>
        <b/>
        <sz val="11"/>
        <color theme="1"/>
        <rFont val="Calibri"/>
        <family val="2"/>
        <scheme val="minor"/>
      </rPr>
      <t>1,500 watts</t>
    </r>
    <r>
      <rPr>
        <sz val="11"/>
        <color theme="1"/>
        <rFont val="Calibri"/>
        <family val="2"/>
        <scheme val="minor"/>
      </rPr>
      <t xml:space="preserve"> per billboard:</t>
    </r>
  </si>
  <si>
    <t>Energy used per billboard per year=1,500 watts×24 hours/day×365 days/year\text{Energy used per billboard per year} = 1,500 \, \text{watts} \times 24 \, \text{hours/day} \times 365 \, \text{days/year}Energy used per billboard per year=1,500watts×24hours/day×365days/year Energy used per billboard per year=13,140,000 watt-hours=13,140 kWh/year\text{Energy used per billboard per year} = 13,140,000 \, \text{watt-hours} = 13,140 \, \text{kWh/year}Energy used per billboard per year=13,140,000watt-hours=13,140kWh/year</t>
  </si>
  <si>
    <t>Now, divide the total energy available (101,012 kWh) by the energy used by each billboard:</t>
  </si>
  <si>
    <t>Number of billboards powered=101,012 kWh13,140 kWh≈7 digital billboards\text{Number of billboards powered} = \frac{101,012 \, \text{kWh}}{13,140 \, \text{kWh}} \approx 7 \, \text{digital billboards}Number of billboards powered=13,140kWh101,012kWh​≈7digital billboards</t>
  </si>
  <si>
    <r>
      <t xml:space="preserve">So, </t>
    </r>
    <r>
      <rPr>
        <b/>
        <sz val="11"/>
        <color theme="1"/>
        <rFont val="Calibri"/>
        <family val="2"/>
        <scheme val="minor"/>
      </rPr>
      <t>101,012 kWh</t>
    </r>
    <r>
      <rPr>
        <sz val="11"/>
        <color theme="1"/>
        <rFont val="Calibri"/>
        <family val="2"/>
        <scheme val="minor"/>
      </rPr>
      <t xml:space="preserve"> could power around </t>
    </r>
    <r>
      <rPr>
        <b/>
        <sz val="11"/>
        <color theme="1"/>
        <rFont val="Calibri"/>
        <family val="2"/>
        <scheme val="minor"/>
      </rPr>
      <t>7 digital billboards</t>
    </r>
    <r>
      <rPr>
        <sz val="11"/>
        <color theme="1"/>
        <rFont val="Calibri"/>
        <family val="2"/>
        <scheme val="minor"/>
      </rPr>
      <t xml:space="preserve"> for one year.</t>
    </r>
  </si>
  <si>
    <t>4. EV Charging Stations</t>
  </si>
  <si>
    <t>Electric vehicle (EV) charging stations are becoming a more common part of road infrastructure. Let’s estimate how much energy could go toward powering these stations.</t>
  </si>
  <si>
    <r>
      <t>Average power consumption for an EV charging station</t>
    </r>
    <r>
      <rPr>
        <sz val="11"/>
        <color theme="1"/>
        <rFont val="Calibri"/>
        <family val="2"/>
        <scheme val="minor"/>
      </rPr>
      <t xml:space="preserve">: A typical </t>
    </r>
    <r>
      <rPr>
        <b/>
        <sz val="11"/>
        <color theme="1"/>
        <rFont val="Calibri"/>
        <family val="2"/>
        <scheme val="minor"/>
      </rPr>
      <t>Level 2 charger</t>
    </r>
    <r>
      <rPr>
        <sz val="11"/>
        <color theme="1"/>
        <rFont val="Calibri"/>
        <family val="2"/>
        <scheme val="minor"/>
      </rPr>
      <t xml:space="preserve"> might use about </t>
    </r>
    <r>
      <rPr>
        <b/>
        <sz val="11"/>
        <color theme="1"/>
        <rFont val="Calibri"/>
        <family val="2"/>
        <scheme val="minor"/>
      </rPr>
      <t>7 kW</t>
    </r>
    <r>
      <rPr>
        <sz val="11"/>
        <color theme="1"/>
        <rFont val="Calibri"/>
        <family val="2"/>
        <scheme val="minor"/>
      </rPr>
      <t xml:space="preserve"> per hour of operation.</t>
    </r>
  </si>
  <si>
    <r>
      <t xml:space="preserve">Assuming an average of </t>
    </r>
    <r>
      <rPr>
        <b/>
        <sz val="11"/>
        <color theme="1"/>
        <rFont val="Calibri"/>
        <family val="2"/>
        <scheme val="minor"/>
      </rPr>
      <t>4 hours of usage per day</t>
    </r>
    <r>
      <rPr>
        <sz val="11"/>
        <color theme="1"/>
        <rFont val="Calibri"/>
        <family val="2"/>
        <scheme val="minor"/>
      </rPr>
      <t xml:space="preserve"> for a charger:</t>
    </r>
  </si>
  <si>
    <t>Energy used per charger per year=7 kW×4 hours/day×365 days/year=10,220 kWh/year\text{Energy used per charger per year} = 7 \, \text{kW} \times 4 \, \text{hours/day} \times 365 \, \text{days/year} = 10,220 \, \text{kWh/year}Energy used per charger per year=7kW×4hours/day×365days/year=10,220kWh/year</t>
  </si>
  <si>
    <t>Now, divide the total energy available (101,012 kWh) by the energy used by each charger:</t>
  </si>
  <si>
    <t>Number of EV chargers powered=101,012 kWh10,220 kWh≈9 EV chargers\text{Number of EV chargers powered} = \frac{101,012 \, \text{kWh}}{10,220 \, \text{kWh}} \approx 9 \, \text{EV chargers}Number of EV chargers powered=10,220kWh101,012kWh​≈9EV chargers</t>
  </si>
  <si>
    <r>
      <t xml:space="preserve">Thus, </t>
    </r>
    <r>
      <rPr>
        <b/>
        <sz val="11"/>
        <color theme="1"/>
        <rFont val="Calibri"/>
        <family val="2"/>
        <scheme val="minor"/>
      </rPr>
      <t>101,012 kWh</t>
    </r>
    <r>
      <rPr>
        <sz val="11"/>
        <color theme="1"/>
        <rFont val="Calibri"/>
        <family val="2"/>
        <scheme val="minor"/>
      </rPr>
      <t xml:space="preserve"> could power around </t>
    </r>
    <r>
      <rPr>
        <b/>
        <sz val="11"/>
        <color theme="1"/>
        <rFont val="Calibri"/>
        <family val="2"/>
        <scheme val="minor"/>
      </rPr>
      <t>9 Level 2 EV chargers</t>
    </r>
    <r>
      <rPr>
        <sz val="11"/>
        <color theme="1"/>
        <rFont val="Calibri"/>
        <family val="2"/>
        <scheme val="minor"/>
      </rPr>
      <t xml:space="preserve"> for one year.</t>
    </r>
  </si>
  <si>
    <t>5. Rest Areas or Service Stations</t>
  </si>
  <si>
    <t>Energy could also be used to power service areas, restrooms, and vending machines located along highways.</t>
  </si>
  <si>
    <r>
      <t>Energy usage for a small service station/rest area</t>
    </r>
    <r>
      <rPr>
        <sz val="11"/>
        <color theme="1"/>
        <rFont val="Calibri"/>
        <family val="2"/>
        <scheme val="minor"/>
      </rPr>
      <t xml:space="preserve">: Could range from </t>
    </r>
    <r>
      <rPr>
        <b/>
        <sz val="11"/>
        <color theme="1"/>
        <rFont val="Calibri"/>
        <family val="2"/>
        <scheme val="minor"/>
      </rPr>
      <t>5,000 to 10,000 kWh per year</t>
    </r>
    <r>
      <rPr>
        <sz val="11"/>
        <color theme="1"/>
        <rFont val="Calibri"/>
        <family val="2"/>
        <scheme val="minor"/>
      </rPr>
      <t xml:space="preserve"> depending on size and usage.</t>
    </r>
  </si>
  <si>
    <r>
      <t xml:space="preserve">With </t>
    </r>
    <r>
      <rPr>
        <b/>
        <sz val="11"/>
        <color theme="1"/>
        <rFont val="Calibri"/>
        <family val="2"/>
        <scheme val="minor"/>
      </rPr>
      <t>101,012 kWh</t>
    </r>
    <r>
      <rPr>
        <sz val="11"/>
        <color theme="1"/>
        <rFont val="Calibri"/>
        <family val="2"/>
        <scheme val="minor"/>
      </rPr>
      <t xml:space="preserve"> available, you could power about </t>
    </r>
    <r>
      <rPr>
        <b/>
        <sz val="11"/>
        <color theme="1"/>
        <rFont val="Calibri"/>
        <family val="2"/>
        <scheme val="minor"/>
      </rPr>
      <t>10 to 20 small service stations</t>
    </r>
    <r>
      <rPr>
        <sz val="11"/>
        <color theme="1"/>
        <rFont val="Calibri"/>
        <family val="2"/>
        <scheme val="minor"/>
      </rPr>
      <t xml:space="preserve"> for one year.</t>
    </r>
  </si>
  <si>
    <t>Summary of What 101,012 kWh Could Power:</t>
  </si>
  <si>
    <t>153 LED streetlights</t>
  </si>
  <si>
    <t>38 traffic signals</t>
  </si>
  <si>
    <t>7 digital billboards</t>
  </si>
  <si>
    <t>9 EV charging stations</t>
  </si>
  <si>
    <t>10 to 20 small service stations/rest areas</t>
  </si>
  <si>
    <t>Conclusion:</t>
  </si>
  <si>
    <r>
      <t xml:space="preserve">The energy harvested from a </t>
    </r>
    <r>
      <rPr>
        <b/>
        <sz val="11"/>
        <color theme="1"/>
        <rFont val="Calibri"/>
        <family val="2"/>
        <scheme val="minor"/>
      </rPr>
      <t>10 km, 4-lane asphalt road with kinetic energy panels</t>
    </r>
    <r>
      <rPr>
        <sz val="11"/>
        <color theme="1"/>
        <rFont val="Calibri"/>
        <family val="2"/>
        <scheme val="minor"/>
      </rPr>
      <t xml:space="preserve"> could support a range of road-related infrastructures such as street lighting, traffic management systems, digital billboards, EV charging stations, and roadside service areas, contributing to the sustainability and energy efficiency of the transportation system.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</si>
</sst>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_);_(* \(#,##0\);_(* &quot;-&quot;??_);_(@_)"/>
    <numFmt numFmtId="166" formatCode="_(* #,##0_);_(* \(#,##0\);_(* &quot;-&quot;?_);_(@_)"/>
  </numFmts>
  <fonts count="8">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scheme val="minor"/>
    </font>
    <font>
      <b/>
      <sz val="13.5"/>
      <color theme="1"/>
      <name val="Calibri"/>
      <family val="2"/>
      <scheme val="minor"/>
    </font>
    <font>
      <b/>
      <sz val="8"/>
      <color theme="1"/>
      <name val="Calibri"/>
      <family val="2"/>
      <scheme val="minor"/>
    </font>
    <font>
      <b/>
      <sz val="8"/>
      <color rgb="FFFF0000"/>
      <name val="Calibri"/>
      <family val="2"/>
      <scheme val="minor"/>
    </font>
  </fonts>
  <fills count="12">
    <fill>
      <patternFill patternType="none"/>
    </fill>
    <fill>
      <patternFill patternType="gray125"/>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rgb="FFFFFF00"/>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rgb="FF00B0F0"/>
        <bgColor indexed="64"/>
      </patternFill>
    </fill>
    <fill>
      <patternFill patternType="solid">
        <fgColor theme="9" tint="0.59999389629810485"/>
        <bgColor indexed="64"/>
      </patternFill>
    </fill>
    <fill>
      <patternFill patternType="solid">
        <fgColor theme="8" tint="0.79998168889431442"/>
        <bgColor indexed="64"/>
      </patternFill>
    </fill>
  </fills>
  <borders count="13">
    <border>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top/>
      <bottom style="thin">
        <color indexed="64"/>
      </bottom>
      <diagonal/>
    </border>
    <border>
      <left style="thin">
        <color indexed="64"/>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cellStyleXfs>
  <cellXfs count="70">
    <xf numFmtId="0" fontId="0" fillId="0" borderId="0" xfId="0"/>
    <xf numFmtId="0" fontId="0" fillId="0" borderId="0" xfId="0" applyAlignment="1">
      <alignment vertical="center" wrapText="1"/>
    </xf>
    <xf numFmtId="0" fontId="2" fillId="4" borderId="2" xfId="0" applyFont="1" applyFill="1" applyBorder="1" applyAlignment="1">
      <alignment horizontal="center" vertical="center" wrapText="1"/>
    </xf>
    <xf numFmtId="0" fontId="0" fillId="0" borderId="3" xfId="0" applyBorder="1" applyAlignment="1">
      <alignment horizontal="center" vertical="center" wrapText="1"/>
    </xf>
    <xf numFmtId="0" fontId="2" fillId="0" borderId="0" xfId="0" applyFont="1" applyAlignment="1">
      <alignment vertical="center" wrapText="1"/>
    </xf>
    <xf numFmtId="165" fontId="2" fillId="4" borderId="5" xfId="0" applyNumberFormat="1" applyFont="1" applyFill="1" applyBorder="1" applyAlignment="1">
      <alignment vertical="center" wrapText="1"/>
    </xf>
    <xf numFmtId="9" fontId="0" fillId="0" borderId="3" xfId="2" applyFont="1" applyBorder="1" applyAlignment="1">
      <alignment horizontal="center" vertical="center" wrapText="1"/>
    </xf>
    <xf numFmtId="0" fontId="2" fillId="0" borderId="0" xfId="0" applyFont="1" applyAlignment="1">
      <alignment horizontal="right" vertical="center" wrapText="1"/>
    </xf>
    <xf numFmtId="9" fontId="2" fillId="0" borderId="3" xfId="2" applyFont="1" applyBorder="1" applyAlignment="1">
      <alignment horizontal="center" vertical="center" wrapText="1"/>
    </xf>
    <xf numFmtId="0" fontId="0" fillId="0" borderId="6" xfId="0" applyBorder="1" applyAlignment="1">
      <alignment vertical="center" wrapText="1"/>
    </xf>
    <xf numFmtId="165" fontId="2" fillId="4" borderId="8" xfId="0" applyNumberFormat="1" applyFont="1" applyFill="1" applyBorder="1" applyAlignment="1">
      <alignment vertical="center" wrapText="1"/>
    </xf>
    <xf numFmtId="9" fontId="2" fillId="0" borderId="0" xfId="2" applyFont="1" applyAlignment="1">
      <alignment vertical="center" wrapText="1"/>
    </xf>
    <xf numFmtId="165" fontId="2" fillId="0" borderId="0" xfId="1" applyNumberFormat="1" applyFont="1" applyAlignment="1">
      <alignment vertical="center" wrapText="1"/>
    </xf>
    <xf numFmtId="9" fontId="1" fillId="0" borderId="0" xfId="2" applyFont="1" applyAlignment="1">
      <alignment vertical="center" wrapText="1"/>
    </xf>
    <xf numFmtId="165" fontId="1" fillId="0" borderId="0" xfId="1" applyNumberFormat="1" applyFont="1" applyAlignment="1">
      <alignment vertical="center" wrapText="1"/>
    </xf>
    <xf numFmtId="165" fontId="2" fillId="5" borderId="9" xfId="0" applyNumberFormat="1" applyFont="1" applyFill="1" applyBorder="1" applyAlignment="1">
      <alignment vertical="center" wrapText="1"/>
    </xf>
    <xf numFmtId="0" fontId="0" fillId="0" borderId="0" xfId="0" applyAlignment="1">
      <alignment horizontal="center" vertical="center" wrapText="1"/>
    </xf>
    <xf numFmtId="165" fontId="2" fillId="5" borderId="0" xfId="1" applyNumberFormat="1" applyFont="1" applyFill="1" applyAlignment="1">
      <alignment vertical="center" wrapText="1"/>
    </xf>
    <xf numFmtId="0" fontId="3" fillId="0" borderId="0" xfId="0" applyFont="1" applyAlignment="1">
      <alignment vertical="center" wrapText="1"/>
    </xf>
    <xf numFmtId="165" fontId="0" fillId="0" borderId="0" xfId="0" applyNumberFormat="1" applyAlignment="1">
      <alignment vertical="center" wrapText="1"/>
    </xf>
    <xf numFmtId="166" fontId="0" fillId="0" borderId="0" xfId="0" applyNumberFormat="1" applyAlignment="1">
      <alignment vertical="center" wrapText="1"/>
    </xf>
    <xf numFmtId="165" fontId="2" fillId="5" borderId="10" xfId="0" applyNumberFormat="1" applyFont="1" applyFill="1" applyBorder="1" applyAlignment="1">
      <alignment vertical="center" wrapText="1"/>
    </xf>
    <xf numFmtId="0" fontId="2" fillId="3" borderId="3" xfId="0" applyFont="1" applyFill="1" applyBorder="1" applyAlignment="1">
      <alignment horizontal="center" vertical="center" wrapText="1"/>
    </xf>
    <xf numFmtId="0" fontId="0" fillId="0" borderId="0" xfId="0" applyAlignment="1">
      <alignment vertical="center"/>
    </xf>
    <xf numFmtId="0" fontId="2" fillId="2" borderId="3" xfId="0" applyFont="1" applyFill="1" applyBorder="1" applyAlignment="1">
      <alignment vertical="center" wrapText="1"/>
    </xf>
    <xf numFmtId="0" fontId="0" fillId="2" borderId="3" xfId="0" applyFill="1" applyBorder="1" applyAlignment="1">
      <alignment vertical="center" wrapText="1"/>
    </xf>
    <xf numFmtId="0" fontId="2" fillId="6" borderId="3" xfId="0" applyFont="1" applyFill="1" applyBorder="1" applyAlignment="1">
      <alignment vertical="center" wrapText="1"/>
    </xf>
    <xf numFmtId="0" fontId="0" fillId="6" borderId="3" xfId="0" applyFill="1" applyBorder="1" applyAlignment="1">
      <alignment vertical="center" wrapText="1"/>
    </xf>
    <xf numFmtId="0" fontId="2" fillId="7" borderId="3" xfId="0" applyFont="1" applyFill="1" applyBorder="1" applyAlignment="1">
      <alignment vertical="center" wrapText="1"/>
    </xf>
    <xf numFmtId="0" fontId="0" fillId="7" borderId="3" xfId="0" applyFill="1" applyBorder="1" applyAlignment="1">
      <alignment vertical="center" wrapText="1"/>
    </xf>
    <xf numFmtId="0" fontId="2" fillId="8" borderId="3" xfId="0" applyFont="1" applyFill="1" applyBorder="1" applyAlignment="1">
      <alignment vertical="center" wrapText="1"/>
    </xf>
    <xf numFmtId="0" fontId="0" fillId="8" borderId="3" xfId="0" applyFill="1" applyBorder="1" applyAlignment="1">
      <alignment vertical="center" wrapText="1"/>
    </xf>
    <xf numFmtId="0" fontId="5" fillId="0" borderId="0" xfId="0" applyFont="1" applyAlignment="1">
      <alignment vertical="center" wrapText="1"/>
    </xf>
    <xf numFmtId="0" fontId="0" fillId="0" borderId="0" xfId="0" applyAlignment="1">
      <alignment wrapText="1"/>
    </xf>
    <xf numFmtId="0" fontId="2" fillId="0" borderId="0" xfId="0" applyFont="1"/>
    <xf numFmtId="0" fontId="0" fillId="0" borderId="0" xfId="0" applyAlignment="1">
      <alignment horizontal="left" vertical="center" wrapText="1"/>
    </xf>
    <xf numFmtId="0" fontId="2" fillId="0" borderId="0" xfId="0" applyFont="1" applyAlignment="1">
      <alignment horizontal="left" vertical="center" wrapText="1"/>
    </xf>
    <xf numFmtId="0" fontId="4" fillId="0" borderId="0" xfId="3"/>
    <xf numFmtId="165" fontId="2" fillId="4" borderId="3" xfId="0" applyNumberFormat="1" applyFont="1" applyFill="1" applyBorder="1" applyAlignment="1">
      <alignment vertical="center" wrapText="1"/>
    </xf>
    <xf numFmtId="165" fontId="0" fillId="4" borderId="3" xfId="0" applyNumberFormat="1" applyFill="1" applyBorder="1" applyAlignment="1">
      <alignment vertical="center" wrapText="1"/>
    </xf>
    <xf numFmtId="166" fontId="0" fillId="4" borderId="3" xfId="0" applyNumberFormat="1" applyFill="1" applyBorder="1" applyAlignment="1">
      <alignment vertical="center" wrapText="1"/>
    </xf>
    <xf numFmtId="9" fontId="2" fillId="0" borderId="11" xfId="2" applyFont="1" applyBorder="1" applyAlignment="1">
      <alignment horizontal="center" vertical="center" wrapText="1"/>
    </xf>
    <xf numFmtId="0" fontId="2" fillId="4" borderId="3" xfId="0" applyFont="1" applyFill="1" applyBorder="1" applyAlignment="1">
      <alignment horizontal="center" vertical="center" wrapText="1"/>
    </xf>
    <xf numFmtId="0" fontId="0" fillId="0" borderId="0" xfId="0" applyAlignment="1">
      <alignment horizontal="center" vertical="center"/>
    </xf>
    <xf numFmtId="0" fontId="2" fillId="0" borderId="12" xfId="0" applyFont="1" applyBorder="1"/>
    <xf numFmtId="0" fontId="2" fillId="0" borderId="9" xfId="0" applyFont="1" applyBorder="1"/>
    <xf numFmtId="0" fontId="6" fillId="0" borderId="0" xfId="0" applyFont="1"/>
    <xf numFmtId="0" fontId="7" fillId="0" borderId="0" xfId="0" applyFont="1"/>
    <xf numFmtId="0" fontId="2" fillId="9" borderId="1" xfId="0" applyFont="1" applyFill="1" applyBorder="1" applyAlignment="1">
      <alignment horizontal="center" vertical="center" wrapText="1"/>
    </xf>
    <xf numFmtId="165" fontId="2" fillId="9" borderId="3" xfId="0" applyNumberFormat="1" applyFont="1" applyFill="1" applyBorder="1" applyAlignment="1">
      <alignment vertical="center" wrapText="1"/>
    </xf>
    <xf numFmtId="165" fontId="0" fillId="9" borderId="3" xfId="0" applyNumberFormat="1" applyFill="1" applyBorder="1" applyAlignment="1">
      <alignment vertical="center" wrapText="1"/>
    </xf>
    <xf numFmtId="166" fontId="0" fillId="9" borderId="3" xfId="0" applyNumberFormat="1" applyFill="1" applyBorder="1" applyAlignment="1">
      <alignment vertical="center" wrapText="1"/>
    </xf>
    <xf numFmtId="165" fontId="2" fillId="9" borderId="4" xfId="0" applyNumberFormat="1" applyFont="1" applyFill="1" applyBorder="1" applyAlignment="1">
      <alignment vertical="center" wrapText="1"/>
    </xf>
    <xf numFmtId="165" fontId="2" fillId="9" borderId="7" xfId="0" applyNumberFormat="1" applyFont="1" applyFill="1" applyBorder="1" applyAlignment="1">
      <alignment vertical="center" wrapText="1"/>
    </xf>
    <xf numFmtId="0" fontId="2" fillId="10" borderId="1" xfId="0" applyFont="1" applyFill="1" applyBorder="1" applyAlignment="1">
      <alignment horizontal="center" vertical="center" wrapText="1"/>
    </xf>
    <xf numFmtId="165" fontId="2" fillId="10" borderId="3" xfId="0" applyNumberFormat="1" applyFont="1" applyFill="1" applyBorder="1" applyAlignment="1">
      <alignment vertical="center" wrapText="1"/>
    </xf>
    <xf numFmtId="165" fontId="0" fillId="10" borderId="3" xfId="0" applyNumberFormat="1" applyFill="1" applyBorder="1" applyAlignment="1">
      <alignment vertical="center" wrapText="1"/>
    </xf>
    <xf numFmtId="166" fontId="0" fillId="10" borderId="3" xfId="0" applyNumberFormat="1" applyFill="1" applyBorder="1" applyAlignment="1">
      <alignment vertical="center" wrapText="1"/>
    </xf>
    <xf numFmtId="165" fontId="2" fillId="10" borderId="4" xfId="0" applyNumberFormat="1" applyFont="1" applyFill="1" applyBorder="1" applyAlignment="1">
      <alignment vertical="center" wrapText="1"/>
    </xf>
    <xf numFmtId="165" fontId="2" fillId="10" borderId="7" xfId="0" applyNumberFormat="1" applyFont="1" applyFill="1" applyBorder="1" applyAlignment="1">
      <alignment vertical="center" wrapText="1"/>
    </xf>
    <xf numFmtId="0" fontId="2" fillId="9" borderId="3" xfId="0" applyFont="1" applyFill="1" applyBorder="1" applyAlignment="1">
      <alignment horizontal="center" vertical="center" wrapText="1"/>
    </xf>
    <xf numFmtId="0" fontId="2" fillId="10" borderId="3" xfId="0" applyFont="1" applyFill="1" applyBorder="1" applyAlignment="1">
      <alignment horizontal="center" vertical="center" wrapText="1"/>
    </xf>
    <xf numFmtId="0" fontId="0" fillId="11" borderId="0" xfId="0" applyFill="1"/>
    <xf numFmtId="0" fontId="2" fillId="10" borderId="0" xfId="0" applyFont="1" applyFill="1"/>
    <xf numFmtId="0" fontId="0" fillId="8" borderId="0" xfId="0" applyFill="1"/>
    <xf numFmtId="0" fontId="2" fillId="0" borderId="0" xfId="0" applyFont="1" applyAlignment="1">
      <alignment horizontal="center" vertical="center" wrapText="1"/>
    </xf>
    <xf numFmtId="3" fontId="0" fillId="0" borderId="0" xfId="0" applyNumberFormat="1" applyAlignment="1">
      <alignment horizontal="center" vertical="center" wrapText="1"/>
    </xf>
    <xf numFmtId="0" fontId="0" fillId="0" borderId="0" xfId="0" applyAlignment="1">
      <alignment horizontal="center" vertical="center" wrapText="1"/>
    </xf>
    <xf numFmtId="0" fontId="2" fillId="0" borderId="0" xfId="0" applyFont="1" applyAlignment="1">
      <alignment horizontal="center"/>
    </xf>
    <xf numFmtId="0" fontId="0" fillId="0" borderId="0" xfId="0" applyAlignment="1">
      <alignment horizontal="left" vertical="center" wrapText="1"/>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kumimoji="0" lang="en-US" sz="1400" b="0" i="0" u="none" strike="noStrike" kern="0" cap="none" spc="0" normalizeH="0" baseline="0" noProof="0">
                <a:ln>
                  <a:noFill/>
                </a:ln>
                <a:solidFill>
                  <a:sysClr val="windowText" lastClr="000000">
                    <a:lumMod val="65000"/>
                    <a:lumOff val="35000"/>
                  </a:sysClr>
                </a:solidFill>
                <a:effectLst/>
                <a:uLnTx/>
                <a:uFillTx/>
                <a:latin typeface="Calibri" panose="020F0502020204030204"/>
              </a:rPr>
              <a:t>Cash Flow Analysis</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0824506539858815E-2"/>
          <c:y val="8.4635766131416823E-2"/>
          <c:w val="0.95502940149272153"/>
          <c:h val="0.86603980764177113"/>
        </c:manualLayout>
      </c:layout>
      <c:barChart>
        <c:barDir val="col"/>
        <c:grouping val="clustered"/>
        <c:varyColors val="0"/>
        <c:ser>
          <c:idx val="0"/>
          <c:order val="0"/>
          <c:tx>
            <c:strRef>
              <c:f>Forecasting!$K$3</c:f>
              <c:strCache>
                <c:ptCount val="1"/>
                <c:pt idx="0">
                  <c:v>Cash</c:v>
                </c:pt>
              </c:strCache>
            </c:strRef>
          </c:tx>
          <c:spPr>
            <a:solidFill>
              <a:schemeClr val="accent6"/>
            </a:solidFill>
            <a:ln>
              <a:solidFill>
                <a:schemeClr val="bg1"/>
              </a:solidFill>
            </a:ln>
            <a:effectLst/>
          </c:spPr>
          <c:invertIfNegative val="0"/>
          <c:cat>
            <c:strRef>
              <c:f>Forecasting!$L$2:$R$2</c:f>
              <c:strCache>
                <c:ptCount val="7"/>
                <c:pt idx="0">
                  <c:v>Y0</c:v>
                </c:pt>
                <c:pt idx="1">
                  <c:v>Y1</c:v>
                </c:pt>
                <c:pt idx="2">
                  <c:v>Y2</c:v>
                </c:pt>
                <c:pt idx="3">
                  <c:v>Y3</c:v>
                </c:pt>
                <c:pt idx="4">
                  <c:v>Y4</c:v>
                </c:pt>
                <c:pt idx="5">
                  <c:v>Y5</c:v>
                </c:pt>
                <c:pt idx="6">
                  <c:v>Y6</c:v>
                </c:pt>
              </c:strCache>
            </c:strRef>
          </c:cat>
          <c:val>
            <c:numRef>
              <c:f>Forecasting!$L$3:$R$3</c:f>
              <c:numCache>
                <c:formatCode>General</c:formatCode>
                <c:ptCount val="7"/>
                <c:pt idx="0">
                  <c:v>50</c:v>
                </c:pt>
                <c:pt idx="1">
                  <c:v>37.290000000000006</c:v>
                </c:pt>
                <c:pt idx="2">
                  <c:v>30.679999999999993</c:v>
                </c:pt>
                <c:pt idx="3">
                  <c:v>28.569999999999968</c:v>
                </c:pt>
                <c:pt idx="4">
                  <c:v>22.249999999999957</c:v>
                </c:pt>
                <c:pt idx="5">
                  <c:v>12.399999999999944</c:v>
                </c:pt>
                <c:pt idx="6">
                  <c:v>52.689999999999934</c:v>
                </c:pt>
              </c:numCache>
            </c:numRef>
          </c:val>
          <c:extLst>
            <c:ext xmlns:c16="http://schemas.microsoft.com/office/drawing/2014/chart" uri="{C3380CC4-5D6E-409C-BE32-E72D297353CC}">
              <c16:uniqueId val="{00000000-9AC3-4D70-917B-97E0468E4FE3}"/>
            </c:ext>
          </c:extLst>
        </c:ser>
        <c:dLbls>
          <c:showLegendKey val="0"/>
          <c:showVal val="0"/>
          <c:showCatName val="0"/>
          <c:showSerName val="0"/>
          <c:showPercent val="0"/>
          <c:showBubbleSize val="0"/>
        </c:dLbls>
        <c:gapWidth val="0"/>
        <c:axId val="2114769712"/>
        <c:axId val="2114765392"/>
      </c:barChart>
      <c:lineChart>
        <c:grouping val="standard"/>
        <c:varyColors val="0"/>
        <c:ser>
          <c:idx val="1"/>
          <c:order val="1"/>
          <c:tx>
            <c:strRef>
              <c:f>Forecasting!$K$18</c:f>
              <c:strCache>
                <c:ptCount val="1"/>
                <c:pt idx="0">
                  <c:v>Target total installation (in km)</c:v>
                </c:pt>
              </c:strCache>
            </c:strRef>
          </c:tx>
          <c:spPr>
            <a:ln w="28575" cap="rnd">
              <a:solidFill>
                <a:schemeClr val="accent5"/>
              </a:solidFill>
              <a:round/>
            </a:ln>
            <a:effectLst/>
          </c:spPr>
          <c:marker>
            <c:symbol val="none"/>
          </c:marker>
          <c:cat>
            <c:strRef>
              <c:f>Forecasting!$L$2:$R$2</c:f>
              <c:strCache>
                <c:ptCount val="7"/>
                <c:pt idx="0">
                  <c:v>Y0</c:v>
                </c:pt>
                <c:pt idx="1">
                  <c:v>Y1</c:v>
                </c:pt>
                <c:pt idx="2">
                  <c:v>Y2</c:v>
                </c:pt>
                <c:pt idx="3">
                  <c:v>Y3</c:v>
                </c:pt>
                <c:pt idx="4">
                  <c:v>Y4</c:v>
                </c:pt>
                <c:pt idx="5">
                  <c:v>Y5</c:v>
                </c:pt>
                <c:pt idx="6">
                  <c:v>Y6</c:v>
                </c:pt>
              </c:strCache>
            </c:strRef>
          </c:cat>
          <c:val>
            <c:numRef>
              <c:f>Forecasting!$L$18:$R$18</c:f>
              <c:numCache>
                <c:formatCode>General</c:formatCode>
                <c:ptCount val="7"/>
                <c:pt idx="1">
                  <c:v>10</c:v>
                </c:pt>
                <c:pt idx="2">
                  <c:v>20</c:v>
                </c:pt>
                <c:pt idx="3">
                  <c:v>30</c:v>
                </c:pt>
                <c:pt idx="4">
                  <c:v>50</c:v>
                </c:pt>
                <c:pt idx="5">
                  <c:v>100</c:v>
                </c:pt>
                <c:pt idx="6">
                  <c:v>110</c:v>
                </c:pt>
              </c:numCache>
            </c:numRef>
          </c:val>
          <c:smooth val="0"/>
          <c:extLst>
            <c:ext xmlns:c16="http://schemas.microsoft.com/office/drawing/2014/chart" uri="{C3380CC4-5D6E-409C-BE32-E72D297353CC}">
              <c16:uniqueId val="{00000003-9AC3-4D70-917B-97E0468E4FE3}"/>
            </c:ext>
          </c:extLst>
        </c:ser>
        <c:dLbls>
          <c:showLegendKey val="0"/>
          <c:showVal val="0"/>
          <c:showCatName val="0"/>
          <c:showSerName val="0"/>
          <c:showPercent val="0"/>
          <c:showBubbleSize val="0"/>
        </c:dLbls>
        <c:marker val="1"/>
        <c:smooth val="0"/>
        <c:axId val="2114769712"/>
        <c:axId val="2114765392"/>
      </c:lineChart>
      <c:catAx>
        <c:axId val="211476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2114765392"/>
        <c:crosses val="autoZero"/>
        <c:auto val="1"/>
        <c:lblAlgn val="ctr"/>
        <c:lblOffset val="100"/>
        <c:noMultiLvlLbl val="0"/>
      </c:catAx>
      <c:valAx>
        <c:axId val="211476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2114769712"/>
        <c:crosses val="autoZero"/>
        <c:crossBetween val="between"/>
      </c:valAx>
      <c:spPr>
        <a:noFill/>
        <a:ln>
          <a:noFill/>
        </a:ln>
        <a:effectLst/>
      </c:spPr>
    </c:plotArea>
    <c:legend>
      <c:legendPos val="r"/>
      <c:layout>
        <c:manualLayout>
          <c:xMode val="edge"/>
          <c:yMode val="edge"/>
          <c:x val="0.78648949994425599"/>
          <c:y val="0.26928997306662866"/>
          <c:w val="0.18400329669361198"/>
          <c:h val="7.4992835380309222E-2"/>
        </c:manualLayout>
      </c:layou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hyperlink" Target="https://www.americanpiezo.com/" TargetMode="External"/><Relationship Id="rId2" Type="http://schemas.openxmlformats.org/officeDocument/2006/relationships/image" Target="../media/image2.png"/><Relationship Id="rId1" Type="http://schemas.openxmlformats.org/officeDocument/2006/relationships/hyperlink" Target="https://www.americanpiezo.com/products-services/sale/piezoelectric-ceramics/" TargetMode="External"/><Relationship Id="rId5" Type="http://schemas.openxmlformats.org/officeDocument/2006/relationships/image" Target="../media/image3.png"/><Relationship Id="rId4" Type="http://schemas.openxmlformats.org/officeDocument/2006/relationships/hyperlink" Target="https://www.piezohannas.com/news/piezoelectric+materials+cost.html" TargetMode="External"/></Relationships>
</file>

<file path=xl/drawings/_rels/drawing3.xml.rels><?xml version="1.0" encoding="UTF-8" standalone="yes"?>
<Relationships xmlns="http://schemas.openxmlformats.org/package/2006/relationships"><Relationship Id="rId3" Type="http://schemas.openxmlformats.org/officeDocument/2006/relationships/hyperlink" Target="https://www.americanpiezo.com/" TargetMode="External"/><Relationship Id="rId2" Type="http://schemas.openxmlformats.org/officeDocument/2006/relationships/image" Target="../media/image2.png"/><Relationship Id="rId1" Type="http://schemas.openxmlformats.org/officeDocument/2006/relationships/hyperlink" Target="https://www.americanpiezo.com/products-services/sale/piezoelectric-ceramics/" TargetMode="External"/><Relationship Id="rId5" Type="http://schemas.openxmlformats.org/officeDocument/2006/relationships/image" Target="../media/image3.png"/><Relationship Id="rId4" Type="http://schemas.openxmlformats.org/officeDocument/2006/relationships/hyperlink" Target="https://www.piezohannas.com/news/piezoelectric+materials+cost.html" TargetMode="External"/></Relationships>
</file>

<file path=xl/drawings/drawing1.xml><?xml version="1.0" encoding="utf-8"?>
<xdr:wsDr xmlns:xdr="http://schemas.openxmlformats.org/drawingml/2006/spreadsheetDrawing" xmlns:a="http://schemas.openxmlformats.org/drawingml/2006/main">
  <xdr:twoCellAnchor>
    <xdr:from>
      <xdr:col>14</xdr:col>
      <xdr:colOff>287562</xdr:colOff>
      <xdr:row>21</xdr:row>
      <xdr:rowOff>31628</xdr:rowOff>
    </xdr:from>
    <xdr:to>
      <xdr:col>52</xdr:col>
      <xdr:colOff>437992</xdr:colOff>
      <xdr:row>52</xdr:row>
      <xdr:rowOff>68848</xdr:rowOff>
    </xdr:to>
    <xdr:graphicFrame macro="">
      <xdr:nvGraphicFramePr>
        <xdr:cNvPr id="2" name="Chart 1">
          <a:extLst>
            <a:ext uri="{FF2B5EF4-FFF2-40B4-BE49-F238E27FC236}">
              <a16:creationId xmlns:a16="http://schemas.microsoft.com/office/drawing/2014/main" id="{A4E59480-8A69-CD59-68F3-02DD4671FC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1328090</xdr:colOff>
      <xdr:row>27</xdr:row>
      <xdr:rowOff>142170</xdr:rowOff>
    </xdr:from>
    <xdr:to>
      <xdr:col>10</xdr:col>
      <xdr:colOff>726110</xdr:colOff>
      <xdr:row>47</xdr:row>
      <xdr:rowOff>149790</xdr:rowOff>
    </xdr:to>
    <xdr:pic>
      <xdr:nvPicPr>
        <xdr:cNvPr id="6" name="Picture 2">
          <a:extLst>
            <a:ext uri="{FF2B5EF4-FFF2-40B4-BE49-F238E27FC236}">
              <a16:creationId xmlns:a16="http://schemas.microsoft.com/office/drawing/2014/main" id="{1DCCD128-581B-7169-50C9-13F3B55D8CA9}"/>
            </a:ext>
            <a:ext uri="{147F2762-F138-4A5C-976F-8EAC2B608ADB}">
              <a16:predDERef xmlns:a16="http://schemas.microsoft.com/office/drawing/2014/main" pred="{A4E59480-8A69-CD59-68F3-02DD4671FC9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28090" y="5028495"/>
          <a:ext cx="4712970" cy="3627120"/>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0</xdr:col>
      <xdr:colOff>152400</xdr:colOff>
      <xdr:row>5</xdr:row>
      <xdr:rowOff>152400</xdr:rowOff>
    </xdr:to>
    <xdr:pic>
      <xdr:nvPicPr>
        <xdr:cNvPr id="2" name="Picture 1" descr="Favicon">
          <a:hlinkClick xmlns:r="http://schemas.openxmlformats.org/officeDocument/2006/relationships" r:id="rId1" tgtFrame="_blank"/>
          <a:extLst>
            <a:ext uri="{FF2B5EF4-FFF2-40B4-BE49-F238E27FC236}">
              <a16:creationId xmlns:a16="http://schemas.microsoft.com/office/drawing/2014/main" id="{21D4002B-C414-404B-92ED-AFE78FD69DD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14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0</xdr:col>
      <xdr:colOff>152400</xdr:colOff>
      <xdr:row>8</xdr:row>
      <xdr:rowOff>152400</xdr:rowOff>
    </xdr:to>
    <xdr:pic>
      <xdr:nvPicPr>
        <xdr:cNvPr id="3" name="Picture 2" descr="Favicon">
          <a:hlinkClick xmlns:r="http://schemas.openxmlformats.org/officeDocument/2006/relationships" r:id="rId3" tgtFrame="_blank"/>
          <a:extLst>
            <a:ext uri="{FF2B5EF4-FFF2-40B4-BE49-F238E27FC236}">
              <a16:creationId xmlns:a16="http://schemas.microsoft.com/office/drawing/2014/main" id="{6E74469D-45D0-4F3A-AE1C-C37E6CC8219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874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xdr:row>
      <xdr:rowOff>0</xdr:rowOff>
    </xdr:from>
    <xdr:to>
      <xdr:col>0</xdr:col>
      <xdr:colOff>152400</xdr:colOff>
      <xdr:row>11</xdr:row>
      <xdr:rowOff>152400</xdr:rowOff>
    </xdr:to>
    <xdr:pic>
      <xdr:nvPicPr>
        <xdr:cNvPr id="4" name="Picture 3" descr="Favicon">
          <a:hlinkClick xmlns:r="http://schemas.openxmlformats.org/officeDocument/2006/relationships" r:id="rId4" tgtFrame="_blank"/>
          <a:extLst>
            <a:ext uri="{FF2B5EF4-FFF2-40B4-BE49-F238E27FC236}">
              <a16:creationId xmlns:a16="http://schemas.microsoft.com/office/drawing/2014/main" id="{FF529651-E5BA-4F5A-9792-6781C4C756E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2971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0</xdr:col>
      <xdr:colOff>152400</xdr:colOff>
      <xdr:row>5</xdr:row>
      <xdr:rowOff>152400</xdr:rowOff>
    </xdr:to>
    <xdr:pic>
      <xdr:nvPicPr>
        <xdr:cNvPr id="2" name="Picture 1" descr="Favicon">
          <a:hlinkClick xmlns:r="http://schemas.openxmlformats.org/officeDocument/2006/relationships" r:id="rId1" tgtFrame="_blank"/>
          <a:extLst>
            <a:ext uri="{FF2B5EF4-FFF2-40B4-BE49-F238E27FC236}">
              <a16:creationId xmlns:a16="http://schemas.microsoft.com/office/drawing/2014/main" id="{AFA34D8E-E068-4B7A-8356-293E5D6B4E5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143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0</xdr:col>
      <xdr:colOff>152400</xdr:colOff>
      <xdr:row>8</xdr:row>
      <xdr:rowOff>152400</xdr:rowOff>
    </xdr:to>
    <xdr:pic>
      <xdr:nvPicPr>
        <xdr:cNvPr id="3" name="Picture 2" descr="Favicon">
          <a:hlinkClick xmlns:r="http://schemas.openxmlformats.org/officeDocument/2006/relationships" r:id="rId3" tgtFrame="_blank"/>
          <a:extLst>
            <a:ext uri="{FF2B5EF4-FFF2-40B4-BE49-F238E27FC236}">
              <a16:creationId xmlns:a16="http://schemas.microsoft.com/office/drawing/2014/main" id="{76C81E4C-34B0-4456-966D-A2E74DE883D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87452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xdr:row>
      <xdr:rowOff>0</xdr:rowOff>
    </xdr:from>
    <xdr:to>
      <xdr:col>0</xdr:col>
      <xdr:colOff>152400</xdr:colOff>
      <xdr:row>11</xdr:row>
      <xdr:rowOff>152400</xdr:rowOff>
    </xdr:to>
    <xdr:pic>
      <xdr:nvPicPr>
        <xdr:cNvPr id="4" name="Picture 3" descr="Favicon">
          <a:hlinkClick xmlns:r="http://schemas.openxmlformats.org/officeDocument/2006/relationships" r:id="rId4" tgtFrame="_blank"/>
          <a:extLst>
            <a:ext uri="{FF2B5EF4-FFF2-40B4-BE49-F238E27FC236}">
              <a16:creationId xmlns:a16="http://schemas.microsoft.com/office/drawing/2014/main" id="{FF222165-5DE5-435E-B24F-AC1AA62044F7}"/>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29718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Magadia, Matthew" id="{B10E08BD-CFC6-41D0-A3D6-020527C6ADDC}" userId="S::matthew.magadia@sap.com::290c3ed4-c7a3-490e-8946-36761e1177e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9" dT="2024-11-07T18:18:32.52" personId="{B10E08BD-CFC6-41D0-A3D6-020527C6ADDC}" id="{0DFF3C1F-D403-4475-9BF3-4CE875DF4ED0}">
    <text>Assuming a 2-way road with two lanes in each direction:
Lane Width: 3.5 meters (a common standard for highways).
Total Width of Road (4 lanes): 3.5 m×4=14 m
Area:
Length of road = 10,000 meters
Width = 14 meters
Area=10,000m×14m=140,000m2
After optimal spacing of panels - 20% of the area will be replaced with kinetic energy panels.
140,000 x 20% = 28,000m2</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hyperlink" Target="https://www.piezohannas.com/news/piezoelectric+materials+cost.html" TargetMode="External"/><Relationship Id="rId3" Type="http://schemas.openxmlformats.org/officeDocument/2006/relationships/hyperlink" Target="https://www.americanpiezo.com/products-services/sale/piezoelectric-ceramics/" TargetMode="External"/><Relationship Id="rId7" Type="http://schemas.openxmlformats.org/officeDocument/2006/relationships/hyperlink" Target="https://www.piezohannas.com/news/piezoelectric+materials+cost.html" TargetMode="External"/><Relationship Id="rId2" Type="http://schemas.openxmlformats.org/officeDocument/2006/relationships/hyperlink" Target="https://chatgpt.com/backend-api/bing/redirect?query=current+price+piezoelectric+material+per+piece+or+per+square+meter" TargetMode="External"/><Relationship Id="rId1" Type="http://schemas.openxmlformats.org/officeDocument/2006/relationships/hyperlink" Target="https://chatgpt.com/backend-api/bing/redirect?query=current+price+piezoelectric+material+per+piece+or+per+square+meter" TargetMode="External"/><Relationship Id="rId6" Type="http://schemas.openxmlformats.org/officeDocument/2006/relationships/hyperlink" Target="https://www.americanpiezo.com/" TargetMode="External"/><Relationship Id="rId5" Type="http://schemas.openxmlformats.org/officeDocument/2006/relationships/hyperlink" Target="https://www.americanpiezo.com/" TargetMode="External"/><Relationship Id="rId4" Type="http://schemas.openxmlformats.org/officeDocument/2006/relationships/hyperlink" Target="https://www.americanpiezo.com/products-services/sale/piezoelectric-ceramics/" TargetMode="External"/><Relationship Id="rId9"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3DCD6-97E9-41A9-BB6C-E14922C93B21}">
  <dimension ref="A1:K22"/>
  <sheetViews>
    <sheetView showGridLines="0" tabSelected="1" workbookViewId="0">
      <selection activeCell="G1" activeCellId="1" sqref="A1:A1048576 G1:G1048576"/>
    </sheetView>
  </sheetViews>
  <sheetFormatPr defaultColWidth="8.85546875" defaultRowHeight="15"/>
  <cols>
    <col min="1" max="1" width="15.7109375" style="1" customWidth="1"/>
    <col min="2" max="4" width="12.140625" style="1" customWidth="1"/>
    <col min="5" max="5" width="12.140625" style="16" customWidth="1"/>
    <col min="6" max="6" width="12.140625" style="1" customWidth="1"/>
    <col min="7" max="7" width="15.7109375" style="1" customWidth="1"/>
    <col min="8" max="10" width="15.42578125" style="1" customWidth="1"/>
    <col min="11" max="11" width="35.7109375" style="1" bestFit="1" customWidth="1"/>
    <col min="12" max="16384" width="8.85546875" style="1"/>
  </cols>
  <sheetData>
    <row r="1" spans="1:11">
      <c r="B1" s="48" t="s">
        <v>0</v>
      </c>
      <c r="C1" s="54" t="s">
        <v>1</v>
      </c>
      <c r="D1" s="2" t="s">
        <v>2</v>
      </c>
      <c r="E1" s="3" t="s">
        <v>3</v>
      </c>
      <c r="H1" s="65" t="s">
        <v>4</v>
      </c>
      <c r="I1" s="65"/>
      <c r="J1" s="65"/>
    </row>
    <row r="2" spans="1:11" ht="60.75">
      <c r="A2" s="4" t="s">
        <v>5</v>
      </c>
      <c r="B2" s="49">
        <f>B3*2</f>
        <v>61400000</v>
      </c>
      <c r="C2" s="55">
        <f t="shared" ref="C2:D2" si="0">C3*2</f>
        <v>45720000</v>
      </c>
      <c r="D2" s="38">
        <f t="shared" si="0"/>
        <v>32400000</v>
      </c>
      <c r="E2" s="6">
        <v>1</v>
      </c>
      <c r="G2" s="4" t="s">
        <v>6</v>
      </c>
      <c r="H2" s="7" t="s">
        <v>0</v>
      </c>
      <c r="I2" s="7" t="s">
        <v>1</v>
      </c>
      <c r="J2" s="7" t="s">
        <v>2</v>
      </c>
    </row>
    <row r="3" spans="1:11" ht="30.75">
      <c r="A3" s="1" t="s">
        <v>7</v>
      </c>
      <c r="B3" s="50">
        <v>30700000</v>
      </c>
      <c r="C3" s="56">
        <v>22860000</v>
      </c>
      <c r="D3" s="39">
        <v>16200000</v>
      </c>
      <c r="E3" s="6">
        <v>-0.5</v>
      </c>
      <c r="G3" s="1" t="s">
        <v>8</v>
      </c>
      <c r="H3" s="1">
        <v>300</v>
      </c>
      <c r="I3" s="1">
        <v>150</v>
      </c>
      <c r="J3" s="1">
        <v>30</v>
      </c>
    </row>
    <row r="4" spans="1:11" ht="60.75">
      <c r="A4" s="4" t="s">
        <v>9</v>
      </c>
      <c r="B4" s="49">
        <f>B2-B3</f>
        <v>30700000</v>
      </c>
      <c r="C4" s="55">
        <f t="shared" ref="C4:D4" si="1">C2-C3</f>
        <v>22860000</v>
      </c>
      <c r="D4" s="38">
        <f t="shared" si="1"/>
        <v>16200000</v>
      </c>
      <c r="E4" s="8">
        <f>SUM(E2:E3)</f>
        <v>0.5</v>
      </c>
      <c r="G4" s="1" t="s">
        <v>10</v>
      </c>
      <c r="H4" s="1">
        <v>100</v>
      </c>
      <c r="I4" s="1">
        <v>75</v>
      </c>
      <c r="J4" s="1">
        <v>50</v>
      </c>
    </row>
    <row r="5" spans="1:11" ht="45.75">
      <c r="A5" s="1" t="s">
        <v>11</v>
      </c>
      <c r="B5" s="51">
        <f>B2*0.2</f>
        <v>12280000</v>
      </c>
      <c r="C5" s="57">
        <f>C2*0.2</f>
        <v>9144000</v>
      </c>
      <c r="D5" s="40">
        <f>D2*0.2</f>
        <v>6480000</v>
      </c>
      <c r="E5" s="6">
        <v>-0.2</v>
      </c>
      <c r="G5" s="4" t="s">
        <v>12</v>
      </c>
    </row>
    <row r="6" spans="1:11">
      <c r="A6" s="4" t="s">
        <v>13</v>
      </c>
      <c r="B6" s="52">
        <f>B4-B5</f>
        <v>18420000</v>
      </c>
      <c r="C6" s="58">
        <f t="shared" ref="C6:D6" si="2">C4-C5</f>
        <v>13716000</v>
      </c>
      <c r="D6" s="5">
        <f t="shared" si="2"/>
        <v>9720000</v>
      </c>
      <c r="E6" s="41">
        <f>SUM(E4:E5)</f>
        <v>0.3</v>
      </c>
      <c r="G6" s="1" t="s">
        <v>14</v>
      </c>
      <c r="H6" s="1">
        <v>40</v>
      </c>
      <c r="I6" s="1">
        <v>35</v>
      </c>
      <c r="J6" s="1">
        <v>30</v>
      </c>
    </row>
    <row r="7" spans="1:11">
      <c r="A7" s="1" t="s">
        <v>15</v>
      </c>
      <c r="B7" s="51">
        <v>1250000</v>
      </c>
      <c r="C7" s="57">
        <v>1250000</v>
      </c>
      <c r="D7" s="40">
        <v>1250000</v>
      </c>
      <c r="E7" s="6">
        <f>-D7/D2</f>
        <v>-3.8580246913580245E-2</v>
      </c>
      <c r="G7" s="1" t="s">
        <v>16</v>
      </c>
      <c r="H7" s="9">
        <v>100</v>
      </c>
      <c r="I7" s="9">
        <v>75</v>
      </c>
      <c r="J7" s="9">
        <v>50</v>
      </c>
    </row>
    <row r="8" spans="1:11" ht="30.75">
      <c r="A8" s="1" t="s">
        <v>17</v>
      </c>
      <c r="B8" s="51">
        <f>B6*0.3</f>
        <v>5526000</v>
      </c>
      <c r="C8" s="57">
        <f t="shared" ref="C8:D8" si="3">C6*0.3</f>
        <v>4114800</v>
      </c>
      <c r="D8" s="40">
        <f t="shared" si="3"/>
        <v>2916000</v>
      </c>
      <c r="E8" s="6">
        <f>-D8/D2</f>
        <v>-0.09</v>
      </c>
      <c r="G8" s="11" t="s">
        <v>18</v>
      </c>
      <c r="H8" s="4">
        <f>SUM(H2:H7)</f>
        <v>540</v>
      </c>
      <c r="I8" s="4">
        <f>SUM(I2:I7)</f>
        <v>335</v>
      </c>
      <c r="J8" s="4">
        <f>SUM(J2:J7)</f>
        <v>160</v>
      </c>
    </row>
    <row r="9" spans="1:11" ht="45.75" thickBot="1">
      <c r="A9" s="4" t="s">
        <v>19</v>
      </c>
      <c r="B9" s="53">
        <f>B6-B8-B7</f>
        <v>11644000</v>
      </c>
      <c r="C9" s="59">
        <f>C6-C8-C7</f>
        <v>8351200</v>
      </c>
      <c r="D9" s="10">
        <f>D6-D8-D7</f>
        <v>5554000</v>
      </c>
      <c r="E9" s="8">
        <f>SUM(E6:E8)</f>
        <v>0.17141975308641974</v>
      </c>
      <c r="G9" s="11" t="s">
        <v>20</v>
      </c>
      <c r="H9" s="12">
        <f>SUM(H8*28000)</f>
        <v>15120000</v>
      </c>
      <c r="I9" s="12">
        <f>SUM(I8*28000)</f>
        <v>9380000</v>
      </c>
      <c r="J9" s="12">
        <f>SUM(J8*28000)</f>
        <v>4480000</v>
      </c>
    </row>
    <row r="10" spans="1:11" ht="45.75" thickTop="1">
      <c r="G10" s="13" t="s">
        <v>21</v>
      </c>
      <c r="H10" s="14">
        <f>-H9*0.2</f>
        <v>-3024000</v>
      </c>
      <c r="I10" s="14">
        <f>-I9*0.2</f>
        <v>-1876000</v>
      </c>
      <c r="J10" s="14">
        <f>-J9*0.2</f>
        <v>-896000</v>
      </c>
    </row>
    <row r="11" spans="1:11" ht="30.75">
      <c r="B11" s="60" t="s">
        <v>0</v>
      </c>
      <c r="C11" s="61" t="s">
        <v>1</v>
      </c>
      <c r="D11" s="42" t="s">
        <v>2</v>
      </c>
      <c r="E11" s="3" t="s">
        <v>3</v>
      </c>
      <c r="G11" s="4" t="s">
        <v>22</v>
      </c>
      <c r="H11" s="15">
        <f>SUM(H9:H10)</f>
        <v>12096000</v>
      </c>
      <c r="I11" s="15">
        <f>SUM(I9:I10)</f>
        <v>7504000</v>
      </c>
      <c r="J11" s="15">
        <f>SUM(J9:J10)</f>
        <v>3584000</v>
      </c>
    </row>
    <row r="12" spans="1:11" ht="76.5">
      <c r="A12" s="4" t="s">
        <v>23</v>
      </c>
      <c r="B12" s="49">
        <v>7000000</v>
      </c>
      <c r="C12" s="55">
        <v>5200000</v>
      </c>
      <c r="D12" s="38">
        <v>3700000</v>
      </c>
      <c r="E12" s="6">
        <v>1</v>
      </c>
    </row>
    <row r="13" spans="1:11" ht="45.75">
      <c r="A13" s="1" t="s">
        <v>7</v>
      </c>
      <c r="B13" s="50">
        <f>B12*0.7</f>
        <v>4900000</v>
      </c>
      <c r="C13" s="56">
        <f t="shared" ref="C13:D13" si="4">C12*0.7</f>
        <v>3640000</v>
      </c>
      <c r="D13" s="39">
        <f t="shared" si="4"/>
        <v>2590000</v>
      </c>
      <c r="E13" s="6">
        <v>-0.7</v>
      </c>
      <c r="G13" s="1" t="s">
        <v>24</v>
      </c>
      <c r="H13" s="66">
        <v>101000</v>
      </c>
      <c r="I13" s="67"/>
      <c r="J13" s="67"/>
    </row>
    <row r="14" spans="1:11" ht="60.75">
      <c r="A14" s="4" t="s">
        <v>9</v>
      </c>
      <c r="B14" s="49">
        <f>B12-B13</f>
        <v>2100000</v>
      </c>
      <c r="C14" s="55">
        <f t="shared" ref="C14:D14" si="5">C12-C13</f>
        <v>1560000</v>
      </c>
      <c r="D14" s="38">
        <f t="shared" si="5"/>
        <v>1110000</v>
      </c>
      <c r="E14" s="8">
        <f>E12+E13</f>
        <v>0.30000000000000004</v>
      </c>
      <c r="G14" s="1" t="s">
        <v>25</v>
      </c>
      <c r="H14" s="66">
        <v>300</v>
      </c>
      <c r="I14" s="67"/>
      <c r="J14" s="67"/>
    </row>
    <row r="15" spans="1:11" ht="60.75">
      <c r="A15" s="1" t="s">
        <v>26</v>
      </c>
      <c r="B15" s="51">
        <f>B12*0.1</f>
        <v>700000</v>
      </c>
      <c r="C15" s="57">
        <f t="shared" ref="C15:D15" si="6">C12*0.1</f>
        <v>520000</v>
      </c>
      <c r="D15" s="40">
        <f t="shared" si="6"/>
        <v>370000</v>
      </c>
      <c r="E15" s="6">
        <v>-0.1</v>
      </c>
      <c r="G15" s="4" t="s">
        <v>27</v>
      </c>
      <c r="H15" s="17">
        <f>$H$13*$H$14</f>
        <v>30300000</v>
      </c>
      <c r="I15" s="17">
        <f t="shared" ref="I15:J15" si="7">$H$13*$H$14</f>
        <v>30300000</v>
      </c>
      <c r="J15" s="17">
        <f t="shared" si="7"/>
        <v>30300000</v>
      </c>
      <c r="K15" s="18" t="s">
        <v>28</v>
      </c>
    </row>
    <row r="16" spans="1:11">
      <c r="A16" s="4" t="s">
        <v>13</v>
      </c>
      <c r="B16" s="52">
        <f>B14-B15</f>
        <v>1400000</v>
      </c>
      <c r="C16" s="58">
        <f t="shared" ref="C16:D16" si="8">C14-C15</f>
        <v>1040000</v>
      </c>
      <c r="D16" s="5">
        <f t="shared" si="8"/>
        <v>740000</v>
      </c>
      <c r="E16" s="41">
        <f>SUM(E14:E15)</f>
        <v>0.20000000000000004</v>
      </c>
    </row>
    <row r="17" spans="1:10">
      <c r="A17" s="1" t="s">
        <v>17</v>
      </c>
      <c r="B17" s="51">
        <f>B16*0.3</f>
        <v>420000</v>
      </c>
      <c r="C17" s="57">
        <f t="shared" ref="C17:D17" si="9">C16*0.3</f>
        <v>312000</v>
      </c>
      <c r="D17" s="40">
        <f t="shared" si="9"/>
        <v>222000</v>
      </c>
      <c r="E17" s="6">
        <f>-B17/B12</f>
        <v>-0.06</v>
      </c>
      <c r="G17" s="1" t="s">
        <v>29</v>
      </c>
      <c r="H17" s="19">
        <f>H11</f>
        <v>12096000</v>
      </c>
      <c r="I17" s="19">
        <f t="shared" ref="I17:J17" si="10">I11</f>
        <v>7504000</v>
      </c>
      <c r="J17" s="19">
        <f t="shared" si="10"/>
        <v>3584000</v>
      </c>
    </row>
    <row r="18" spans="1:10" ht="30.75" thickBot="1">
      <c r="A18" s="4" t="s">
        <v>19</v>
      </c>
      <c r="B18" s="53">
        <f>B16-B17</f>
        <v>980000</v>
      </c>
      <c r="C18" s="59">
        <f t="shared" ref="C18:D18" si="11">C16-C17</f>
        <v>728000</v>
      </c>
      <c r="D18" s="10">
        <f t="shared" si="11"/>
        <v>518000</v>
      </c>
      <c r="E18" s="8">
        <f>E16+E17</f>
        <v>0.14000000000000004</v>
      </c>
      <c r="G18" s="1" t="s">
        <v>30</v>
      </c>
      <c r="H18" s="19">
        <f>H15/3</f>
        <v>10100000</v>
      </c>
      <c r="I18" s="19">
        <f t="shared" ref="I18:J18" si="12">I15/3</f>
        <v>10100000</v>
      </c>
      <c r="J18" s="19">
        <f t="shared" si="12"/>
        <v>10100000</v>
      </c>
    </row>
    <row r="19" spans="1:10" ht="30.75" thickTop="1">
      <c r="E19" s="1"/>
      <c r="G19" s="1" t="s">
        <v>31</v>
      </c>
      <c r="H19" s="20">
        <f>H$17*0.3</f>
        <v>3628800</v>
      </c>
      <c r="I19" s="20">
        <f t="shared" ref="I19:J19" si="13">I$17*0.3</f>
        <v>2251200</v>
      </c>
      <c r="J19" s="20">
        <f t="shared" si="13"/>
        <v>1075200</v>
      </c>
    </row>
    <row r="20" spans="1:10" ht="45.75">
      <c r="G20" s="1" t="s">
        <v>32</v>
      </c>
      <c r="H20" s="20">
        <f>H$17*0.4</f>
        <v>4838400</v>
      </c>
      <c r="I20" s="20">
        <f t="shared" ref="I20:J20" si="14">I$17*0.4</f>
        <v>3001600</v>
      </c>
      <c r="J20" s="20">
        <f t="shared" si="14"/>
        <v>1433600</v>
      </c>
    </row>
    <row r="21" spans="1:10" ht="30.75" thickBot="1">
      <c r="G21" s="4" t="s">
        <v>33</v>
      </c>
      <c r="H21" s="21">
        <f>SUM(H17:H20)</f>
        <v>30663200</v>
      </c>
      <c r="I21" s="21">
        <f t="shared" ref="I21:J21" si="15">SUM(I17:I20)</f>
        <v>22856800</v>
      </c>
      <c r="J21" s="21">
        <f t="shared" si="15"/>
        <v>16192800</v>
      </c>
    </row>
    <row r="22" spans="1:10" thickTop="1"/>
  </sheetData>
  <mergeCells count="3">
    <mergeCell ref="H1:J1"/>
    <mergeCell ref="H13:J13"/>
    <mergeCell ref="H14:J14"/>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D6698-DF04-4328-9645-B39D2A7B04A3}">
  <dimension ref="A1:AQ35"/>
  <sheetViews>
    <sheetView showGridLines="0" zoomScale="81" zoomScaleNormal="130" workbookViewId="0">
      <selection activeCell="M30" sqref="M30"/>
    </sheetView>
  </sheetViews>
  <sheetFormatPr defaultRowHeight="14.45"/>
  <cols>
    <col min="1" max="1" width="24.5703125" bestFit="1" customWidth="1"/>
    <col min="2" max="2" width="3" bestFit="1" customWidth="1"/>
    <col min="3" max="6" width="6" bestFit="1" customWidth="1"/>
    <col min="7" max="7" width="7" bestFit="1" customWidth="1"/>
    <col min="8" max="9" width="6" bestFit="1" customWidth="1"/>
    <col min="11" max="11" width="21.7109375" bestFit="1" customWidth="1"/>
    <col min="12" max="12" width="3.28515625" bestFit="1" customWidth="1"/>
    <col min="13" max="17" width="6.28515625" bestFit="1" customWidth="1"/>
    <col min="18" max="19" width="5.28515625" bestFit="1" customWidth="1"/>
    <col min="20" max="31" width="5.28515625" customWidth="1"/>
    <col min="32" max="33" width="9.5703125" hidden="1" customWidth="1"/>
    <col min="34" max="34" width="8.42578125" hidden="1" customWidth="1"/>
    <col min="35" max="35" width="6.28515625" hidden="1" customWidth="1"/>
    <col min="36" max="36" width="4.140625" hidden="1" customWidth="1"/>
    <col min="37" max="37" width="0" hidden="1" customWidth="1"/>
    <col min="38" max="38" width="4.140625" hidden="1" customWidth="1"/>
    <col min="39" max="39" width="6.28515625" hidden="1" customWidth="1"/>
    <col min="40" max="40" width="5.28515625" hidden="1" customWidth="1"/>
  </cols>
  <sheetData>
    <row r="1" spans="1:40">
      <c r="A1" s="34" t="s">
        <v>34</v>
      </c>
      <c r="B1" s="68" t="s">
        <v>35</v>
      </c>
      <c r="C1" s="68"/>
      <c r="D1" s="68"/>
      <c r="E1" s="68"/>
      <c r="F1" s="68"/>
      <c r="G1" s="68"/>
      <c r="K1" s="34" t="s">
        <v>34</v>
      </c>
      <c r="L1" s="68" t="s">
        <v>35</v>
      </c>
      <c r="M1" s="68"/>
      <c r="N1" s="68"/>
      <c r="O1" s="68"/>
      <c r="P1" s="68"/>
      <c r="Q1" s="68"/>
    </row>
    <row r="2" spans="1:40">
      <c r="B2" s="43" t="s">
        <v>36</v>
      </c>
      <c r="C2" s="43" t="s">
        <v>37</v>
      </c>
      <c r="D2" s="43" t="s">
        <v>38</v>
      </c>
      <c r="E2" s="43" t="s">
        <v>39</v>
      </c>
      <c r="F2" s="43" t="s">
        <v>40</v>
      </c>
      <c r="G2" s="43" t="s">
        <v>41</v>
      </c>
      <c r="H2" s="43" t="s">
        <v>42</v>
      </c>
      <c r="I2" s="43" t="s">
        <v>43</v>
      </c>
      <c r="L2" s="43" t="s">
        <v>36</v>
      </c>
      <c r="M2" s="43" t="s">
        <v>37</v>
      </c>
      <c r="N2" s="43" t="s">
        <v>38</v>
      </c>
      <c r="O2" s="43" t="s">
        <v>39</v>
      </c>
      <c r="P2" s="43" t="s">
        <v>40</v>
      </c>
      <c r="Q2" s="43" t="s">
        <v>41</v>
      </c>
      <c r="R2" s="43" t="s">
        <v>42</v>
      </c>
      <c r="S2" s="43" t="s">
        <v>43</v>
      </c>
      <c r="T2" s="43"/>
      <c r="U2" s="43"/>
      <c r="V2" s="43"/>
      <c r="W2" s="43"/>
      <c r="X2" s="43"/>
      <c r="Y2" s="43"/>
      <c r="Z2" s="43"/>
      <c r="AA2" s="43"/>
      <c r="AB2" s="43"/>
      <c r="AC2" s="43"/>
      <c r="AD2" s="43"/>
      <c r="AE2" s="43"/>
    </row>
    <row r="3" spans="1:40">
      <c r="A3" s="34" t="s">
        <v>44</v>
      </c>
      <c r="B3" s="63">
        <v>50</v>
      </c>
      <c r="C3" s="63">
        <v>37.290000000000006</v>
      </c>
      <c r="D3" s="63">
        <v>30.679999999999993</v>
      </c>
      <c r="E3" s="63">
        <v>28.569999999999968</v>
      </c>
      <c r="F3" s="63">
        <v>22.249999999999957</v>
      </c>
      <c r="G3" s="63">
        <v>12.399999999999944</v>
      </c>
      <c r="H3" s="63">
        <v>52.689999999999934</v>
      </c>
      <c r="I3" s="63">
        <v>71.079999999999927</v>
      </c>
      <c r="K3" s="34" t="s">
        <v>44</v>
      </c>
      <c r="L3" s="63">
        <v>50</v>
      </c>
      <c r="M3" s="63">
        <f>L3-26.7+(32*0.7)+(3.7*0.7)-3-4-4</f>
        <v>37.290000000000006</v>
      </c>
      <c r="N3" s="63">
        <f>M3+M4+M5+AI4+AI5+AI5-AI7-AI8-AI8-4-4+0.13-2+N14</f>
        <v>30.679999999999993</v>
      </c>
      <c r="O3" s="63">
        <f>N3+N4+N5+AI4+AI5+AI5+AI5-AI7-AI8-AI8-AI8-4-4+0.12+O14-N14</f>
        <v>28.569999999999968</v>
      </c>
      <c r="P3" s="63">
        <f>O3+O4+O5+AI4*2+AI5*5-AI7*2-AI8*5-4-4+0.25+P14-O14</f>
        <v>22.249999999999957</v>
      </c>
      <c r="Q3" s="63">
        <f>P3+P4+P5+AI4*5+AI5*10-AI7*5-AI8*10-4-4+0.65+Q14-P14</f>
        <v>12.399999999999944</v>
      </c>
      <c r="R3" s="63">
        <f>Q3+Q4+Q5+AI4+AI5*11-AI7-AI8*11+0.04+R14-Q14</f>
        <v>52.689999999999934</v>
      </c>
      <c r="S3" s="63">
        <f>R3+R4+R5+AI4+AI5*11-AI7-AI8*11-0.57+S14-R14</f>
        <v>71.079999999999927</v>
      </c>
      <c r="T3" s="34" t="s">
        <v>45</v>
      </c>
      <c r="U3" s="34"/>
      <c r="V3" s="34"/>
      <c r="W3" s="34"/>
      <c r="X3" s="34"/>
      <c r="Y3" s="34"/>
      <c r="Z3" s="34"/>
      <c r="AA3" s="34"/>
      <c r="AB3" s="34"/>
      <c r="AC3" s="34"/>
      <c r="AD3" s="34"/>
    </row>
    <row r="4" spans="1:40">
      <c r="A4" s="34" t="s">
        <v>46</v>
      </c>
      <c r="C4">
        <v>9.6</v>
      </c>
      <c r="D4">
        <v>9.6</v>
      </c>
      <c r="E4">
        <v>9.6</v>
      </c>
      <c r="F4">
        <v>19.2</v>
      </c>
      <c r="G4">
        <v>48</v>
      </c>
      <c r="H4">
        <v>9.6</v>
      </c>
      <c r="I4">
        <v>9.6</v>
      </c>
      <c r="K4" s="34" t="s">
        <v>46</v>
      </c>
      <c r="M4">
        <f>32*0.3</f>
        <v>9.6</v>
      </c>
      <c r="N4">
        <f>32*0.3</f>
        <v>9.6</v>
      </c>
      <c r="O4">
        <v>9.6</v>
      </c>
      <c r="P4">
        <v>19.2</v>
      </c>
      <c r="Q4">
        <f>O4*5</f>
        <v>48</v>
      </c>
      <c r="R4">
        <f>O4</f>
        <v>9.6</v>
      </c>
      <c r="S4">
        <f>R4</f>
        <v>9.6</v>
      </c>
      <c r="T4" s="34" t="s">
        <v>47</v>
      </c>
      <c r="AF4">
        <v>32400000</v>
      </c>
      <c r="AG4">
        <f>AF4*0.7</f>
        <v>22680000</v>
      </c>
      <c r="AH4">
        <f>AF4*0.3</f>
        <v>9720000</v>
      </c>
      <c r="AI4">
        <v>22.6</v>
      </c>
      <c r="AJ4">
        <v>9.6</v>
      </c>
      <c r="AL4">
        <f>32.4*5</f>
        <v>162</v>
      </c>
      <c r="AM4">
        <f>AL4*0.7</f>
        <v>113.39999999999999</v>
      </c>
      <c r="AN4">
        <f>AL4*0.3</f>
        <v>48.6</v>
      </c>
    </row>
    <row r="5" spans="1:40">
      <c r="A5" s="34" t="s">
        <v>48</v>
      </c>
      <c r="C5">
        <v>1.1100000000000001</v>
      </c>
      <c r="D5">
        <v>2.2200000000000002</v>
      </c>
      <c r="E5">
        <v>3.33</v>
      </c>
      <c r="F5">
        <v>5.55</v>
      </c>
      <c r="G5">
        <v>11.1</v>
      </c>
      <c r="H5">
        <v>12.209999999999999</v>
      </c>
      <c r="I5">
        <v>13.32</v>
      </c>
      <c r="K5" s="34" t="s">
        <v>48</v>
      </c>
      <c r="M5">
        <f>3.7*0.3</f>
        <v>1.1100000000000001</v>
      </c>
      <c r="N5">
        <f>(3.7*0.3)*2</f>
        <v>2.2200000000000002</v>
      </c>
      <c r="O5">
        <v>3.33</v>
      </c>
      <c r="P5">
        <v>5.55</v>
      </c>
      <c r="Q5">
        <f>P5*2</f>
        <v>11.1</v>
      </c>
      <c r="R5">
        <f>Q5+M5</f>
        <v>12.209999999999999</v>
      </c>
      <c r="S5">
        <f>1.11*12</f>
        <v>13.32</v>
      </c>
      <c r="AF5">
        <v>3700000</v>
      </c>
      <c r="AG5">
        <f>AF5*0.7</f>
        <v>2590000</v>
      </c>
      <c r="AH5">
        <f>AF5*0.3</f>
        <v>1110000</v>
      </c>
      <c r="AI5">
        <v>2.6</v>
      </c>
      <c r="AJ5">
        <v>1.1000000000000001</v>
      </c>
    </row>
    <row r="6" spans="1:40">
      <c r="A6" s="34" t="s">
        <v>49</v>
      </c>
      <c r="B6" s="44">
        <v>50</v>
      </c>
      <c r="C6" s="44">
        <v>48.000000000000007</v>
      </c>
      <c r="D6" s="44">
        <v>42.499999999999993</v>
      </c>
      <c r="E6" s="44">
        <v>41.499999999999964</v>
      </c>
      <c r="F6" s="44">
        <v>46.999999999999957</v>
      </c>
      <c r="G6" s="44">
        <v>71.499999999999943</v>
      </c>
      <c r="H6" s="44">
        <v>74.499999999999929</v>
      </c>
      <c r="I6" s="44">
        <v>93.999999999999915</v>
      </c>
      <c r="K6" s="34" t="s">
        <v>49</v>
      </c>
      <c r="L6" s="44">
        <f t="shared" ref="L6:S6" si="0">SUM(L3:L5)</f>
        <v>50</v>
      </c>
      <c r="M6" s="44">
        <f t="shared" si="0"/>
        <v>48.000000000000007</v>
      </c>
      <c r="N6" s="44">
        <f t="shared" si="0"/>
        <v>42.499999999999993</v>
      </c>
      <c r="O6" s="44">
        <f t="shared" si="0"/>
        <v>41.499999999999964</v>
      </c>
      <c r="P6" s="44">
        <f t="shared" si="0"/>
        <v>46.999999999999957</v>
      </c>
      <c r="Q6" s="44">
        <f t="shared" si="0"/>
        <v>71.499999999999943</v>
      </c>
      <c r="R6" s="44">
        <f t="shared" si="0"/>
        <v>74.499999999999929</v>
      </c>
      <c r="S6" s="44">
        <f t="shared" si="0"/>
        <v>93.999999999999915</v>
      </c>
      <c r="T6" s="34"/>
      <c r="U6" s="34"/>
      <c r="V6" s="34"/>
      <c r="W6" s="34"/>
      <c r="X6" s="34"/>
      <c r="Y6" s="34"/>
      <c r="Z6" s="34"/>
      <c r="AA6" s="34"/>
      <c r="AB6" s="34"/>
      <c r="AC6" s="34"/>
      <c r="AD6" s="34"/>
      <c r="AE6" s="34"/>
    </row>
    <row r="7" spans="1:40">
      <c r="AI7">
        <v>26.85</v>
      </c>
    </row>
    <row r="8" spans="1:40">
      <c r="A8" s="34" t="s">
        <v>50</v>
      </c>
      <c r="B8">
        <v>20</v>
      </c>
      <c r="C8">
        <v>16</v>
      </c>
      <c r="D8">
        <v>12</v>
      </c>
      <c r="E8">
        <v>8</v>
      </c>
      <c r="F8" s="64">
        <v>4</v>
      </c>
      <c r="G8" s="64">
        <v>0</v>
      </c>
      <c r="H8" s="64">
        <v>0</v>
      </c>
      <c r="I8" s="64">
        <v>0</v>
      </c>
      <c r="K8" s="34" t="s">
        <v>50</v>
      </c>
      <c r="L8">
        <v>20</v>
      </c>
      <c r="M8">
        <v>16</v>
      </c>
      <c r="N8">
        <v>12</v>
      </c>
      <c r="O8">
        <v>8</v>
      </c>
      <c r="P8" s="64">
        <v>4</v>
      </c>
      <c r="Q8" s="64">
        <v>0</v>
      </c>
      <c r="R8" s="64">
        <v>0</v>
      </c>
      <c r="S8" s="64">
        <v>0</v>
      </c>
      <c r="T8" s="34" t="s">
        <v>51</v>
      </c>
      <c r="AI8">
        <v>3.2</v>
      </c>
    </row>
    <row r="9" spans="1:40">
      <c r="A9" s="34" t="s">
        <v>52</v>
      </c>
      <c r="B9">
        <v>20</v>
      </c>
      <c r="C9">
        <v>16</v>
      </c>
      <c r="D9">
        <v>12</v>
      </c>
      <c r="E9">
        <v>8</v>
      </c>
      <c r="F9" s="64">
        <v>4</v>
      </c>
      <c r="G9" s="64">
        <v>0</v>
      </c>
      <c r="H9" s="64">
        <v>0</v>
      </c>
      <c r="I9" s="64">
        <v>0</v>
      </c>
      <c r="K9" s="34" t="s">
        <v>52</v>
      </c>
      <c r="L9">
        <v>20</v>
      </c>
      <c r="M9">
        <v>16</v>
      </c>
      <c r="N9">
        <v>12</v>
      </c>
      <c r="O9">
        <v>8</v>
      </c>
      <c r="P9" s="64">
        <v>4</v>
      </c>
      <c r="Q9" s="64">
        <v>0</v>
      </c>
      <c r="R9" s="64">
        <v>0</v>
      </c>
      <c r="S9" s="64">
        <v>0</v>
      </c>
    </row>
    <row r="10" spans="1:40">
      <c r="A10" s="34" t="s">
        <v>53</v>
      </c>
      <c r="B10" s="44">
        <v>40</v>
      </c>
      <c r="C10" s="44">
        <v>32</v>
      </c>
      <c r="D10" s="44">
        <v>24</v>
      </c>
      <c r="E10" s="44">
        <v>16</v>
      </c>
      <c r="F10" s="44">
        <v>8</v>
      </c>
      <c r="G10" s="44">
        <v>0</v>
      </c>
      <c r="H10" s="44">
        <v>0</v>
      </c>
      <c r="I10" s="44">
        <v>0</v>
      </c>
      <c r="K10" s="34" t="s">
        <v>53</v>
      </c>
      <c r="L10" s="44">
        <f>SUM(L8:L9)</f>
        <v>40</v>
      </c>
      <c r="M10" s="44">
        <f t="shared" ref="M10:S10" si="1">SUM(M8:M9)</f>
        <v>32</v>
      </c>
      <c r="N10" s="44">
        <f t="shared" si="1"/>
        <v>24</v>
      </c>
      <c r="O10" s="44">
        <f t="shared" si="1"/>
        <v>16</v>
      </c>
      <c r="P10" s="44">
        <f t="shared" si="1"/>
        <v>8</v>
      </c>
      <c r="Q10" s="44">
        <f t="shared" si="1"/>
        <v>0</v>
      </c>
      <c r="R10" s="44">
        <f t="shared" si="1"/>
        <v>0</v>
      </c>
      <c r="S10" s="44">
        <f t="shared" si="1"/>
        <v>0</v>
      </c>
      <c r="T10" s="34"/>
      <c r="U10" s="34"/>
      <c r="V10" s="34"/>
      <c r="W10" s="34"/>
      <c r="X10" s="34"/>
      <c r="Y10" s="34"/>
      <c r="Z10" s="34"/>
      <c r="AA10" s="34"/>
      <c r="AB10" s="34"/>
      <c r="AC10" s="34"/>
      <c r="AD10" s="34"/>
      <c r="AE10" s="34"/>
    </row>
    <row r="12" spans="1:40">
      <c r="A12" s="34" t="s">
        <v>54</v>
      </c>
      <c r="B12">
        <v>10</v>
      </c>
      <c r="C12">
        <v>10</v>
      </c>
      <c r="D12">
        <v>10</v>
      </c>
      <c r="E12">
        <v>10</v>
      </c>
      <c r="F12">
        <v>10</v>
      </c>
      <c r="G12">
        <v>10</v>
      </c>
      <c r="H12">
        <v>10</v>
      </c>
      <c r="I12">
        <v>10</v>
      </c>
      <c r="K12" s="34" t="s">
        <v>54</v>
      </c>
      <c r="L12">
        <v>10</v>
      </c>
      <c r="M12">
        <v>10</v>
      </c>
      <c r="N12">
        <v>10</v>
      </c>
      <c r="O12">
        <v>10</v>
      </c>
      <c r="P12">
        <v>10</v>
      </c>
      <c r="Q12">
        <v>10</v>
      </c>
      <c r="R12">
        <v>10</v>
      </c>
      <c r="S12">
        <v>10</v>
      </c>
    </row>
    <row r="13" spans="1:40">
      <c r="A13" s="34" t="s">
        <v>55</v>
      </c>
      <c r="C13">
        <v>6</v>
      </c>
      <c r="D13">
        <v>10.5</v>
      </c>
      <c r="E13">
        <v>17.5</v>
      </c>
      <c r="F13">
        <v>31</v>
      </c>
      <c r="G13">
        <v>63.5</v>
      </c>
      <c r="H13">
        <v>74.5</v>
      </c>
      <c r="I13">
        <v>86</v>
      </c>
      <c r="K13" s="34" t="s">
        <v>55</v>
      </c>
      <c r="M13">
        <v>6</v>
      </c>
      <c r="N13">
        <f>12.5-2</f>
        <v>10.5</v>
      </c>
      <c r="O13">
        <f>N13+7</f>
        <v>17.5</v>
      </c>
      <c r="P13">
        <f>O13+5.5+5.5+2.5</f>
        <v>31</v>
      </c>
      <c r="Q13">
        <f>P13+(5.5*5)+(0.5*10)</f>
        <v>63.5</v>
      </c>
      <c r="R13">
        <f>Q13+5.5+(0.5*11)</f>
        <v>74.5</v>
      </c>
      <c r="S13">
        <f>R13+5.5+(0.5*12)</f>
        <v>86</v>
      </c>
    </row>
    <row r="14" spans="1:40">
      <c r="A14" s="34" t="s">
        <v>56</v>
      </c>
      <c r="D14" s="62">
        <v>-2</v>
      </c>
      <c r="E14" s="62">
        <v>-2</v>
      </c>
      <c r="F14" s="62">
        <v>-2</v>
      </c>
      <c r="G14" s="62">
        <v>-2</v>
      </c>
      <c r="H14" s="62">
        <v>-10</v>
      </c>
      <c r="I14" s="62">
        <v>-2</v>
      </c>
      <c r="K14" s="34" t="s">
        <v>56</v>
      </c>
      <c r="N14" s="62">
        <v>-2</v>
      </c>
      <c r="O14" s="62">
        <v>-2</v>
      </c>
      <c r="P14" s="62">
        <v>-2</v>
      </c>
      <c r="Q14" s="62">
        <v>-2</v>
      </c>
      <c r="R14" s="62">
        <v>-10</v>
      </c>
      <c r="S14" s="62">
        <v>-2</v>
      </c>
    </row>
    <row r="15" spans="1:40">
      <c r="A15" s="34" t="s">
        <v>57</v>
      </c>
      <c r="B15" s="45">
        <v>10</v>
      </c>
      <c r="C15" s="45">
        <v>16</v>
      </c>
      <c r="D15" s="45">
        <v>18.5</v>
      </c>
      <c r="E15" s="45">
        <v>25.5</v>
      </c>
      <c r="F15" s="45">
        <v>39</v>
      </c>
      <c r="G15" s="45">
        <v>71.5</v>
      </c>
      <c r="H15" s="45">
        <v>74.5</v>
      </c>
      <c r="I15" s="45">
        <v>94</v>
      </c>
      <c r="K15" s="34" t="s">
        <v>57</v>
      </c>
      <c r="L15" s="45">
        <f>SUM(L12:L14)</f>
        <v>10</v>
      </c>
      <c r="M15" s="45">
        <f>SUM(M12:M14)</f>
        <v>16</v>
      </c>
      <c r="N15" s="45">
        <f>SUM(N12:N14)</f>
        <v>18.5</v>
      </c>
      <c r="O15" s="45">
        <f>SUM(O12:O14)</f>
        <v>25.5</v>
      </c>
      <c r="P15" s="45">
        <f>SUM(P12:P14)</f>
        <v>39</v>
      </c>
      <c r="Q15" s="45">
        <f>SUM(Q12:Q14)</f>
        <v>71.5</v>
      </c>
      <c r="R15" s="45">
        <f>SUM(R12:R14)</f>
        <v>74.5</v>
      </c>
      <c r="S15" s="45">
        <f>SUM(S12:S14)</f>
        <v>94</v>
      </c>
      <c r="T15" s="34"/>
      <c r="U15" s="34"/>
      <c r="V15" s="34"/>
      <c r="W15" s="34"/>
      <c r="X15" s="34"/>
      <c r="Y15" s="34"/>
      <c r="Z15" s="34"/>
      <c r="AA15" s="34"/>
      <c r="AB15" s="34"/>
      <c r="AC15" s="34"/>
      <c r="AD15" s="34"/>
      <c r="AE15" s="34"/>
    </row>
    <row r="16" spans="1:40">
      <c r="A16" s="34" t="s">
        <v>58</v>
      </c>
      <c r="B16" s="44">
        <v>50</v>
      </c>
      <c r="C16" s="44">
        <v>48</v>
      </c>
      <c r="D16" s="44">
        <v>42.5</v>
      </c>
      <c r="E16" s="44">
        <v>41.5</v>
      </c>
      <c r="F16" s="44">
        <v>47</v>
      </c>
      <c r="G16" s="44">
        <v>71.5</v>
      </c>
      <c r="H16" s="44">
        <v>74.5</v>
      </c>
      <c r="I16" s="44">
        <v>94</v>
      </c>
      <c r="K16" s="34" t="s">
        <v>58</v>
      </c>
      <c r="L16" s="44">
        <f>L10+L15</f>
        <v>50</v>
      </c>
      <c r="M16" s="44">
        <f>M10+M15</f>
        <v>48</v>
      </c>
      <c r="N16" s="44">
        <f>N10+N15</f>
        <v>42.5</v>
      </c>
      <c r="O16" s="44">
        <f>O10+O15</f>
        <v>41.5</v>
      </c>
      <c r="P16" s="44">
        <f>P10+P15</f>
        <v>47</v>
      </c>
      <c r="Q16" s="44">
        <f>Q10+Q15</f>
        <v>71.5</v>
      </c>
      <c r="R16" s="44">
        <f>R10+R15</f>
        <v>74.5</v>
      </c>
      <c r="S16" s="44">
        <f>S10+S15</f>
        <v>94</v>
      </c>
      <c r="T16" s="34"/>
      <c r="U16" s="34"/>
      <c r="V16" s="34"/>
      <c r="W16" s="34"/>
      <c r="X16" s="34"/>
      <c r="Y16" s="34"/>
      <c r="Z16" s="34"/>
      <c r="AA16" s="34"/>
      <c r="AB16" s="34"/>
      <c r="AC16" s="34"/>
      <c r="AD16" s="34"/>
      <c r="AE16" s="34"/>
    </row>
    <row r="18" spans="1:31">
      <c r="A18" s="46" t="s">
        <v>59</v>
      </c>
      <c r="C18" s="34">
        <v>10</v>
      </c>
      <c r="D18" s="34">
        <v>20</v>
      </c>
      <c r="E18" s="34">
        <v>30</v>
      </c>
      <c r="F18" s="34">
        <v>50</v>
      </c>
      <c r="G18" s="34">
        <v>100</v>
      </c>
      <c r="H18" s="34">
        <v>110</v>
      </c>
      <c r="I18" s="34">
        <v>120</v>
      </c>
      <c r="K18" s="46" t="s">
        <v>59</v>
      </c>
      <c r="M18" s="34">
        <v>10</v>
      </c>
      <c r="N18" s="34">
        <v>20</v>
      </c>
      <c r="O18" s="34">
        <v>30</v>
      </c>
      <c r="P18" s="34">
        <v>50</v>
      </c>
      <c r="Q18" s="34">
        <v>100</v>
      </c>
      <c r="R18" s="34">
        <v>110</v>
      </c>
      <c r="S18" s="34">
        <v>120</v>
      </c>
      <c r="T18" s="34"/>
      <c r="U18" s="34"/>
      <c r="V18" s="34"/>
      <c r="W18" s="34"/>
      <c r="X18" s="34"/>
      <c r="Y18" s="34"/>
      <c r="Z18" s="34"/>
      <c r="AA18" s="34"/>
      <c r="AB18" s="34"/>
      <c r="AC18" s="34"/>
      <c r="AD18" s="34"/>
      <c r="AE18" s="34"/>
    </row>
    <row r="20" spans="1:31">
      <c r="A20" s="47" t="s">
        <v>60</v>
      </c>
      <c r="B20" s="47">
        <f>B16-B6</f>
        <v>0</v>
      </c>
      <c r="C20" s="47">
        <f>C16-C6</f>
        <v>0</v>
      </c>
      <c r="D20" s="47">
        <f>D16-D6</f>
        <v>0</v>
      </c>
      <c r="E20" s="47">
        <f>E16-E6</f>
        <v>0</v>
      </c>
      <c r="F20" s="47">
        <f>F16-F6</f>
        <v>0</v>
      </c>
      <c r="G20" s="47">
        <f>G16-G6</f>
        <v>0</v>
      </c>
      <c r="H20" s="47">
        <f>H16-H6</f>
        <v>0</v>
      </c>
      <c r="I20" s="47">
        <f>I16-I6</f>
        <v>0</v>
      </c>
      <c r="K20" s="47" t="s">
        <v>60</v>
      </c>
      <c r="L20" s="47">
        <f>L16-L6</f>
        <v>0</v>
      </c>
      <c r="M20" s="47">
        <f>M16-M6</f>
        <v>0</v>
      </c>
      <c r="N20" s="47">
        <f>N16-N6</f>
        <v>0</v>
      </c>
      <c r="O20" s="47">
        <f>O16-O6</f>
        <v>0</v>
      </c>
      <c r="P20" s="47">
        <f>P16-P6</f>
        <v>0</v>
      </c>
      <c r="Q20" s="47">
        <f>Q16-Q6</f>
        <v>0</v>
      </c>
      <c r="R20" s="47">
        <f>R16-R6</f>
        <v>0</v>
      </c>
      <c r="S20" s="47">
        <f>S16-S6</f>
        <v>0</v>
      </c>
      <c r="T20" s="47"/>
      <c r="U20" s="47"/>
      <c r="V20" s="47"/>
      <c r="W20" s="47"/>
      <c r="X20" s="47"/>
      <c r="Y20" s="47"/>
      <c r="Z20" s="47"/>
      <c r="AA20" s="47"/>
      <c r="AB20" s="47"/>
      <c r="AC20" s="47"/>
      <c r="AD20" s="47"/>
      <c r="AE20" s="47"/>
    </row>
    <row r="35" spans="43:43">
      <c r="AQ35" t="s">
        <v>61</v>
      </c>
    </row>
  </sheetData>
  <mergeCells count="2">
    <mergeCell ref="L1:Q1"/>
    <mergeCell ref="B1:G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011D3-4E06-4165-82CC-84152D083034}">
  <dimension ref="A1:I19"/>
  <sheetViews>
    <sheetView workbookViewId="0">
      <selection activeCell="G10" sqref="G10"/>
    </sheetView>
  </sheetViews>
  <sheetFormatPr defaultColWidth="16.7109375" defaultRowHeight="14.45"/>
  <cols>
    <col min="1" max="5" width="16.7109375" style="23"/>
    <col min="10" max="16384" width="16.7109375" style="23"/>
  </cols>
  <sheetData>
    <row r="1" spans="1:9" ht="28.9">
      <c r="A1" s="22" t="s">
        <v>62</v>
      </c>
      <c r="B1" s="22" t="s">
        <v>63</v>
      </c>
      <c r="C1" s="22" t="s">
        <v>64</v>
      </c>
      <c r="D1" s="22" t="s">
        <v>65</v>
      </c>
      <c r="F1" s="23"/>
      <c r="G1" s="23"/>
      <c r="H1" s="23"/>
      <c r="I1" s="23"/>
    </row>
    <row r="2" spans="1:9" ht="43.15">
      <c r="A2" s="24" t="s">
        <v>6</v>
      </c>
      <c r="B2" s="25"/>
      <c r="C2" s="25"/>
      <c r="D2" s="25"/>
      <c r="F2" s="23"/>
      <c r="G2" s="23"/>
      <c r="H2" s="23"/>
      <c r="I2" s="23"/>
    </row>
    <row r="3" spans="1:9" ht="43.15">
      <c r="A3" s="25" t="s">
        <v>66</v>
      </c>
      <c r="B3" s="25" t="s">
        <v>67</v>
      </c>
      <c r="C3" s="25" t="s">
        <v>68</v>
      </c>
      <c r="D3" s="25" t="s">
        <v>69</v>
      </c>
      <c r="F3" s="23"/>
      <c r="G3" s="23"/>
      <c r="H3" s="23"/>
      <c r="I3" s="23"/>
    </row>
    <row r="4" spans="1:9" ht="43.15">
      <c r="A4" s="25" t="s">
        <v>70</v>
      </c>
      <c r="B4" s="25" t="s">
        <v>71</v>
      </c>
      <c r="C4" s="25" t="s">
        <v>72</v>
      </c>
      <c r="D4" s="25" t="s">
        <v>73</v>
      </c>
      <c r="F4" s="23"/>
      <c r="G4" s="23"/>
      <c r="H4" s="23"/>
      <c r="I4" s="23"/>
    </row>
    <row r="5" spans="1:9" ht="28.9">
      <c r="A5" s="26" t="s">
        <v>12</v>
      </c>
      <c r="B5" s="27"/>
      <c r="C5" s="27"/>
      <c r="D5" s="27"/>
      <c r="F5" s="23"/>
      <c r="G5" s="23"/>
      <c r="H5" s="23"/>
      <c r="I5" s="23"/>
    </row>
    <row r="6" spans="1:9" ht="57.6">
      <c r="A6" s="27" t="s">
        <v>74</v>
      </c>
      <c r="B6" s="27" t="s">
        <v>75</v>
      </c>
      <c r="C6" s="27" t="s">
        <v>76</v>
      </c>
      <c r="D6" s="27" t="s">
        <v>77</v>
      </c>
      <c r="F6" s="23"/>
      <c r="G6" s="23"/>
      <c r="H6" s="23"/>
      <c r="I6" s="23"/>
    </row>
    <row r="7" spans="1:9" ht="43.15">
      <c r="A7" s="27" t="s">
        <v>78</v>
      </c>
      <c r="B7" s="27" t="s">
        <v>79</v>
      </c>
      <c r="C7" s="27" t="s">
        <v>80</v>
      </c>
      <c r="D7" s="27" t="s">
        <v>77</v>
      </c>
      <c r="F7" s="23"/>
      <c r="G7" s="23"/>
      <c r="H7" s="23"/>
      <c r="I7" s="23"/>
    </row>
    <row r="8" spans="1:9" ht="43.15">
      <c r="A8" s="28" t="s">
        <v>81</v>
      </c>
      <c r="B8" s="29"/>
      <c r="C8" s="29"/>
      <c r="D8" s="29"/>
      <c r="F8" s="23"/>
      <c r="G8" s="23"/>
      <c r="H8" s="23"/>
      <c r="I8" s="23"/>
    </row>
    <row r="9" spans="1:9" ht="43.15">
      <c r="A9" s="29" t="s">
        <v>82</v>
      </c>
      <c r="B9" s="29" t="s">
        <v>83</v>
      </c>
      <c r="C9" s="29" t="s">
        <v>84</v>
      </c>
      <c r="D9" s="29" t="s">
        <v>85</v>
      </c>
      <c r="F9" s="23"/>
      <c r="G9" s="23"/>
      <c r="H9" s="23"/>
      <c r="I9" s="23"/>
    </row>
    <row r="10" spans="1:9" ht="43.15">
      <c r="A10" s="29" t="s">
        <v>86</v>
      </c>
      <c r="B10" s="29" t="s">
        <v>87</v>
      </c>
      <c r="C10" s="29" t="s">
        <v>88</v>
      </c>
      <c r="D10" s="29" t="s">
        <v>89</v>
      </c>
      <c r="F10" s="23"/>
      <c r="G10" s="23"/>
      <c r="H10" s="23"/>
      <c r="I10" s="23"/>
    </row>
    <row r="11" spans="1:9" ht="28.9">
      <c r="A11" s="28" t="s">
        <v>90</v>
      </c>
      <c r="B11" s="29"/>
      <c r="C11" s="29"/>
      <c r="D11" s="29"/>
      <c r="F11" s="23"/>
      <c r="G11" s="23"/>
      <c r="H11" s="23"/>
      <c r="I11" s="23"/>
    </row>
    <row r="12" spans="1:9" ht="43.15">
      <c r="A12" s="29" t="s">
        <v>91</v>
      </c>
      <c r="B12" s="29" t="s">
        <v>92</v>
      </c>
      <c r="C12" s="29" t="s">
        <v>93</v>
      </c>
      <c r="D12" s="29" t="s">
        <v>94</v>
      </c>
      <c r="F12" s="23"/>
      <c r="G12" s="23"/>
      <c r="H12" s="23"/>
      <c r="I12" s="23"/>
    </row>
    <row r="13" spans="1:9">
      <c r="A13" s="30" t="s">
        <v>95</v>
      </c>
      <c r="B13" s="31"/>
      <c r="C13" s="31"/>
      <c r="D13" s="31"/>
      <c r="F13" s="23"/>
      <c r="G13" s="23"/>
      <c r="H13" s="23"/>
      <c r="I13" s="23"/>
    </row>
    <row r="14" spans="1:9" ht="43.15">
      <c r="A14" s="31" t="s">
        <v>96</v>
      </c>
      <c r="B14" s="31" t="s">
        <v>97</v>
      </c>
      <c r="C14" s="31" t="s">
        <v>98</v>
      </c>
      <c r="D14" s="31" t="s">
        <v>99</v>
      </c>
      <c r="F14" s="23"/>
      <c r="G14" s="23"/>
      <c r="H14" s="23"/>
      <c r="I14" s="23"/>
    </row>
    <row r="15" spans="1:9" ht="43.15">
      <c r="A15" s="30" t="s">
        <v>100</v>
      </c>
      <c r="B15" s="31" t="s">
        <v>101</v>
      </c>
      <c r="C15" s="31" t="s">
        <v>102</v>
      </c>
      <c r="D15" s="31" t="s">
        <v>103</v>
      </c>
      <c r="F15" s="23"/>
      <c r="G15" s="23"/>
      <c r="H15" s="23"/>
      <c r="I15" s="23"/>
    </row>
    <row r="16" spans="1:9" ht="43.15">
      <c r="A16" s="30" t="s">
        <v>104</v>
      </c>
      <c r="B16" s="31" t="s">
        <v>105</v>
      </c>
      <c r="C16" s="31" t="s">
        <v>106</v>
      </c>
      <c r="D16" s="31" t="s">
        <v>107</v>
      </c>
      <c r="F16" s="23"/>
      <c r="G16" s="23"/>
      <c r="H16" s="23"/>
      <c r="I16" s="23"/>
    </row>
    <row r="17" spans="1:9" ht="28.9">
      <c r="A17" s="30" t="s">
        <v>108</v>
      </c>
      <c r="B17" s="31"/>
      <c r="C17" s="31"/>
      <c r="D17" s="31"/>
      <c r="F17" s="23"/>
      <c r="G17" s="23"/>
      <c r="H17" s="23"/>
      <c r="I17" s="23"/>
    </row>
    <row r="18" spans="1:9" ht="28.9">
      <c r="A18" s="31" t="s">
        <v>109</v>
      </c>
      <c r="B18" s="31" t="s">
        <v>110</v>
      </c>
      <c r="C18" s="31" t="s">
        <v>103</v>
      </c>
      <c r="D18" s="31" t="s">
        <v>111</v>
      </c>
      <c r="F18" s="23"/>
      <c r="G18" s="23"/>
      <c r="H18" s="23"/>
      <c r="I18" s="23"/>
    </row>
    <row r="19" spans="1:9" ht="28.9">
      <c r="A19" s="31" t="s">
        <v>112</v>
      </c>
      <c r="B19" s="31" t="s">
        <v>113</v>
      </c>
      <c r="C19" s="31" t="s">
        <v>114</v>
      </c>
      <c r="D19" s="31" t="s">
        <v>115</v>
      </c>
      <c r="F19" s="23"/>
      <c r="G19" s="23"/>
      <c r="H19" s="23"/>
      <c r="I19"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DC488-5A93-427C-B4D0-1355450A3277}">
  <dimension ref="A1:N79"/>
  <sheetViews>
    <sheetView workbookViewId="0">
      <selection activeCell="K24" sqref="K24"/>
    </sheetView>
  </sheetViews>
  <sheetFormatPr defaultRowHeight="14.45"/>
  <cols>
    <col min="14" max="14" width="141.7109375" style="33" customWidth="1"/>
  </cols>
  <sheetData>
    <row r="1" spans="1:14" ht="18">
      <c r="N1" s="32" t="s">
        <v>116</v>
      </c>
    </row>
    <row r="2" spans="1:14">
      <c r="A2" s="34" t="s">
        <v>117</v>
      </c>
      <c r="N2" s="35"/>
    </row>
    <row r="3" spans="1:14">
      <c r="N3" s="36" t="s">
        <v>118</v>
      </c>
    </row>
    <row r="4" spans="1:14">
      <c r="A4" s="37" t="s">
        <v>119</v>
      </c>
      <c r="N4" s="35"/>
    </row>
    <row r="5" spans="1:14">
      <c r="A5" s="37" t="s">
        <v>120</v>
      </c>
      <c r="N5" s="35"/>
    </row>
    <row r="6" spans="1:14" ht="28.9">
      <c r="N6" s="35" t="s">
        <v>121</v>
      </c>
    </row>
    <row r="7" spans="1:14">
      <c r="A7" s="37" t="s">
        <v>122</v>
      </c>
      <c r="N7" s="35"/>
    </row>
    <row r="8" spans="1:14">
      <c r="A8" s="37" t="s">
        <v>123</v>
      </c>
      <c r="N8" s="36" t="s">
        <v>124</v>
      </c>
    </row>
    <row r="9" spans="1:14">
      <c r="N9" s="35"/>
    </row>
    <row r="10" spans="1:14">
      <c r="A10" s="37" t="s">
        <v>125</v>
      </c>
      <c r="N10" s="35"/>
    </row>
    <row r="11" spans="1:14" ht="28.9">
      <c r="A11" s="37" t="s">
        <v>123</v>
      </c>
      <c r="N11" s="35" t="s">
        <v>126</v>
      </c>
    </row>
    <row r="12" spans="1:14">
      <c r="N12" s="35"/>
    </row>
    <row r="13" spans="1:14">
      <c r="A13" s="37" t="s">
        <v>127</v>
      </c>
      <c r="N13" s="36" t="s">
        <v>128</v>
      </c>
    </row>
    <row r="14" spans="1:14">
      <c r="A14" s="37" t="s">
        <v>129</v>
      </c>
      <c r="N14" s="35"/>
    </row>
    <row r="15" spans="1:14">
      <c r="N15" s="35"/>
    </row>
    <row r="16" spans="1:14" ht="45.6" customHeight="1">
      <c r="A16" s="69" t="s">
        <v>130</v>
      </c>
      <c r="B16" s="69"/>
      <c r="C16" s="69"/>
      <c r="D16" s="69"/>
      <c r="E16" s="69"/>
      <c r="F16" s="69"/>
      <c r="G16" s="69"/>
      <c r="H16" s="69"/>
      <c r="I16" s="69"/>
      <c r="J16" s="69"/>
      <c r="K16" s="69"/>
      <c r="L16" s="69"/>
      <c r="N16" s="36" t="s">
        <v>131</v>
      </c>
    </row>
    <row r="17" spans="1:14" ht="45.6" customHeight="1">
      <c r="A17" s="69"/>
      <c r="B17" s="69"/>
      <c r="C17" s="69"/>
      <c r="D17" s="69"/>
      <c r="E17" s="69"/>
      <c r="F17" s="69"/>
      <c r="G17" s="69"/>
      <c r="H17" s="69"/>
      <c r="I17" s="69"/>
      <c r="J17" s="69"/>
      <c r="K17" s="69"/>
      <c r="L17" s="69"/>
      <c r="N17" s="36" t="s">
        <v>132</v>
      </c>
    </row>
    <row r="18" spans="1:14">
      <c r="N18" s="35"/>
    </row>
    <row r="19" spans="1:14">
      <c r="N19" s="36" t="s">
        <v>133</v>
      </c>
    </row>
    <row r="20" spans="1:14">
      <c r="N20" s="35"/>
    </row>
    <row r="21" spans="1:14">
      <c r="N21" s="35"/>
    </row>
    <row r="22" spans="1:14">
      <c r="N22" s="35" t="s">
        <v>134</v>
      </c>
    </row>
    <row r="24" spans="1:14" ht="18">
      <c r="N24" s="32" t="s">
        <v>135</v>
      </c>
    </row>
    <row r="26" spans="1:14">
      <c r="N26" s="33" t="s">
        <v>136</v>
      </c>
    </row>
    <row r="28" spans="1:14">
      <c r="N28" s="33" t="s">
        <v>137</v>
      </c>
    </row>
    <row r="30" spans="1:14">
      <c r="N30" s="33" t="s">
        <v>138</v>
      </c>
    </row>
    <row r="31" spans="1:14">
      <c r="N31" s="35"/>
    </row>
    <row r="32" spans="1:14">
      <c r="N32" s="35" t="s">
        <v>139</v>
      </c>
    </row>
    <row r="33" spans="14:14">
      <c r="N33" s="35" t="s">
        <v>140</v>
      </c>
    </row>
    <row r="35" spans="14:14">
      <c r="N35" s="33" t="s">
        <v>141</v>
      </c>
    </row>
    <row r="37" spans="14:14" ht="28.9">
      <c r="N37" s="33" t="s">
        <v>142</v>
      </c>
    </row>
    <row r="39" spans="14:14">
      <c r="N39" s="33" t="s">
        <v>143</v>
      </c>
    </row>
    <row r="41" spans="14:14" ht="18">
      <c r="N41" s="32" t="s">
        <v>144</v>
      </c>
    </row>
    <row r="43" spans="14:14">
      <c r="N43" s="33" t="s">
        <v>145</v>
      </c>
    </row>
    <row r="45" spans="14:14" ht="28.9">
      <c r="N45" s="33" t="s">
        <v>146</v>
      </c>
    </row>
    <row r="47" spans="14:14">
      <c r="N47" s="33" t="s">
        <v>147</v>
      </c>
    </row>
    <row r="49" spans="14:14">
      <c r="N49" s="33" t="s">
        <v>148</v>
      </c>
    </row>
    <row r="51" spans="14:14">
      <c r="N51" s="33" t="s">
        <v>149</v>
      </c>
    </row>
    <row r="53" spans="14:14" ht="28.9">
      <c r="N53" s="33" t="s">
        <v>150</v>
      </c>
    </row>
    <row r="55" spans="14:14" ht="18">
      <c r="N55" s="32" t="s">
        <v>151</v>
      </c>
    </row>
    <row r="57" spans="14:14">
      <c r="N57" s="33" t="s">
        <v>152</v>
      </c>
    </row>
    <row r="58" spans="14:14">
      <c r="N58" s="35"/>
    </row>
    <row r="59" spans="14:14">
      <c r="N59" s="36" t="s">
        <v>153</v>
      </c>
    </row>
    <row r="60" spans="14:14" ht="28.9">
      <c r="N60" s="35" t="s">
        <v>154</v>
      </c>
    </row>
    <row r="61" spans="14:14" ht="28.9">
      <c r="N61" s="36" t="s">
        <v>155</v>
      </c>
    </row>
    <row r="63" spans="14:14" ht="18">
      <c r="N63" s="32" t="s">
        <v>156</v>
      </c>
    </row>
    <row r="65" spans="14:14">
      <c r="N65" s="33" t="s">
        <v>157</v>
      </c>
    </row>
    <row r="67" spans="14:14" ht="43.15">
      <c r="N67" s="33" t="s">
        <v>158</v>
      </c>
    </row>
    <row r="69" spans="14:14" ht="18">
      <c r="N69" s="32" t="s">
        <v>159</v>
      </c>
    </row>
    <row r="71" spans="14:14">
      <c r="N71" s="33" t="s">
        <v>160</v>
      </c>
    </row>
    <row r="73" spans="14:14" ht="43.15">
      <c r="N73" s="33" t="s">
        <v>161</v>
      </c>
    </row>
    <row r="75" spans="14:14" ht="18">
      <c r="N75" s="32" t="s">
        <v>162</v>
      </c>
    </row>
    <row r="77" spans="14:14">
      <c r="N77" s="33" t="s">
        <v>163</v>
      </c>
    </row>
    <row r="79" spans="14:14" ht="28.9">
      <c r="N79" s="33" t="s">
        <v>164</v>
      </c>
    </row>
  </sheetData>
  <mergeCells count="1">
    <mergeCell ref="A16:L17"/>
  </mergeCells>
  <hyperlinks>
    <hyperlink ref="A4" r:id="rId1" display="https://chatgpt.com/backend-api/bing/redirect?query=current+price+piezoelectric+material+per+piece+or+per+square+meter" xr:uid="{7067479C-1CB4-4ACF-B47D-AFB7EC87F119}"/>
    <hyperlink ref="A5" r:id="rId2" display="https://chatgpt.com/backend-api/bing/redirect?query=current+price+piezoelectric+material+per+piece+or+per+square+meter" xr:uid="{1C2F6E61-7109-466C-AABD-45314BB4FEEF}"/>
    <hyperlink ref="A7" r:id="rId3" display="https://www.americanpiezo.com/products-services/sale/piezoelectric-ceramics/" xr:uid="{0B773C13-A94D-4C84-9419-6C73039301C5}"/>
    <hyperlink ref="A8" r:id="rId4" display="https://www.americanpiezo.com/products-services/sale/piezoelectric-ceramics/" xr:uid="{745C4FFB-A937-488C-A6FE-7F1F4A98F820}"/>
    <hyperlink ref="A10" r:id="rId5" display="https://www.americanpiezo.com/" xr:uid="{CB8A92A8-5243-4C64-AAFD-5EA64C14EB7C}"/>
    <hyperlink ref="A11" r:id="rId6" display="https://www.americanpiezo.com/" xr:uid="{7CC66F9F-293E-4004-A1EE-3313B5724715}"/>
    <hyperlink ref="A13" r:id="rId7" display="https://www.piezohannas.com/news/piezoelectric+materials+cost.html" xr:uid="{75F32840-44B2-406B-BD1C-84882FE90A9F}"/>
    <hyperlink ref="A14" r:id="rId8" display="https://www.piezohannas.com/news/piezoelectric+materials+cost.html" xr:uid="{876F5761-7A8A-4E12-A8C2-97D6E06575BC}"/>
  </hyperlinks>
  <pageMargins left="0.7" right="0.7" top="0.75" bottom="0.75" header="0.3" footer="0.3"/>
  <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11486-BD00-4DC8-89FA-6B0BC52D8BC3}">
  <dimension ref="A1:A85"/>
  <sheetViews>
    <sheetView workbookViewId="0"/>
  </sheetViews>
  <sheetFormatPr defaultRowHeight="14.45"/>
  <cols>
    <col min="1" max="1" width="141.7109375" style="33" customWidth="1"/>
  </cols>
  <sheetData>
    <row r="1" spans="1:1" ht="28.9">
      <c r="A1" s="33" t="s">
        <v>165</v>
      </c>
    </row>
    <row r="3" spans="1:1" ht="18">
      <c r="A3" s="32" t="s">
        <v>166</v>
      </c>
    </row>
    <row r="5" spans="1:1">
      <c r="A5" s="33" t="s">
        <v>167</v>
      </c>
    </row>
    <row r="6" spans="1:1">
      <c r="A6" s="35"/>
    </row>
    <row r="7" spans="1:1">
      <c r="A7" s="36" t="s">
        <v>168</v>
      </c>
    </row>
    <row r="8" spans="1:1">
      <c r="A8" s="35"/>
    </row>
    <row r="9" spans="1:1">
      <c r="A9" s="35" t="s">
        <v>169</v>
      </c>
    </row>
    <row r="10" spans="1:1">
      <c r="A10" s="35"/>
    </row>
    <row r="11" spans="1:1" ht="57.6">
      <c r="A11" s="35" t="s">
        <v>170</v>
      </c>
    </row>
    <row r="12" spans="1:1">
      <c r="A12" s="35"/>
    </row>
    <row r="13" spans="1:1">
      <c r="A13" s="35" t="s">
        <v>171</v>
      </c>
    </row>
    <row r="14" spans="1:1">
      <c r="A14" s="35"/>
    </row>
    <row r="15" spans="1:1" ht="28.9">
      <c r="A15" s="35" t="s">
        <v>172</v>
      </c>
    </row>
    <row r="16" spans="1:1" ht="45.6" customHeight="1"/>
    <row r="17" spans="1:1" ht="45.6" customHeight="1">
      <c r="A17" s="33" t="s">
        <v>173</v>
      </c>
    </row>
    <row r="19" spans="1:1" ht="18">
      <c r="A19" s="32" t="s">
        <v>174</v>
      </c>
    </row>
    <row r="21" spans="1:1">
      <c r="A21" s="33" t="s">
        <v>175</v>
      </c>
    </row>
    <row r="22" spans="1:1">
      <c r="A22" s="35"/>
    </row>
    <row r="23" spans="1:1">
      <c r="A23" s="36" t="s">
        <v>176</v>
      </c>
    </row>
    <row r="24" spans="1:1">
      <c r="A24" s="35"/>
    </row>
    <row r="25" spans="1:1">
      <c r="A25" s="35" t="s">
        <v>177</v>
      </c>
    </row>
    <row r="26" spans="1:1">
      <c r="A26" s="35"/>
    </row>
    <row r="27" spans="1:1" ht="57.6">
      <c r="A27" s="35" t="s">
        <v>178</v>
      </c>
    </row>
    <row r="28" spans="1:1">
      <c r="A28" s="35"/>
    </row>
    <row r="29" spans="1:1">
      <c r="A29" s="35" t="s">
        <v>179</v>
      </c>
    </row>
    <row r="30" spans="1:1">
      <c r="A30" s="35"/>
    </row>
    <row r="31" spans="1:1" ht="28.9">
      <c r="A31" s="35" t="s">
        <v>180</v>
      </c>
    </row>
    <row r="33" spans="1:1">
      <c r="A33" s="33" t="s">
        <v>181</v>
      </c>
    </row>
    <row r="35" spans="1:1" ht="18">
      <c r="A35" s="32" t="s">
        <v>182</v>
      </c>
    </row>
    <row r="37" spans="1:1">
      <c r="A37" s="33" t="s">
        <v>183</v>
      </c>
    </row>
    <row r="38" spans="1:1">
      <c r="A38" s="35"/>
    </row>
    <row r="39" spans="1:1">
      <c r="A39" s="36" t="s">
        <v>184</v>
      </c>
    </row>
    <row r="40" spans="1:1">
      <c r="A40" s="35"/>
    </row>
    <row r="41" spans="1:1">
      <c r="A41" s="35" t="s">
        <v>185</v>
      </c>
    </row>
    <row r="42" spans="1:1">
      <c r="A42" s="35"/>
    </row>
    <row r="43" spans="1:1" ht="57.6">
      <c r="A43" s="35" t="s">
        <v>186</v>
      </c>
    </row>
    <row r="44" spans="1:1">
      <c r="A44" s="35"/>
    </row>
    <row r="45" spans="1:1">
      <c r="A45" s="35" t="s">
        <v>187</v>
      </c>
    </row>
    <row r="46" spans="1:1">
      <c r="A46" s="35"/>
    </row>
    <row r="47" spans="1:1" ht="28.9">
      <c r="A47" s="35" t="s">
        <v>188</v>
      </c>
    </row>
    <row r="49" spans="1:1">
      <c r="A49" s="33" t="s">
        <v>189</v>
      </c>
    </row>
    <row r="51" spans="1:1" ht="18">
      <c r="A51" s="32" t="s">
        <v>190</v>
      </c>
    </row>
    <row r="53" spans="1:1" ht="28.9">
      <c r="A53" s="33" t="s">
        <v>191</v>
      </c>
    </row>
    <row r="54" spans="1:1">
      <c r="A54" s="35"/>
    </row>
    <row r="55" spans="1:1">
      <c r="A55" s="36" t="s">
        <v>192</v>
      </c>
    </row>
    <row r="56" spans="1:1">
      <c r="A56" s="35"/>
    </row>
    <row r="57" spans="1:1">
      <c r="A57" s="35" t="s">
        <v>193</v>
      </c>
    </row>
    <row r="58" spans="1:1">
      <c r="A58" s="35"/>
    </row>
    <row r="59" spans="1:1" ht="28.9">
      <c r="A59" s="35" t="s">
        <v>194</v>
      </c>
    </row>
    <row r="60" spans="1:1">
      <c r="A60" s="35"/>
    </row>
    <row r="61" spans="1:1">
      <c r="A61" s="35" t="s">
        <v>195</v>
      </c>
    </row>
    <row r="62" spans="1:1">
      <c r="A62" s="35"/>
    </row>
    <row r="63" spans="1:1" ht="28.9">
      <c r="A63" s="35" t="s">
        <v>196</v>
      </c>
    </row>
    <row r="65" spans="1:1">
      <c r="A65" s="33" t="s">
        <v>197</v>
      </c>
    </row>
    <row r="67" spans="1:1" ht="18">
      <c r="A67" s="32" t="s">
        <v>198</v>
      </c>
    </row>
    <row r="69" spans="1:1">
      <c r="A69" s="33" t="s">
        <v>199</v>
      </c>
    </row>
    <row r="70" spans="1:1">
      <c r="A70" s="35"/>
    </row>
    <row r="71" spans="1:1">
      <c r="A71" s="36" t="s">
        <v>200</v>
      </c>
    </row>
    <row r="73" spans="1:1">
      <c r="A73" s="33" t="s">
        <v>201</v>
      </c>
    </row>
    <row r="75" spans="1:1" ht="18">
      <c r="A75" s="32" t="s">
        <v>202</v>
      </c>
    </row>
    <row r="76" spans="1:1">
      <c r="A76" s="35"/>
    </row>
    <row r="77" spans="1:1">
      <c r="A77" s="36" t="s">
        <v>203</v>
      </c>
    </row>
    <row r="78" spans="1:1">
      <c r="A78" s="36" t="s">
        <v>204</v>
      </c>
    </row>
    <row r="79" spans="1:1">
      <c r="A79" s="36" t="s">
        <v>205</v>
      </c>
    </row>
    <row r="80" spans="1:1">
      <c r="A80" s="36" t="s">
        <v>206</v>
      </c>
    </row>
    <row r="81" spans="1:1">
      <c r="A81" s="36" t="s">
        <v>207</v>
      </c>
    </row>
    <row r="83" spans="1:1" ht="18">
      <c r="A83" s="32" t="s">
        <v>208</v>
      </c>
    </row>
    <row r="85" spans="1:1" ht="43.15">
      <c r="A85" s="33" t="s">
        <v>209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SAP</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Magadia, Matthew</dc:creator>
  <cp:keywords/>
  <dc:description/>
  <cp:lastModifiedBy>Matthew Magadia</cp:lastModifiedBy>
  <cp:revision/>
  <dcterms:created xsi:type="dcterms:W3CDTF">2024-11-07T19:00:48Z</dcterms:created>
  <dcterms:modified xsi:type="dcterms:W3CDTF">2025-01-11T10:39:19Z</dcterms:modified>
  <cp:category/>
  <cp:contentStatus/>
</cp:coreProperties>
</file>