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ya\Desktop\"/>
    </mc:Choice>
  </mc:AlternateContent>
  <xr:revisionPtr revIDLastSave="0" documentId="8_{2F3F39D7-D0D0-466A-B986-CBB236167E7D}" xr6:coauthVersionLast="47" xr6:coauthVersionMax="47" xr10:uidLastSave="{00000000-0000-0000-0000-000000000000}"/>
  <bookViews>
    <workbookView xWindow="-110" yWindow="-110" windowWidth="19420" windowHeight="10300" activeTab="1" xr2:uid="{94BB4DE4-0CB9-4CA3-B819-2207B6EFC899}"/>
  </bookViews>
  <sheets>
    <sheet name="Euros Predictor (2)" sheetId="5" r:id="rId1"/>
    <sheet name="Euros Predicto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6" i="4" l="1"/>
  <c r="H56" i="4" s="1"/>
  <c r="G55" i="4"/>
  <c r="H55" i="4" s="1"/>
  <c r="J52" i="4"/>
  <c r="H52" i="4"/>
  <c r="I55" i="5"/>
  <c r="G55" i="5"/>
  <c r="J21" i="5"/>
  <c r="J19" i="5"/>
  <c r="J10" i="5"/>
  <c r="J7" i="5"/>
  <c r="O33" i="5" s="1" a="1"/>
  <c r="O33" i="5" s="1"/>
  <c r="J6" i="5"/>
  <c r="E46" i="5"/>
  <c r="C46" i="5"/>
  <c r="H40" i="5"/>
  <c r="B36" i="5"/>
  <c r="O35" i="5" a="1"/>
  <c r="O35" i="5" s="1"/>
  <c r="L35" i="5" a="1"/>
  <c r="L35" i="5" s="1"/>
  <c r="D34" i="5"/>
  <c r="L33" i="5" a="1"/>
  <c r="L33" i="5" s="1"/>
  <c r="N29" i="5"/>
  <c r="K29" i="5"/>
  <c r="F28" i="5"/>
  <c r="E26" i="5"/>
  <c r="D26" i="5"/>
  <c r="J25" i="5"/>
  <c r="E24" i="5"/>
  <c r="J24" i="5" s="1"/>
  <c r="D24" i="5"/>
  <c r="E23" i="5"/>
  <c r="J23" i="5" s="1"/>
  <c r="D23" i="5"/>
  <c r="J22" i="5"/>
  <c r="E22" i="5"/>
  <c r="D22" i="5"/>
  <c r="E20" i="5"/>
  <c r="J20" i="5" s="1"/>
  <c r="D20" i="5"/>
  <c r="E18" i="5"/>
  <c r="E28" i="5" s="1"/>
  <c r="D18" i="5"/>
  <c r="J17" i="5"/>
  <c r="J16" i="5"/>
  <c r="E15" i="5"/>
  <c r="J15" i="5" s="1"/>
  <c r="D15" i="5"/>
  <c r="J14" i="5"/>
  <c r="J13" i="5"/>
  <c r="J12" i="5"/>
  <c r="J11" i="5"/>
  <c r="J9" i="5"/>
  <c r="D9" i="5"/>
  <c r="J8" i="5"/>
  <c r="E6" i="5"/>
  <c r="D6" i="5"/>
  <c r="D28" i="5" s="1"/>
  <c r="J5" i="5"/>
  <c r="J4" i="5"/>
  <c r="J3" i="5"/>
  <c r="J2" i="5"/>
  <c r="E46" i="4"/>
  <c r="C46" i="4"/>
  <c r="N29" i="4"/>
  <c r="K29" i="4"/>
  <c r="O35" i="4" a="1"/>
  <c r="O35" i="4" s="1"/>
  <c r="L35" i="4" a="1"/>
  <c r="L35" i="4" s="1"/>
  <c r="O33" i="4" a="1"/>
  <c r="O33" i="4" s="1"/>
  <c r="L33" i="4" a="1"/>
  <c r="L33" i="4" s="1"/>
  <c r="O31" i="4" a="1"/>
  <c r="O31" i="4" s="1"/>
  <c r="B36" i="4"/>
  <c r="L31" i="4" a="1"/>
  <c r="L31" i="4" s="1"/>
  <c r="D34" i="4"/>
  <c r="H40" i="4"/>
  <c r="J21" i="4"/>
  <c r="J22" i="4"/>
  <c r="J23" i="4"/>
  <c r="J24" i="4"/>
  <c r="J25" i="4"/>
  <c r="J26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F28" i="4"/>
  <c r="E28" i="4"/>
  <c r="D28" i="4"/>
  <c r="H28" i="4"/>
  <c r="G28" i="4"/>
  <c r="H5" i="4"/>
  <c r="G5" i="4"/>
  <c r="H18" i="4"/>
  <c r="G18" i="4"/>
  <c r="D18" i="4"/>
  <c r="E18" i="4"/>
  <c r="H7" i="4"/>
  <c r="H14" i="4"/>
  <c r="H19" i="4"/>
  <c r="H2" i="4"/>
  <c r="H10" i="4"/>
  <c r="H8" i="4"/>
  <c r="H17" i="4"/>
  <c r="H12" i="4"/>
  <c r="H13" i="4"/>
  <c r="H16" i="4"/>
  <c r="H11" i="4"/>
  <c r="H4" i="4"/>
  <c r="H3" i="4"/>
  <c r="H21" i="4"/>
  <c r="H25" i="4"/>
  <c r="G7" i="4"/>
  <c r="G14" i="4"/>
  <c r="G19" i="4"/>
  <c r="G2" i="4"/>
  <c r="G10" i="4"/>
  <c r="G8" i="4"/>
  <c r="G17" i="4"/>
  <c r="G12" i="4"/>
  <c r="G13" i="4"/>
  <c r="G16" i="4"/>
  <c r="G11" i="4"/>
  <c r="G4" i="4"/>
  <c r="G3" i="4"/>
  <c r="G21" i="4"/>
  <c r="G25" i="4"/>
  <c r="D15" i="4"/>
  <c r="G15" i="4" s="1"/>
  <c r="E15" i="4"/>
  <c r="H15" i="4" s="1"/>
  <c r="D20" i="4"/>
  <c r="G20" i="4" s="1"/>
  <c r="E20" i="4"/>
  <c r="H20" i="4" s="1"/>
  <c r="E22" i="4"/>
  <c r="H22" i="4" s="1"/>
  <c r="D22" i="4"/>
  <c r="G22" i="4" s="1"/>
  <c r="D26" i="4"/>
  <c r="G26" i="4" s="1"/>
  <c r="E26" i="4"/>
  <c r="H26" i="4" s="1"/>
  <c r="E24" i="4"/>
  <c r="H24" i="4" s="1"/>
  <c r="D24" i="4"/>
  <c r="G24" i="4" s="1"/>
  <c r="D23" i="4"/>
  <c r="G23" i="4" s="1"/>
  <c r="E23" i="4"/>
  <c r="H23" i="4" s="1"/>
  <c r="D6" i="4"/>
  <c r="G6" i="4" s="1"/>
  <c r="E6" i="4"/>
  <c r="H6" i="4" s="1"/>
  <c r="H9" i="4"/>
  <c r="D9" i="4"/>
  <c r="G9" i="4" s="1"/>
  <c r="L37" i="5" l="1"/>
  <c r="L39" i="5" s="1"/>
  <c r="J26" i="5"/>
  <c r="O37" i="5"/>
  <c r="O39" i="5" s="1"/>
  <c r="J18" i="5"/>
  <c r="F31" i="4"/>
  <c r="O37" i="4"/>
  <c r="O39" i="4" s="1"/>
  <c r="L37" i="4"/>
  <c r="L39" i="4" s="1"/>
  <c r="C31" i="4"/>
  <c r="G28" i="5" l="1"/>
  <c r="H28" i="5"/>
  <c r="F32" i="4"/>
  <c r="C32" i="4"/>
  <c r="H39" i="4" l="1"/>
  <c r="I8" i="5"/>
  <c r="I26" i="5"/>
  <c r="I23" i="5"/>
  <c r="I20" i="5"/>
  <c r="I17" i="5"/>
  <c r="I15" i="5"/>
  <c r="I5" i="5"/>
  <c r="O31" i="5" s="1" a="1"/>
  <c r="O31" i="5" s="1"/>
  <c r="F31" i="5" s="1"/>
  <c r="F32" i="5" s="1"/>
  <c r="I3" i="5"/>
  <c r="I24" i="5"/>
  <c r="I18" i="5"/>
  <c r="I13" i="5"/>
  <c r="I11" i="5"/>
  <c r="I21" i="5"/>
  <c r="I16" i="5"/>
  <c r="I12" i="5"/>
  <c r="I22" i="5"/>
  <c r="I19" i="5"/>
  <c r="I25" i="5"/>
  <c r="I9" i="5"/>
  <c r="I10" i="5"/>
  <c r="I4" i="5"/>
  <c r="I7" i="5"/>
  <c r="L31" i="5" s="1" a="1"/>
  <c r="L31" i="5" s="1"/>
  <c r="C31" i="5" s="1"/>
  <c r="C32" i="5" s="1"/>
  <c r="I2" i="5"/>
  <c r="I14" i="5"/>
  <c r="I6" i="5"/>
  <c r="E40" i="4"/>
  <c r="H41" i="4"/>
  <c r="F36" i="4"/>
  <c r="F39" i="4"/>
  <c r="E39" i="4"/>
  <c r="G37" i="4"/>
  <c r="H36" i="4"/>
  <c r="I41" i="4"/>
  <c r="G38" i="4"/>
  <c r="I39" i="4"/>
  <c r="D38" i="4"/>
  <c r="I36" i="4"/>
  <c r="F41" i="4"/>
  <c r="G41" i="4"/>
  <c r="H38" i="4"/>
  <c r="G39" i="4"/>
  <c r="E36" i="4"/>
  <c r="I37" i="4"/>
  <c r="F37" i="4"/>
  <c r="F40" i="4"/>
  <c r="I40" i="4"/>
  <c r="G36" i="4"/>
  <c r="E41" i="4"/>
  <c r="E38" i="4"/>
  <c r="G40" i="4"/>
  <c r="D37" i="4"/>
  <c r="D41" i="4"/>
  <c r="I38" i="4"/>
  <c r="D36" i="4"/>
  <c r="D40" i="4"/>
  <c r="H37" i="4"/>
  <c r="E37" i="4"/>
  <c r="F38" i="4"/>
  <c r="D39" i="4"/>
  <c r="J56" i="4" l="1"/>
  <c r="K56" i="4" s="1"/>
  <c r="J58" i="4"/>
  <c r="K58" i="4" s="1"/>
  <c r="G58" i="4"/>
  <c r="H58" i="4" s="1"/>
  <c r="J55" i="4"/>
  <c r="K55" i="4" s="1"/>
  <c r="J57" i="4"/>
  <c r="K57" i="4" s="1"/>
  <c r="G57" i="4"/>
  <c r="H57" i="4" s="1"/>
  <c r="J54" i="4"/>
  <c r="K54" i="4" s="1"/>
  <c r="H54" i="4"/>
  <c r="G54" i="4"/>
  <c r="D53" i="4"/>
  <c r="I50" i="4"/>
  <c r="C52" i="4"/>
  <c r="C53" i="4"/>
  <c r="D52" i="4"/>
  <c r="D54" i="4"/>
  <c r="C54" i="4"/>
  <c r="H50" i="4"/>
  <c r="I41" i="5"/>
  <c r="G40" i="5"/>
  <c r="G39" i="5"/>
  <c r="E38" i="5"/>
  <c r="E37" i="5"/>
  <c r="H41" i="5"/>
  <c r="F40" i="5"/>
  <c r="F39" i="5"/>
  <c r="D38" i="5"/>
  <c r="D37" i="5"/>
  <c r="G41" i="5"/>
  <c r="E40" i="5"/>
  <c r="E39" i="5"/>
  <c r="I36" i="5"/>
  <c r="F41" i="5"/>
  <c r="D40" i="5"/>
  <c r="D39" i="5"/>
  <c r="H36" i="5"/>
  <c r="E41" i="5"/>
  <c r="I38" i="5"/>
  <c r="I37" i="5"/>
  <c r="G36" i="5"/>
  <c r="D41" i="5"/>
  <c r="H38" i="5"/>
  <c r="H37" i="5"/>
  <c r="F36" i="5"/>
  <c r="I40" i="5"/>
  <c r="I39" i="5"/>
  <c r="G38" i="5"/>
  <c r="G37" i="5"/>
  <c r="E36" i="5"/>
  <c r="H39" i="5"/>
  <c r="F38" i="5"/>
  <c r="F37" i="5"/>
  <c r="D36" i="5"/>
  <c r="D51" i="4"/>
  <c r="C51" i="4"/>
  <c r="C50" i="4"/>
  <c r="D47" i="4"/>
  <c r="D50" i="4"/>
  <c r="C47" i="4"/>
  <c r="E47" i="4"/>
  <c r="I61" i="5" l="1"/>
  <c r="J61" i="5" s="1"/>
  <c r="I60" i="5"/>
  <c r="J60" i="5" s="1"/>
  <c r="F60" i="5"/>
  <c r="G60" i="5" s="1"/>
  <c r="I58" i="5"/>
  <c r="J58" i="5" s="1"/>
  <c r="F59" i="5"/>
  <c r="G59" i="5" s="1"/>
  <c r="I59" i="5"/>
  <c r="J59" i="5" s="1"/>
  <c r="F58" i="5"/>
  <c r="G58" i="5" s="1"/>
  <c r="I57" i="5"/>
  <c r="J57" i="5" s="1"/>
  <c r="F57" i="5"/>
  <c r="F61" i="5"/>
  <c r="G61" i="5" s="1"/>
  <c r="G57" i="5"/>
  <c r="D54" i="5"/>
  <c r="D53" i="5"/>
  <c r="H50" i="5"/>
  <c r="D51" i="5"/>
  <c r="C54" i="5"/>
  <c r="E47" i="5"/>
  <c r="I50" i="5"/>
  <c r="C53" i="5"/>
  <c r="C50" i="5"/>
  <c r="C52" i="5"/>
  <c r="D47" i="5"/>
  <c r="C51" i="5"/>
  <c r="D50" i="5"/>
  <c r="C47" i="5"/>
  <c r="D5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<sst xmlns="http://schemas.openxmlformats.org/spreadsheetml/2006/main" count="117" uniqueCount="50">
  <si>
    <t>Portugal</t>
  </si>
  <si>
    <t>GS</t>
  </si>
  <si>
    <t>GA</t>
  </si>
  <si>
    <t>Croatia</t>
  </si>
  <si>
    <t>Spain</t>
  </si>
  <si>
    <t>Matches</t>
  </si>
  <si>
    <t>AGS</t>
  </si>
  <si>
    <t>AGA</t>
  </si>
  <si>
    <t>Attacking Strength</t>
  </si>
  <si>
    <t>Austria</t>
  </si>
  <si>
    <t>Czechia</t>
  </si>
  <si>
    <t>France</t>
  </si>
  <si>
    <t>Germany</t>
  </si>
  <si>
    <t>Italy</t>
  </si>
  <si>
    <t>Poland</t>
  </si>
  <si>
    <t>Denmark</t>
  </si>
  <si>
    <t>Ukraine</t>
  </si>
  <si>
    <t>Sweden</t>
  </si>
  <si>
    <t>Switzerland</t>
  </si>
  <si>
    <t>England</t>
  </si>
  <si>
    <t>Belgium</t>
  </si>
  <si>
    <t>Turkey</t>
  </si>
  <si>
    <t>Albania</t>
  </si>
  <si>
    <t>Netherlands</t>
  </si>
  <si>
    <t>Slovakia</t>
  </si>
  <si>
    <t>Slovenia</t>
  </si>
  <si>
    <t>Georgia</t>
  </si>
  <si>
    <t>Romania</t>
  </si>
  <si>
    <t>Scotland</t>
  </si>
  <si>
    <t>Hungary</t>
  </si>
  <si>
    <t>Rank</t>
  </si>
  <si>
    <t>Points</t>
  </si>
  <si>
    <t>Serbia</t>
  </si>
  <si>
    <t>Team</t>
  </si>
  <si>
    <t>Average</t>
  </si>
  <si>
    <t>Defensive Strength</t>
  </si>
  <si>
    <t>Expected Attacking Strength</t>
  </si>
  <si>
    <t>Expected Defensive Strength</t>
  </si>
  <si>
    <t>Expected Desfensive Strength</t>
  </si>
  <si>
    <t>Rank Points</t>
  </si>
  <si>
    <t>Win Expectation</t>
  </si>
  <si>
    <t>Difference in Rank</t>
  </si>
  <si>
    <t>Defference in rank</t>
  </si>
  <si>
    <t>Draw</t>
  </si>
  <si>
    <t>Under</t>
  </si>
  <si>
    <t>Over</t>
  </si>
  <si>
    <t>BTTS</t>
  </si>
  <si>
    <t>Yes</t>
  </si>
  <si>
    <t>No</t>
  </si>
  <si>
    <t>Total Goals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</si>
</sst>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"/>
    <numFmt numFmtId="165" formatCode="0.0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trike/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9.8000000000000007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0" fontId="2" fillId="0" borderId="0" xfId="0" applyFont="1"/>
    <xf numFmtId="165" fontId="2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5" fontId="7" fillId="0" borderId="3" xfId="0" applyNumberFormat="1" applyFont="1" applyBorder="1" applyAlignment="1">
      <alignment horizontal="center" vertical="center"/>
    </xf>
    <xf numFmtId="165" fontId="8" fillId="0" borderId="3" xfId="0" applyNumberFormat="1" applyFont="1" applyBorder="1" applyAlignment="1">
      <alignment horizontal="center" vertical="center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5843-9219-4E64-9F1E-E8F86ECC0759}">
  <dimension ref="A1:O61"/>
  <sheetViews>
    <sheetView topLeftCell="A40" workbookViewId="0">
      <selection activeCell="E31" sqref="E31"/>
    </sheetView>
  </sheetViews>
  <sheetFormatPr defaultRowHeight="14.5" x14ac:dyDescent="0.35"/>
  <cols>
    <col min="1" max="1" width="10.81640625" style="1" customWidth="1"/>
    <col min="2" max="2" width="11.36328125" style="1" customWidth="1"/>
    <col min="3" max="3" width="13.6328125" style="1" customWidth="1"/>
    <col min="4" max="6" width="9.08984375" style="1" customWidth="1"/>
    <col min="7" max="7" width="12.26953125" style="1" customWidth="1"/>
    <col min="8" max="8" width="11.36328125" style="1" customWidth="1"/>
    <col min="9" max="10" width="18.1796875" customWidth="1"/>
    <col min="11" max="11" width="27.26953125" customWidth="1"/>
    <col min="14" max="14" width="27.26953125" customWidth="1"/>
  </cols>
  <sheetData>
    <row r="1" spans="1:11" x14ac:dyDescent="0.35">
      <c r="A1" s="16" t="s">
        <v>30</v>
      </c>
      <c r="B1" s="16" t="s">
        <v>31</v>
      </c>
      <c r="C1" s="16" t="s">
        <v>33</v>
      </c>
      <c r="D1" s="16" t="s">
        <v>1</v>
      </c>
      <c r="E1" s="16" t="s">
        <v>2</v>
      </c>
      <c r="F1" s="16" t="s">
        <v>5</v>
      </c>
      <c r="G1" s="16" t="s">
        <v>6</v>
      </c>
      <c r="H1" s="16" t="s">
        <v>7</v>
      </c>
      <c r="I1" s="17" t="s">
        <v>8</v>
      </c>
      <c r="J1" s="17" t="s">
        <v>35</v>
      </c>
      <c r="K1" s="3"/>
    </row>
    <row r="2" spans="1:11" x14ac:dyDescent="0.35">
      <c r="A2" s="18">
        <v>2</v>
      </c>
      <c r="B2" s="18">
        <v>1840.59</v>
      </c>
      <c r="C2" s="18" t="s">
        <v>11</v>
      </c>
      <c r="D2" s="18">
        <v>76</v>
      </c>
      <c r="E2" s="18">
        <v>32</v>
      </c>
      <c r="F2" s="18">
        <v>38</v>
      </c>
      <c r="G2" s="13">
        <v>1.9673909999999999</v>
      </c>
      <c r="H2" s="25">
        <v>0.80434799999999995</v>
      </c>
      <c r="I2" s="19">
        <f>G2/G28</f>
        <v>1.1397644225814865</v>
      </c>
      <c r="J2" s="19">
        <f>H2/1.017</f>
        <v>0.79090265486725664</v>
      </c>
    </row>
    <row r="3" spans="1:11" x14ac:dyDescent="0.35">
      <c r="A3" s="18">
        <v>3</v>
      </c>
      <c r="B3" s="18">
        <v>1795.23</v>
      </c>
      <c r="C3" s="18" t="s">
        <v>20</v>
      </c>
      <c r="D3" s="18">
        <v>82</v>
      </c>
      <c r="E3" s="18">
        <v>33</v>
      </c>
      <c r="F3" s="18">
        <v>37</v>
      </c>
      <c r="G3" s="13">
        <v>2.625</v>
      </c>
      <c r="H3" s="13">
        <v>0.9375</v>
      </c>
      <c r="I3" s="19">
        <f>G3/G28</f>
        <v>1.520735638862027</v>
      </c>
      <c r="J3" s="19">
        <f t="shared" ref="J3:J26" si="0">H3/1.017</f>
        <v>0.92182890855457233</v>
      </c>
    </row>
    <row r="4" spans="1:11" x14ac:dyDescent="0.35">
      <c r="A4" s="18">
        <v>4</v>
      </c>
      <c r="B4" s="18">
        <v>1794.9</v>
      </c>
      <c r="C4" s="18" t="s">
        <v>19</v>
      </c>
      <c r="D4" s="18">
        <v>79</v>
      </c>
      <c r="E4" s="18">
        <v>29</v>
      </c>
      <c r="F4" s="18">
        <v>46</v>
      </c>
      <c r="G4" s="13">
        <v>2.0786519999999999</v>
      </c>
      <c r="H4" s="13">
        <v>0.76404499999999997</v>
      </c>
      <c r="I4" s="19">
        <f>G4/G28</f>
        <v>1.204221019882602</v>
      </c>
      <c r="J4" s="19">
        <f t="shared" si="0"/>
        <v>0.75127335299901676</v>
      </c>
    </row>
    <row r="5" spans="1:11" x14ac:dyDescent="0.35">
      <c r="A5" s="18">
        <v>6</v>
      </c>
      <c r="B5" s="18">
        <v>1748.11</v>
      </c>
      <c r="C5" s="18" t="s">
        <v>0</v>
      </c>
      <c r="D5" s="18">
        <v>90</v>
      </c>
      <c r="E5" s="18">
        <v>27</v>
      </c>
      <c r="F5" s="18">
        <v>39</v>
      </c>
      <c r="G5" s="13">
        <v>2.2093020000000001</v>
      </c>
      <c r="H5" s="13">
        <v>0.75581399999999999</v>
      </c>
      <c r="I5" s="19">
        <f>G5/G28</f>
        <v>1.2799102051082494</v>
      </c>
      <c r="J5" s="19">
        <f t="shared" si="0"/>
        <v>0.74317994100294993</v>
      </c>
    </row>
    <row r="6" spans="1:11" x14ac:dyDescent="0.35">
      <c r="A6" s="18">
        <v>7</v>
      </c>
      <c r="B6" s="18">
        <v>1742.29</v>
      </c>
      <c r="C6" s="18" t="s">
        <v>23</v>
      </c>
      <c r="D6" s="18">
        <f>11+13+11+15+13+9+9+8+19</f>
        <v>108</v>
      </c>
      <c r="E6" s="18">
        <f>4+2+5+5+6+2+13+3+1</f>
        <v>41</v>
      </c>
      <c r="F6" s="18">
        <v>43</v>
      </c>
      <c r="G6" s="13">
        <v>2.08</v>
      </c>
      <c r="H6" s="13">
        <v>0.98666699999999996</v>
      </c>
      <c r="I6" s="19">
        <f>G6/G28</f>
        <v>1.2050019538411492</v>
      </c>
      <c r="J6" s="19">
        <f t="shared" si="0"/>
        <v>0.97017404129793516</v>
      </c>
    </row>
    <row r="7" spans="1:11" x14ac:dyDescent="0.35">
      <c r="A7" s="18">
        <v>8</v>
      </c>
      <c r="B7" s="18">
        <v>1727.5</v>
      </c>
      <c r="C7" s="18" t="s">
        <v>4</v>
      </c>
      <c r="D7" s="18">
        <v>93</v>
      </c>
      <c r="E7" s="18">
        <v>29</v>
      </c>
      <c r="F7" s="18">
        <v>35</v>
      </c>
      <c r="G7" s="13">
        <v>2.2637360000000002</v>
      </c>
      <c r="H7" s="13">
        <v>0.725275</v>
      </c>
      <c r="I7" s="19">
        <f>G7/G28</f>
        <v>1.3114453379714173</v>
      </c>
      <c r="J7" s="19">
        <f t="shared" si="0"/>
        <v>0.71315142576204527</v>
      </c>
    </row>
    <row r="8" spans="1:11" x14ac:dyDescent="0.35">
      <c r="A8" s="18">
        <v>9</v>
      </c>
      <c r="B8" s="18">
        <v>1724.6</v>
      </c>
      <c r="C8" s="18" t="s">
        <v>13</v>
      </c>
      <c r="D8" s="18">
        <v>73</v>
      </c>
      <c r="E8" s="18">
        <v>27</v>
      </c>
      <c r="F8" s="18">
        <v>38</v>
      </c>
      <c r="G8" s="13">
        <v>1.7777780000000001</v>
      </c>
      <c r="H8" s="13">
        <v>0.77777799999999997</v>
      </c>
      <c r="I8" s="19">
        <f>G8/G28</f>
        <v>1.0299163286037549</v>
      </c>
      <c r="J8" s="19">
        <f t="shared" si="0"/>
        <v>0.76477679449360869</v>
      </c>
    </row>
    <row r="9" spans="1:11" x14ac:dyDescent="0.35">
      <c r="A9" s="26">
        <v>10</v>
      </c>
      <c r="B9" s="26">
        <v>1721.07</v>
      </c>
      <c r="C9" s="26" t="s">
        <v>3</v>
      </c>
      <c r="D9" s="26">
        <f>2+3+4+0+1+1+3+2+1+2+33</f>
        <v>52</v>
      </c>
      <c r="E9" s="26">
        <v>46</v>
      </c>
      <c r="F9" s="26">
        <v>32</v>
      </c>
      <c r="G9" s="25">
        <v>1.626506</v>
      </c>
      <c r="H9" s="27">
        <v>1.2048190000000001</v>
      </c>
      <c r="I9" s="28">
        <f>G9/G28</f>
        <v>0.94228024419920775</v>
      </c>
      <c r="J9" s="28">
        <f t="shared" si="0"/>
        <v>1.1846794493608654</v>
      </c>
    </row>
    <row r="10" spans="1:11" x14ac:dyDescent="0.35">
      <c r="A10" s="18">
        <v>16</v>
      </c>
      <c r="B10" s="18">
        <v>1644.21</v>
      </c>
      <c r="C10" s="18" t="s">
        <v>12</v>
      </c>
      <c r="D10" s="18">
        <v>69</v>
      </c>
      <c r="E10" s="18">
        <v>48</v>
      </c>
      <c r="F10" s="18">
        <v>39</v>
      </c>
      <c r="G10" s="13">
        <v>2.2096770000000001</v>
      </c>
      <c r="H10" s="13">
        <v>1.0967739999999999</v>
      </c>
      <c r="I10" s="19">
        <f>G10/G28</f>
        <v>1.2801274530566582</v>
      </c>
      <c r="J10" s="19">
        <f t="shared" si="0"/>
        <v>1.078440511307768</v>
      </c>
    </row>
    <row r="11" spans="1:11" x14ac:dyDescent="0.35">
      <c r="A11" s="18">
        <v>19</v>
      </c>
      <c r="B11" s="18">
        <v>1616.41</v>
      </c>
      <c r="C11" s="18" t="s">
        <v>18</v>
      </c>
      <c r="D11" s="18">
        <v>79</v>
      </c>
      <c r="E11" s="18">
        <v>35</v>
      </c>
      <c r="F11" s="18">
        <v>43</v>
      </c>
      <c r="G11" s="13">
        <v>1.78481</v>
      </c>
      <c r="H11" s="13">
        <v>1.126582</v>
      </c>
      <c r="I11" s="19">
        <f>G11/G28</f>
        <v>1.033990162132318</v>
      </c>
      <c r="J11" s="19">
        <f t="shared" si="0"/>
        <v>1.1077502458210424</v>
      </c>
    </row>
    <row r="12" spans="1:11" x14ac:dyDescent="0.35">
      <c r="A12" s="18">
        <v>21</v>
      </c>
      <c r="B12" s="18">
        <v>1602.72</v>
      </c>
      <c r="C12" s="18" t="s">
        <v>15</v>
      </c>
      <c r="D12" s="18">
        <v>81</v>
      </c>
      <c r="E12" s="18">
        <v>23</v>
      </c>
      <c r="F12" s="18">
        <v>39</v>
      </c>
      <c r="G12" s="13">
        <v>1.851351</v>
      </c>
      <c r="H12" s="13">
        <v>0.86486499999999999</v>
      </c>
      <c r="I12" s="19">
        <f>G12/G28</f>
        <v>1.0725392174258486</v>
      </c>
      <c r="J12" s="19">
        <f t="shared" si="0"/>
        <v>0.85040806293018689</v>
      </c>
    </row>
    <row r="13" spans="1:11" x14ac:dyDescent="0.35">
      <c r="A13" s="18">
        <v>22</v>
      </c>
      <c r="B13" s="18">
        <v>1568.86</v>
      </c>
      <c r="C13" s="18" t="s">
        <v>16</v>
      </c>
      <c r="D13" s="18">
        <v>65</v>
      </c>
      <c r="E13" s="18">
        <v>50</v>
      </c>
      <c r="F13" s="18">
        <v>37</v>
      </c>
      <c r="G13" s="13">
        <v>1.263158</v>
      </c>
      <c r="H13" s="13">
        <v>1.177419</v>
      </c>
      <c r="I13" s="19">
        <f>G13/G28</f>
        <v>0.73178262404330685</v>
      </c>
      <c r="J13" s="19">
        <f t="shared" si="0"/>
        <v>1.1577374631268438</v>
      </c>
    </row>
    <row r="14" spans="1:11" x14ac:dyDescent="0.35">
      <c r="A14" s="18">
        <v>25</v>
      </c>
      <c r="B14" s="18">
        <v>1554.86</v>
      </c>
      <c r="C14" s="18" t="s">
        <v>9</v>
      </c>
      <c r="D14" s="18">
        <v>57</v>
      </c>
      <c r="E14" s="18">
        <v>34</v>
      </c>
      <c r="F14" s="18">
        <v>38</v>
      </c>
      <c r="G14" s="13">
        <v>1.5</v>
      </c>
      <c r="H14" s="13">
        <v>1.177419</v>
      </c>
      <c r="I14" s="19">
        <f>G14/G28</f>
        <v>0.8689917936354441</v>
      </c>
      <c r="J14" s="19">
        <f t="shared" si="0"/>
        <v>1.1577374631268438</v>
      </c>
    </row>
    <row r="15" spans="1:11" x14ac:dyDescent="0.35">
      <c r="A15" s="18">
        <v>26</v>
      </c>
      <c r="B15" s="18">
        <v>1532.2</v>
      </c>
      <c r="C15" s="18" t="s">
        <v>29</v>
      </c>
      <c r="D15" s="18">
        <f>13+3+7+4+8+8+10+8</f>
        <v>61</v>
      </c>
      <c r="E15" s="18">
        <f>4+10+4+4+5+1+7+5</f>
        <v>40</v>
      </c>
      <c r="F15" s="18">
        <v>40</v>
      </c>
      <c r="G15" s="13">
        <v>1.4677420000000001</v>
      </c>
      <c r="H15" s="13">
        <v>1.241935</v>
      </c>
      <c r="I15" s="19">
        <f>G15/G28</f>
        <v>0.85030383544938271</v>
      </c>
      <c r="J15" s="19">
        <f t="shared" si="0"/>
        <v>1.2211750245821043</v>
      </c>
    </row>
    <row r="16" spans="1:11" x14ac:dyDescent="0.35">
      <c r="A16" s="18">
        <v>27</v>
      </c>
      <c r="B16" s="18">
        <v>1531.68</v>
      </c>
      <c r="C16" s="18" t="s">
        <v>17</v>
      </c>
      <c r="D16" s="18">
        <v>58</v>
      </c>
      <c r="E16" s="18">
        <v>37</v>
      </c>
      <c r="F16" s="18">
        <v>40</v>
      </c>
      <c r="G16" s="13">
        <v>1.791045</v>
      </c>
      <c r="H16" s="13">
        <v>1.1791039999999999</v>
      </c>
      <c r="I16" s="19">
        <f>G16/G28</f>
        <v>1.0376022713545292</v>
      </c>
      <c r="J16" s="19">
        <f t="shared" si="0"/>
        <v>1.1593942969518192</v>
      </c>
    </row>
    <row r="17" spans="1:15" x14ac:dyDescent="0.35">
      <c r="A17" s="18">
        <v>28</v>
      </c>
      <c r="B17" s="18">
        <v>1531.49</v>
      </c>
      <c r="C17" s="18" t="s">
        <v>14</v>
      </c>
      <c r="D17" s="18">
        <v>79</v>
      </c>
      <c r="E17" s="18">
        <v>44</v>
      </c>
      <c r="F17" s="18">
        <v>41</v>
      </c>
      <c r="G17" s="13">
        <v>1.616438</v>
      </c>
      <c r="H17" s="13">
        <v>1.191781</v>
      </c>
      <c r="I17" s="19">
        <f>G17/G28</f>
        <v>0.93644757128032663</v>
      </c>
      <c r="J17" s="19">
        <f t="shared" si="0"/>
        <v>1.1718593903638153</v>
      </c>
    </row>
    <row r="18" spans="1:15" x14ac:dyDescent="0.35">
      <c r="A18" s="18">
        <v>33</v>
      </c>
      <c r="B18" s="18">
        <v>1514.2</v>
      </c>
      <c r="C18" s="18" t="s">
        <v>32</v>
      </c>
      <c r="D18" s="18">
        <f>8+10+10+11+12+10+8+7</f>
        <v>76</v>
      </c>
      <c r="E18" s="18">
        <f>6+3+5+5+9+4+7+8</f>
        <v>47</v>
      </c>
      <c r="F18" s="18">
        <v>39</v>
      </c>
      <c r="G18" s="13">
        <v>1.8064519999999999</v>
      </c>
      <c r="H18" s="13">
        <v>1.241935</v>
      </c>
      <c r="I18" s="19">
        <f>G18/G28</f>
        <v>1.0465279757308901</v>
      </c>
      <c r="J18" s="19">
        <f t="shared" si="0"/>
        <v>1.2211750245821043</v>
      </c>
    </row>
    <row r="19" spans="1:15" x14ac:dyDescent="0.35">
      <c r="A19" s="18">
        <v>36</v>
      </c>
      <c r="B19" s="18">
        <v>1501.46</v>
      </c>
      <c r="C19" s="18" t="s">
        <v>10</v>
      </c>
      <c r="D19" s="18">
        <v>54</v>
      </c>
      <c r="E19" s="18">
        <v>51</v>
      </c>
      <c r="F19" s="18">
        <v>41</v>
      </c>
      <c r="G19" s="13">
        <v>1.387097</v>
      </c>
      <c r="H19" s="13">
        <v>1.177419</v>
      </c>
      <c r="I19" s="19">
        <f>G19/G28</f>
        <v>0.80358393998422906</v>
      </c>
      <c r="J19" s="19">
        <f t="shared" si="0"/>
        <v>1.1577374631268438</v>
      </c>
    </row>
    <row r="20" spans="1:15" x14ac:dyDescent="0.35">
      <c r="A20" s="18">
        <v>39</v>
      </c>
      <c r="B20" s="18">
        <v>1497.46</v>
      </c>
      <c r="C20" s="18" t="s">
        <v>28</v>
      </c>
      <c r="D20" s="18">
        <f>10+2+9+6+10+12+7+5</f>
        <v>61</v>
      </c>
      <c r="E20" s="18">
        <f>5+7+2+9+4+1+14+12</f>
        <v>54</v>
      </c>
      <c r="F20" s="18">
        <v>40</v>
      </c>
      <c r="G20" s="13">
        <v>1.637931</v>
      </c>
      <c r="H20" s="13">
        <v>1.1896549999999999</v>
      </c>
      <c r="I20" s="19">
        <f>G20/G28</f>
        <v>0.94889906502739774</v>
      </c>
      <c r="J20" s="19">
        <f t="shared" si="0"/>
        <v>1.1697689282202557</v>
      </c>
    </row>
    <row r="21" spans="1:15" s="29" customFormat="1" x14ac:dyDescent="0.35">
      <c r="A21" s="18">
        <v>40</v>
      </c>
      <c r="B21" s="18">
        <v>1495.94</v>
      </c>
      <c r="C21" s="18" t="s">
        <v>21</v>
      </c>
      <c r="D21" s="18">
        <v>65</v>
      </c>
      <c r="E21" s="18">
        <v>74</v>
      </c>
      <c r="F21" s="18">
        <v>44</v>
      </c>
      <c r="G21" s="13">
        <v>1.7540979999999999</v>
      </c>
      <c r="H21" s="13">
        <v>1.180328</v>
      </c>
      <c r="I21" s="19">
        <f>G21/G28</f>
        <v>1.0161978448215634</v>
      </c>
      <c r="J21" s="19">
        <f t="shared" si="0"/>
        <v>1.160597836774828</v>
      </c>
    </row>
    <row r="22" spans="1:15" x14ac:dyDescent="0.35">
      <c r="A22" s="18">
        <v>46</v>
      </c>
      <c r="B22" s="18">
        <v>1468.17</v>
      </c>
      <c r="C22" s="18" t="s">
        <v>27</v>
      </c>
      <c r="D22" s="18">
        <f>12+5+4+4+7+11+9+4</f>
        <v>56</v>
      </c>
      <c r="E22" s="18">
        <f>7+7+2+6+7+3+2+4</f>
        <v>38</v>
      </c>
      <c r="F22" s="18">
        <v>39</v>
      </c>
      <c r="G22" s="13">
        <v>1.3846149999999999</v>
      </c>
      <c r="H22" s="13">
        <v>1.1153850000000001</v>
      </c>
      <c r="I22" s="19">
        <f>G22/G28</f>
        <v>0.8021460482296936</v>
      </c>
      <c r="J22" s="19">
        <f t="shared" si="0"/>
        <v>1.0967404129793512</v>
      </c>
    </row>
    <row r="23" spans="1:15" x14ac:dyDescent="0.35">
      <c r="A23" s="18">
        <v>48</v>
      </c>
      <c r="B23" s="18">
        <v>1461.55</v>
      </c>
      <c r="C23" s="18" t="s">
        <v>24</v>
      </c>
      <c r="D23" s="18">
        <f>5+3+6+9+6+5+10+11</f>
        <v>55</v>
      </c>
      <c r="E23" s="18">
        <f>4+8+6+3+7+1+6+4</f>
        <v>39</v>
      </c>
      <c r="F23" s="18">
        <v>39</v>
      </c>
      <c r="G23" s="13">
        <v>1.3636360000000001</v>
      </c>
      <c r="H23" s="13">
        <v>1.1666669999999999</v>
      </c>
      <c r="I23" s="19">
        <f>G23/G28</f>
        <v>0.78999232900390826</v>
      </c>
      <c r="J23" s="19">
        <f t="shared" si="0"/>
        <v>1.1471651917404131</v>
      </c>
    </row>
    <row r="24" spans="1:15" x14ac:dyDescent="0.35">
      <c r="A24" s="18">
        <v>57</v>
      </c>
      <c r="B24" s="18">
        <v>1427.84</v>
      </c>
      <c r="C24" s="18" t="s">
        <v>25</v>
      </c>
      <c r="D24" s="18">
        <f>4+9+9+7+8+9+11+8</f>
        <v>65</v>
      </c>
      <c r="E24" s="18">
        <f>3+3+7+2+5+6+3+4</f>
        <v>33</v>
      </c>
      <c r="F24" s="18">
        <v>40</v>
      </c>
      <c r="G24" s="13">
        <v>1.3548389999999999</v>
      </c>
      <c r="H24" s="13">
        <v>1</v>
      </c>
      <c r="I24" s="19">
        <f>G24/G28</f>
        <v>0.78489598179816755</v>
      </c>
      <c r="J24" s="19">
        <f t="shared" si="0"/>
        <v>0.98328416912487715</v>
      </c>
    </row>
    <row r="25" spans="1:15" x14ac:dyDescent="0.35">
      <c r="A25" s="18">
        <v>66</v>
      </c>
      <c r="B25" s="18">
        <v>1375.1</v>
      </c>
      <c r="C25" s="18" t="s">
        <v>22</v>
      </c>
      <c r="D25" s="18">
        <v>51</v>
      </c>
      <c r="E25" s="18">
        <v>44</v>
      </c>
      <c r="F25" s="18">
        <v>43</v>
      </c>
      <c r="G25" s="13">
        <v>1.160714</v>
      </c>
      <c r="H25" s="13">
        <v>1.375</v>
      </c>
      <c r="I25" s="19">
        <f>G25/G28</f>
        <v>0.67243396050518056</v>
      </c>
      <c r="J25" s="19">
        <f t="shared" si="0"/>
        <v>1.3520157325467062</v>
      </c>
    </row>
    <row r="26" spans="1:15" x14ac:dyDescent="0.35">
      <c r="A26" s="18">
        <v>75</v>
      </c>
      <c r="B26" s="18">
        <v>1333.76</v>
      </c>
      <c r="C26" s="18" t="s">
        <v>26</v>
      </c>
      <c r="D26" s="18">
        <f>5+4+1+6+14+11+14+8</f>
        <v>63</v>
      </c>
      <c r="E26" s="18">
        <f>6+5+14+1+2+7+9+6</f>
        <v>50</v>
      </c>
      <c r="F26" s="18">
        <v>40</v>
      </c>
      <c r="G26" s="13">
        <v>1.191489</v>
      </c>
      <c r="H26" s="13">
        <v>1.425532</v>
      </c>
      <c r="I26" s="19">
        <f>G26/G28</f>
        <v>0.6902627754712678</v>
      </c>
      <c r="J26" s="19">
        <f t="shared" si="0"/>
        <v>1.4017030481809245</v>
      </c>
    </row>
    <row r="27" spans="1:15" x14ac:dyDescent="0.35">
      <c r="I27" s="4"/>
      <c r="J27" s="4"/>
    </row>
    <row r="28" spans="1:15" ht="15" thickBot="1" x14ac:dyDescent="0.4">
      <c r="C28" s="3" t="s">
        <v>34</v>
      </c>
      <c r="D28" s="1">
        <f>AVERAGE(D2:D26)</f>
        <v>69.92</v>
      </c>
      <c r="E28" s="1">
        <f>AVERAGE(E2:E26)</f>
        <v>40.200000000000003</v>
      </c>
      <c r="F28" s="1">
        <f>AVERAGE(F2:F26)</f>
        <v>39.6</v>
      </c>
      <c r="G28" s="2">
        <f>AVERAGE(G2:G26)</f>
        <v>1.7261382799999996</v>
      </c>
      <c r="H28" s="2">
        <f>AVERAGE(H2:H26)</f>
        <v>1.07536184</v>
      </c>
      <c r="I28" s="4"/>
      <c r="J28" s="4"/>
      <c r="K28" s="14"/>
      <c r="L28" s="14"/>
    </row>
    <row r="29" spans="1:15" ht="15.5" thickTop="1" thickBot="1" x14ac:dyDescent="0.4">
      <c r="I29" s="4"/>
      <c r="J29" s="4"/>
      <c r="K29" s="21" t="str">
        <f>B31</f>
        <v>Denmark</v>
      </c>
      <c r="L29" s="7"/>
      <c r="M29" s="22"/>
      <c r="N29" s="24" t="str">
        <f>E31</f>
        <v>Germany</v>
      </c>
      <c r="O29" s="7"/>
    </row>
    <row r="30" spans="1:15" ht="15.5" thickTop="1" thickBot="1" x14ac:dyDescent="0.4">
      <c r="K30" s="7"/>
      <c r="L30" s="7"/>
      <c r="M30" s="22"/>
      <c r="N30" s="7"/>
      <c r="O30" s="7"/>
    </row>
    <row r="31" spans="1:15" ht="17" thickTop="1" thickBot="1" x14ac:dyDescent="0.4">
      <c r="B31" s="20" t="s">
        <v>15</v>
      </c>
      <c r="C31" s="2">
        <f>L31 * L33 * G28</f>
        <v>1.9965719190501472</v>
      </c>
      <c r="E31" s="20" t="s">
        <v>12</v>
      </c>
      <c r="F31" s="2">
        <f>O31*O33*G28</f>
        <v>1.8791271372713867</v>
      </c>
      <c r="K31" s="7" t="s">
        <v>36</v>
      </c>
      <c r="L31" s="15" cm="1">
        <f t="array" ref="L31">_xlfn.IFS(B31=C2,I2, B31=C3,I3, B31=C4,I4, B31=C5,I5, B31=C6,I6, B31=C7,I7, B31=C8,I8, B31=C9,I9, B31=C10,I10, B31=C11,I11, B31=C12,I12, B31=C13,I13, B31=C14,I14, B31=C15,I15, B31=C16,I16, B31=C17,I17, B31=C18,I18, B31=C19,I19, B31=C20,I20, B31=C21,I21, B31=C22,I22, B31=C23,I23, B31=C24,I24, B31=C25,I25, B31=C26,I26)</f>
        <v>1.0725392174258486</v>
      </c>
      <c r="M31" s="22"/>
      <c r="N31" s="7" t="s">
        <v>36</v>
      </c>
      <c r="O31" s="15" cm="1">
        <f t="array" ref="O31">_xlfn.IFS(E31=C2,I2, E31=C3,I3, E31=C4,I4, E31=C5,I5, E31=C6,I6, E31=C7,I7, E31=C8,I8, E31=C9,I9, E31=C10,I10, E31=C11,I11, E31=C12,I12, E31=C13,I13, E31=C14,I14, E31=C15,I15, E31=C16,I16, E31=C17,I17, E31=C18,I18, E31=C19,I19, E31=C20,I20, E31=C21,I21, E31=C22,I22, E31=C23,I23, E31=C24,I24, E31=C25,I25, E31=C26,I26)</f>
        <v>1.2801274530566582</v>
      </c>
    </row>
    <row r="32" spans="1:15" ht="15.5" thickTop="1" thickBot="1" x14ac:dyDescent="0.4">
      <c r="C32" s="2">
        <f>L39*C31</f>
        <v>0.91897801976308657</v>
      </c>
      <c r="F32" s="2">
        <f>O39*F31</f>
        <v>1.0142063603056943</v>
      </c>
      <c r="K32" s="7"/>
      <c r="L32" s="15"/>
      <c r="M32" s="22"/>
      <c r="N32" s="7"/>
      <c r="O32" s="15"/>
    </row>
    <row r="33" spans="2:15" ht="15.5" thickTop="1" thickBot="1" x14ac:dyDescent="0.4">
      <c r="K33" s="7" t="s">
        <v>37</v>
      </c>
      <c r="L33" s="15" cm="1">
        <f t="array" ref="L33">_xlfn.IFS(E31=C2,J2, E31=C3,J3, E31=C4,J4, E31=C5,J5, E31=C6,J6, E31=C7,J7, E31=C8,J8, E31=C9,J9, E31=C10,J10, E31=C11,J11, E31=C12,J12, E31=C13,J13, E31=C14,J14, E31=C15,J15, E31=C16,J16, E31=C17,J17, E31=C18,J18, E31=C19,J19, E31=C20,J20, E31=C21,J21, E31=C22,J22, E31=C23,J23, E31=C24,J24, E31=C25,J25, E31=C26,J26)</f>
        <v>1.078440511307768</v>
      </c>
      <c r="M33" s="22"/>
      <c r="N33" s="7" t="s">
        <v>38</v>
      </c>
      <c r="O33" s="15" cm="1">
        <f t="array" ref="O33">_xlfn.IFS(B31=C2,J2, B31=C3,J3, B31=C4,J4, B31=C5,J5, B31=C6,J6, B31=C7,J7, B31=C8,J8, B31=C9,J9, B31=C10,J10, B31=C11,J11, B31=C12,J12, B31=C13,J13, B31=C14,J14, B31=C15,J15, B31=C16,J16, B31=C17,J17, B31=C18,J18, B31=C19,J19, B31=C20,J20, B31=C21,J21, B31=C22,J22, B31=C23,J23, B31=C24,J24, B31=C25,J25, B31=C26,J26)</f>
        <v>0.85040806293018689</v>
      </c>
    </row>
    <row r="34" spans="2:15" ht="15.5" thickTop="1" thickBot="1" x14ac:dyDescent="0.4">
      <c r="B34" s="8"/>
      <c r="C34" s="8"/>
      <c r="D34" s="23" t="str">
        <f>E31</f>
        <v>Germany</v>
      </c>
      <c r="E34" s="8"/>
      <c r="F34" s="9"/>
      <c r="G34" s="9"/>
      <c r="H34" s="9"/>
      <c r="I34" s="9"/>
      <c r="K34" s="7"/>
      <c r="L34" s="7"/>
      <c r="M34" s="22"/>
      <c r="N34" s="7"/>
      <c r="O34" s="7"/>
    </row>
    <row r="35" spans="2:15" ht="15.5" thickTop="1" thickBot="1" x14ac:dyDescent="0.4">
      <c r="B35" s="8"/>
      <c r="C35" s="8"/>
      <c r="D35" s="8">
        <v>0</v>
      </c>
      <c r="E35" s="8">
        <v>1</v>
      </c>
      <c r="F35" s="8">
        <v>2</v>
      </c>
      <c r="G35" s="8">
        <v>3</v>
      </c>
      <c r="H35" s="8">
        <v>4</v>
      </c>
      <c r="I35" s="8">
        <v>5</v>
      </c>
      <c r="K35" s="7" t="s">
        <v>39</v>
      </c>
      <c r="L35" s="7" cm="1">
        <f t="array" ref="L35">_xlfn.IFS(B31=C2,B2, B31=C3,B3, B31=C4,B4, B31=C5,B5, B31=C6,B6, B31=C7,B7, B31=C8,B8, B31=C9,B9, B31=C10,B10, B31=C11,B11, B31=C12,B12, B31=C13,B13, B31=C14,B14, B31=C15,B15, B31=C16,B16, B31=C17,B17, B31=C18,B18, B31=C19,B19, B31=C20,B20, B31=C21,B21, B31=C22,B22, B31=C23,B23, B31=C24,B24, B31=C25,B25, B31=C26,B26)</f>
        <v>1602.72</v>
      </c>
      <c r="M35" s="22"/>
      <c r="N35" s="7" t="s">
        <v>39</v>
      </c>
      <c r="O35" s="7" cm="1">
        <f t="array" ref="O35">_xlfn.IFS(E31=C2,B2, E31=C3,B3, E31=C4,B4, E31=C5,B5, E31=C6,B6, E31=C7,B7, E31=C8,B8, E31=C9,B9, E31=C10,B10, E31=C11,B11, E31=C12,B12, E31=C13,B13, E31=C14,B14, E31=C15,B15, E31=C16,B16, E31=C17,B17, E31=C18,B18, E31=C19,B19, E31=C20,B20, E31=C21,B21, E31=C22,B22, E31=C23,B23, E31=C24,B24, E31=C25,B25, E31=C26,B26)</f>
        <v>1644.21</v>
      </c>
    </row>
    <row r="36" spans="2:15" ht="15.5" thickTop="1" thickBot="1" x14ac:dyDescent="0.4">
      <c r="B36" s="23" t="str">
        <f>B31</f>
        <v>Denmark</v>
      </c>
      <c r="C36" s="8">
        <v>0</v>
      </c>
      <c r="D36" s="10">
        <f>((POISSON(0,C32,FALSE)*POISSON(0,F32,FALSE)))*100</f>
        <v>14.468672659425074</v>
      </c>
      <c r="E36" s="10">
        <f>((POISSON(0,C32,FALSE)*POISSON(1,F32,FALSE)))*100</f>
        <v>14.674219836370014</v>
      </c>
      <c r="F36" s="10">
        <f>((POISSON(0,C32,FALSE)*POISSON(2,F32,FALSE)))*100</f>
        <v>7.4413435452852266</v>
      </c>
      <c r="G36" s="10">
        <f>((POISSON(0,C32,FALSE)*POISSON(3,F32,FALSE)))*100</f>
        <v>2.5156859842826673</v>
      </c>
      <c r="H36" s="10">
        <f>((POISSON(0,C32,FALSE)*POISSON(4,F32,FALSE)))*100</f>
        <v>0.63785618144784295</v>
      </c>
      <c r="I36" s="11">
        <f>((POISSON(0,C32,FALSE)*POISSON(5,F32,FALSE)))*100</f>
        <v>0.12938355923694111</v>
      </c>
      <c r="K36" s="7"/>
      <c r="L36" s="7"/>
      <c r="M36" s="22"/>
      <c r="N36" s="7"/>
      <c r="O36" s="7"/>
    </row>
    <row r="37" spans="2:15" ht="15.5" thickTop="1" thickBot="1" x14ac:dyDescent="0.4">
      <c r="B37" s="8"/>
      <c r="C37" s="8">
        <v>1</v>
      </c>
      <c r="D37" s="10">
        <f>((POISSON(1,C32,FALSE)*POISSON(0,F32,FALSE)))*100</f>
        <v>13.296392149158764</v>
      </c>
      <c r="E37" s="10">
        <f>((POISSON(1,C32,FALSE)*POISSON(1,F32,FALSE)))*100</f>
        <v>13.485285486795521</v>
      </c>
      <c r="F37" s="10">
        <f>((POISSON(1,C32,FALSE)*POISSON(2,F32,FALSE)))*100</f>
        <v>6.8384311556230442</v>
      </c>
      <c r="G37" s="10">
        <f>((POISSON(1,C32,FALSE)*POISSON(3,F32,FALSE)))*100</f>
        <v>2.3118601241818371</v>
      </c>
      <c r="H37" s="10">
        <f>((POISSON(1,C32,FALSE)*POISSON(4,F32,FALSE)))*100</f>
        <v>0.58617581052058276</v>
      </c>
      <c r="I37" s="11">
        <f>((POISSON(1,C32,FALSE)*POISSON(5,F32,FALSE)))*100</f>
        <v>0.11890064705746414</v>
      </c>
      <c r="K37" s="7" t="s">
        <v>41</v>
      </c>
      <c r="L37" s="7">
        <f>L35-O35</f>
        <v>-41.490000000000009</v>
      </c>
      <c r="M37" s="22"/>
      <c r="N37" s="7" t="s">
        <v>42</v>
      </c>
      <c r="O37" s="7">
        <f>O35-L35</f>
        <v>41.490000000000009</v>
      </c>
    </row>
    <row r="38" spans="2:15" ht="15.5" thickTop="1" thickBot="1" x14ac:dyDescent="0.4">
      <c r="B38" s="8"/>
      <c r="C38" s="8">
        <v>2</v>
      </c>
      <c r="D38" s="10">
        <f>((POISSON(2,C32,FALSE)*POISSON(0,F32,FALSE)))*100</f>
        <v>6.1095460636136867</v>
      </c>
      <c r="E38" s="10">
        <f>((POISSON(2,C32,FALSE)*POISSON(1,F32,FALSE)))*100</f>
        <v>6.1963404762976193</v>
      </c>
      <c r="F38" s="10">
        <f>((POISSON(2,C32,FALSE)*POISSON(2,F32,FALSE)))*100</f>
        <v>3.1421839608403301</v>
      </c>
      <c r="G38" s="10">
        <f>((POISSON(2,C32,FALSE)*POISSON(3,F32,FALSE)))*100</f>
        <v>1.062274319444934</v>
      </c>
      <c r="H38" s="10">
        <f>((POISSON(2,C32,FALSE)*POISSON(4,F32,FALSE)))*100</f>
        <v>0.26934134279261368</v>
      </c>
      <c r="I38" s="11">
        <f>((POISSON(2,C32,FALSE)*POISSON(5,F32,FALSE)))*100</f>
        <v>5.4633540590709032E-2</v>
      </c>
      <c r="K38" s="7"/>
      <c r="L38" s="7"/>
      <c r="M38" s="22"/>
      <c r="N38" s="7"/>
      <c r="O38" s="7"/>
    </row>
    <row r="39" spans="2:15" ht="15.5" thickTop="1" thickBot="1" x14ac:dyDescent="0.4">
      <c r="B39" s="8"/>
      <c r="C39" s="8">
        <v>3</v>
      </c>
      <c r="D39" s="10">
        <f>((POISSON(3,C32,FALSE)*POISSON(0,F32,FALSE)))*100</f>
        <v>1.8715128477303551</v>
      </c>
      <c r="E39" s="10">
        <f>((POISSON(3,C32,FALSE)*POISSON(1,F32,FALSE)))*100</f>
        <v>1.8981002335619488</v>
      </c>
      <c r="F39" s="10">
        <f>((POISSON(3,C32,FALSE)*POISSON(2,F32,FALSE)))*100</f>
        <v>0.96253266468812626</v>
      </c>
      <c r="G39" s="10">
        <f>((POISSON(3,C32,FALSE)*POISSON(3,F32,FALSE)))*100</f>
        <v>0.32540225017622865</v>
      </c>
      <c r="H39" s="10">
        <f>((POISSON(3,C32,FALSE)*POISSON(4,F32,FALSE)))*100</f>
        <v>8.2506257946628941E-2</v>
      </c>
      <c r="I39" s="11">
        <f>((POISSON(3,C32,FALSE)*POISSON(5,F32,FALSE)))*100</f>
        <v>1.6735674314898665E-2</v>
      </c>
      <c r="K39" s="7" t="s">
        <v>40</v>
      </c>
      <c r="L39" s="7">
        <f xml:space="preserve"> 1 / (10^(-(L37/600)) + 1)</f>
        <v>0.46027794490883295</v>
      </c>
      <c r="M39" s="22"/>
      <c r="N39" s="7" t="s">
        <v>40</v>
      </c>
      <c r="O39" s="7">
        <f xml:space="preserve"> 1 / (10^(-(O37/600)) + 1)</f>
        <v>0.539722055091167</v>
      </c>
    </row>
    <row r="40" spans="2:15" ht="15" thickBot="1" x14ac:dyDescent="0.4">
      <c r="B40" s="8"/>
      <c r="C40" s="12">
        <v>4</v>
      </c>
      <c r="D40" s="10">
        <f>((POISSON(4,C32,FALSE)*POISSON(0,F32,FALSE)))*100</f>
        <v>0.42996979269210417</v>
      </c>
      <c r="E40" s="10">
        <f>((POISSON(4,C32,FALSE)*POISSON(1,F32,FALSE)))*100</f>
        <v>0.43607809848765289</v>
      </c>
      <c r="F40" s="10">
        <f>((POISSON(4,C32,FALSE)*POISSON(2,F32,FALSE)))*100</f>
        <v>0.22113659053809528</v>
      </c>
      <c r="G40" s="10">
        <f>((POISSON(4,C32,FALSE)*POISSON(3,F32,FALSE)))*100</f>
        <v>7.4759378873350754E-2</v>
      </c>
      <c r="H40" s="10">
        <f>((POISSON(4,0.526,FALSE)*POISSON(4,1.831,FALSE)))*100</f>
        <v>1.4146264581510875E-2</v>
      </c>
      <c r="I40" s="11">
        <f>((POISSON(4,C32,FALSE)*POISSON(5,F32,FALSE)))*100</f>
        <v>3.8449292103263808E-3</v>
      </c>
      <c r="K40" s="14"/>
      <c r="L40" s="14"/>
    </row>
    <row r="41" spans="2:15" ht="15" thickBot="1" x14ac:dyDescent="0.4">
      <c r="B41" s="8"/>
      <c r="C41" s="8">
        <v>5</v>
      </c>
      <c r="D41" s="10">
        <f>((POISSON(5,C32,FALSE)*POISSON(0,F32,FALSE)))*100</f>
        <v>7.9026557729226954E-2</v>
      </c>
      <c r="E41" s="10">
        <f>((POISSON(5,C32,FALSE)*POISSON(1,F32,FALSE)))*100</f>
        <v>8.0149237482047123E-2</v>
      </c>
      <c r="F41" s="10">
        <f>((POISSON(5,C32,FALSE)*POISSON(2,F32,FALSE)))*100</f>
        <v>4.0643933213971868E-2</v>
      </c>
      <c r="G41" s="10">
        <f>((POISSON(5,C32,FALSE)*POISSON(3,F32,FALSE)))*100</f>
        <v>1.3740445191150044E-2</v>
      </c>
      <c r="H41" s="10">
        <f>((POISSON(5,C32,FALSE)*POISSON(4,F32,FALSE)))*100</f>
        <v>3.4839117265740406E-3</v>
      </c>
      <c r="I41" s="11">
        <f>((POISSON(5,C32,FALSE)*POISSON(5,F32,FALSE)))*100</f>
        <v>7.0668108636699723E-4</v>
      </c>
    </row>
    <row r="42" spans="2:15" x14ac:dyDescent="0.35">
      <c r="C42" s="5"/>
      <c r="D42" s="6"/>
    </row>
    <row r="46" spans="2:15" x14ac:dyDescent="0.35">
      <c r="C46" s="3" t="str">
        <f>B31</f>
        <v>Denmark</v>
      </c>
      <c r="D46" s="3" t="s">
        <v>43</v>
      </c>
      <c r="E46" s="3" t="str">
        <f>E31</f>
        <v>Germany</v>
      </c>
    </row>
    <row r="47" spans="2:15" x14ac:dyDescent="0.35">
      <c r="C47" s="6">
        <f>SUM(D37,D38,E38,D39,E39,F39,D40,E40,F40,D41,E41,F41,G41,G40,H41)</f>
        <v>31.713412380984668</v>
      </c>
      <c r="D47" s="6">
        <f>SUM(D36,E37,F38,G39,H40,I41)</f>
        <v>31.436397302905032</v>
      </c>
      <c r="E47" s="6">
        <f>SUM(E36,F36,F37,G36,G37,G38,H36,H37,H38,H39,I36,I37,I38,I39,I40)</f>
        <v>36.743192908305723</v>
      </c>
    </row>
    <row r="49" spans="2:10" x14ac:dyDescent="0.35">
      <c r="C49" s="3" t="s">
        <v>44</v>
      </c>
      <c r="D49" s="3" t="s">
        <v>45</v>
      </c>
      <c r="H49" s="3" t="s">
        <v>47</v>
      </c>
      <c r="I49" s="3" t="s">
        <v>48</v>
      </c>
    </row>
    <row r="50" spans="2:10" x14ac:dyDescent="0.35">
      <c r="B50" s="3">
        <v>0.5</v>
      </c>
      <c r="C50" s="6">
        <f>D36</f>
        <v>14.468672659425074</v>
      </c>
      <c r="D50" s="6">
        <f>SUM(D37:D41,E36:E41,F36:F41,G36:G41,H36:H41,I36:I41)</f>
        <v>85.424329932770377</v>
      </c>
      <c r="G50" s="3" t="s">
        <v>46</v>
      </c>
      <c r="H50" s="6">
        <f>SUM(E37:E41,F37:F41,G37:G41,H37:H41,I37:I41)</f>
        <v>38.239393415223532</v>
      </c>
      <c r="I50" s="6">
        <f>SUM(D36:I36,D37:D41)</f>
        <v>61.653609176971912</v>
      </c>
    </row>
    <row r="51" spans="2:10" x14ac:dyDescent="0.35">
      <c r="B51" s="3">
        <v>1.5</v>
      </c>
      <c r="C51" s="6">
        <f>SUM(D36:D37,E36)</f>
        <v>42.439284644953851</v>
      </c>
      <c r="D51" s="6">
        <f>SUM(E37,D38:F38,F36:F37,D39:I39,D40:I40,D41:I41,G36:I38)</f>
        <v>57.453717947241593</v>
      </c>
    </row>
    <row r="52" spans="2:10" x14ac:dyDescent="0.35">
      <c r="B52" s="3">
        <v>2.5</v>
      </c>
      <c r="C52" s="6">
        <f>SUM(D36:D38,E36:E37,F36)</f>
        <v>69.475459740648276</v>
      </c>
      <c r="D52" s="6">
        <f>SUM(D39:D41,E38:E41,F37:F41,G36:G41,H36:H40,H41,I36:I41)</f>
        <v>30.417542851547157</v>
      </c>
    </row>
    <row r="53" spans="2:10" x14ac:dyDescent="0.35">
      <c r="B53" s="3">
        <v>3.5</v>
      </c>
      <c r="C53" s="6">
        <f>SUM(D36:D39,E36:E38,F36:F37,G36)</f>
        <v>86.897430204581966</v>
      </c>
      <c r="D53" s="6">
        <f>SUM(D40:D41,E39:E41,F38:F41,G37:G41,H36:H41,I36:I41)</f>
        <v>12.995572387613462</v>
      </c>
      <c r="G53" s="29" t="s">
        <v>49</v>
      </c>
    </row>
    <row r="54" spans="2:10" x14ac:dyDescent="0.35">
      <c r="B54" s="3">
        <v>4.5</v>
      </c>
      <c r="C54" s="6">
        <f>SUM(E36:E39,D36:D40,F36:F38,G36:G37,H36)</f>
        <v>95.317400497306039</v>
      </c>
      <c r="D54" s="6">
        <f>SUM(D41,E40:E41,F39:F41,G38:G41,H37:H38,H39:H41,I36:I41)</f>
        <v>4.5756020948894012</v>
      </c>
    </row>
    <row r="55" spans="2:10" x14ac:dyDescent="0.35">
      <c r="G55" s="29" t="str">
        <f>B31</f>
        <v>Denmark</v>
      </c>
      <c r="I55" s="29" t="str">
        <f>E31</f>
        <v>Germany</v>
      </c>
    </row>
    <row r="56" spans="2:10" x14ac:dyDescent="0.35">
      <c r="F56" s="3" t="s">
        <v>44</v>
      </c>
      <c r="G56" s="3" t="s">
        <v>45</v>
      </c>
      <c r="I56" s="3" t="s">
        <v>44</v>
      </c>
      <c r="J56" s="3" t="s">
        <v>45</v>
      </c>
    </row>
    <row r="57" spans="2:10" x14ac:dyDescent="0.35">
      <c r="E57" s="3">
        <v>0.5</v>
      </c>
      <c r="F57" s="6">
        <f>SUM(D36:I36)</f>
        <v>39.867161766047772</v>
      </c>
      <c r="G57" s="6">
        <f>SUM(D37:I41)</f>
        <v>60.025840826147679</v>
      </c>
      <c r="H57" s="3">
        <v>0.5</v>
      </c>
      <c r="I57" s="30">
        <f>SUM(D36:D41)</f>
        <v>36.255120070349214</v>
      </c>
      <c r="J57" s="30">
        <f>100-I57</f>
        <v>63.744879929650786</v>
      </c>
    </row>
    <row r="58" spans="2:10" x14ac:dyDescent="0.35">
      <c r="E58" s="3">
        <v>1.5</v>
      </c>
      <c r="F58" s="6">
        <f>SUM(D36:I37)</f>
        <v>76.504207139384974</v>
      </c>
      <c r="G58" s="6">
        <f>100-F58</f>
        <v>23.495792860615026</v>
      </c>
      <c r="H58" s="3">
        <v>1.5</v>
      </c>
      <c r="I58" s="30">
        <f>SUM(D36:E41)</f>
        <v>73.025293439344011</v>
      </c>
      <c r="J58" s="30">
        <f t="shared" ref="J58:J61" si="1">100-I58</f>
        <v>26.974706560655989</v>
      </c>
    </row>
    <row r="59" spans="2:10" x14ac:dyDescent="0.35">
      <c r="E59" s="3">
        <v>2.5</v>
      </c>
      <c r="F59" s="6">
        <f>SUM(D36:I38)</f>
        <v>93.338526842964882</v>
      </c>
      <c r="G59" s="6">
        <f t="shared" ref="G59:G61" si="2">100-F59</f>
        <v>6.6614731570351182</v>
      </c>
      <c r="H59" s="3">
        <v>2.5</v>
      </c>
      <c r="I59" s="30">
        <f>SUM(D36:F41)</f>
        <v>91.671565289532808</v>
      </c>
      <c r="J59" s="30">
        <f t="shared" si="1"/>
        <v>8.3284347104671923</v>
      </c>
    </row>
    <row r="60" spans="2:10" x14ac:dyDescent="0.35">
      <c r="E60" s="3">
        <v>3.5</v>
      </c>
      <c r="F60" s="6">
        <f>SUM(D36:I39)</f>
        <v>98.495316771383074</v>
      </c>
      <c r="G60" s="6">
        <f t="shared" si="2"/>
        <v>1.5046832286169263</v>
      </c>
      <c r="H60" s="3">
        <v>3.5</v>
      </c>
      <c r="I60" s="30">
        <f>SUM(D36:G41)</f>
        <v>97.975287791682973</v>
      </c>
      <c r="J60" s="30">
        <f t="shared" si="1"/>
        <v>2.0247122083170268</v>
      </c>
    </row>
    <row r="61" spans="2:10" x14ac:dyDescent="0.35">
      <c r="E61" s="3">
        <v>4.5</v>
      </c>
      <c r="F61" s="6">
        <f>SUM(D36:I40)</f>
        <v>99.675251825766125</v>
      </c>
      <c r="G61" s="6">
        <f t="shared" si="2"/>
        <v>0.32474817423387492</v>
      </c>
      <c r="H61" s="3">
        <v>4.5</v>
      </c>
      <c r="I61" s="30">
        <f>SUM(D36:H41)</f>
        <v>99.568797560698741</v>
      </c>
      <c r="J61" s="30">
        <f t="shared" si="1"/>
        <v>0.43120243930125923</v>
      </c>
    </row>
  </sheetData>
  <dataValidations count="1">
    <dataValidation type="list" allowBlank="1" showInputMessage="1" showErrorMessage="1" sqref="B31 E31" xr:uid="{8829417D-7E4E-4609-A258-D705A134A6EF}">
      <formula1>$C2:$C26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B067-3B9A-4D0C-BA20-CAAB5C4CE43A}">
  <dimension ref="A1:O58"/>
  <sheetViews>
    <sheetView tabSelected="1" topLeftCell="A46" workbookViewId="0">
      <selection activeCell="E31" sqref="E31"/>
    </sheetView>
  </sheetViews>
  <sheetFormatPr defaultRowHeight="14.5" x14ac:dyDescent="0.35"/>
  <cols>
    <col min="1" max="1" width="10.81640625" style="1" customWidth="1"/>
    <col min="2" max="2" width="11.36328125" style="1" customWidth="1"/>
    <col min="3" max="3" width="13.6328125" style="1" customWidth="1"/>
    <col min="4" max="6" width="9.08984375" style="1" customWidth="1"/>
    <col min="7" max="8" width="11.36328125" style="1" customWidth="1"/>
    <col min="9" max="10" width="18.1796875" customWidth="1"/>
    <col min="11" max="11" width="27.26953125" customWidth="1"/>
    <col min="14" max="14" width="27.26953125" customWidth="1"/>
  </cols>
  <sheetData>
    <row r="1" spans="1:11" x14ac:dyDescent="0.35">
      <c r="A1" s="16" t="s">
        <v>30</v>
      </c>
      <c r="B1" s="16" t="s">
        <v>31</v>
      </c>
      <c r="C1" s="16" t="s">
        <v>33</v>
      </c>
      <c r="D1" s="16" t="s">
        <v>1</v>
      </c>
      <c r="E1" s="16" t="s">
        <v>2</v>
      </c>
      <c r="F1" s="16" t="s">
        <v>5</v>
      </c>
      <c r="G1" s="16" t="s">
        <v>6</v>
      </c>
      <c r="H1" s="16" t="s">
        <v>7</v>
      </c>
      <c r="I1" s="17" t="s">
        <v>8</v>
      </c>
      <c r="J1" s="17" t="s">
        <v>35</v>
      </c>
      <c r="K1" s="3"/>
    </row>
    <row r="2" spans="1:11" x14ac:dyDescent="0.35">
      <c r="A2" s="18">
        <v>2</v>
      </c>
      <c r="B2" s="18">
        <v>1840.59</v>
      </c>
      <c r="C2" s="18" t="s">
        <v>11</v>
      </c>
      <c r="D2" s="18">
        <v>76</v>
      </c>
      <c r="E2" s="18">
        <v>32</v>
      </c>
      <c r="F2" s="18">
        <v>38</v>
      </c>
      <c r="G2" s="13">
        <f t="shared" ref="G2:G26" si="0">D2/F2</f>
        <v>2</v>
      </c>
      <c r="H2" s="13">
        <f t="shared" ref="H2:H26" si="1">E2/F2</f>
        <v>0.84210526315789469</v>
      </c>
      <c r="I2" s="19">
        <f>G2/G28</f>
        <v>1.1287105529320538</v>
      </c>
      <c r="J2" s="19">
        <f>H2/1.017</f>
        <v>0.82802877399989649</v>
      </c>
    </row>
    <row r="3" spans="1:11" x14ac:dyDescent="0.35">
      <c r="A3" s="18">
        <v>3</v>
      </c>
      <c r="B3" s="18">
        <v>1795.23</v>
      </c>
      <c r="C3" s="18" t="s">
        <v>20</v>
      </c>
      <c r="D3" s="18">
        <v>82</v>
      </c>
      <c r="E3" s="18">
        <v>33</v>
      </c>
      <c r="F3" s="18">
        <v>37</v>
      </c>
      <c r="G3" s="13">
        <f t="shared" si="0"/>
        <v>2.2162162162162162</v>
      </c>
      <c r="H3" s="13">
        <f t="shared" si="1"/>
        <v>0.89189189189189189</v>
      </c>
      <c r="I3" s="19">
        <f>G3/G28</f>
        <v>1.2507333154111946</v>
      </c>
      <c r="J3" s="19">
        <f t="shared" ref="J3:J26" si="2">H3/1.017</f>
        <v>0.87698317786813373</v>
      </c>
    </row>
    <row r="4" spans="1:11" x14ac:dyDescent="0.35">
      <c r="A4" s="18">
        <v>4</v>
      </c>
      <c r="B4" s="18">
        <v>1794.9</v>
      </c>
      <c r="C4" s="18" t="s">
        <v>19</v>
      </c>
      <c r="D4" s="18">
        <v>79</v>
      </c>
      <c r="E4" s="18">
        <v>29</v>
      </c>
      <c r="F4" s="18">
        <v>46</v>
      </c>
      <c r="G4" s="13">
        <f t="shared" si="0"/>
        <v>1.7173913043478262</v>
      </c>
      <c r="H4" s="13">
        <f t="shared" si="1"/>
        <v>0.63043478260869568</v>
      </c>
      <c r="I4" s="19">
        <f>G4/G28</f>
        <v>0.96921884436556793</v>
      </c>
      <c r="J4" s="19">
        <f t="shared" si="2"/>
        <v>0.61989654140481387</v>
      </c>
    </row>
    <row r="5" spans="1:11" x14ac:dyDescent="0.35">
      <c r="A5" s="18">
        <v>6</v>
      </c>
      <c r="B5" s="18">
        <v>1748.11</v>
      </c>
      <c r="C5" s="18" t="s">
        <v>0</v>
      </c>
      <c r="D5" s="18">
        <v>90</v>
      </c>
      <c r="E5" s="18">
        <v>27</v>
      </c>
      <c r="F5" s="18">
        <v>39</v>
      </c>
      <c r="G5" s="13">
        <f t="shared" si="0"/>
        <v>2.3076923076923075</v>
      </c>
      <c r="H5" s="13">
        <f t="shared" si="1"/>
        <v>0.69230769230769229</v>
      </c>
      <c r="I5" s="19">
        <f>G5/G28</f>
        <v>1.3023583303062156</v>
      </c>
      <c r="J5" s="19">
        <f t="shared" si="2"/>
        <v>0.68073519400953031</v>
      </c>
    </row>
    <row r="6" spans="1:11" x14ac:dyDescent="0.35">
      <c r="A6" s="18">
        <v>7</v>
      </c>
      <c r="B6" s="18">
        <v>1742.29</v>
      </c>
      <c r="C6" s="18" t="s">
        <v>23</v>
      </c>
      <c r="D6" s="18">
        <f>11+13+11+15+13+9+9+8+19</f>
        <v>108</v>
      </c>
      <c r="E6" s="18">
        <f>4+2+5+5+6+2+13+3+1</f>
        <v>41</v>
      </c>
      <c r="F6" s="18">
        <v>43</v>
      </c>
      <c r="G6" s="13">
        <f t="shared" si="0"/>
        <v>2.5116279069767442</v>
      </c>
      <c r="H6" s="13">
        <f t="shared" si="1"/>
        <v>0.95348837209302328</v>
      </c>
      <c r="I6" s="19">
        <f>G6/G28</f>
        <v>1.4174504618216488</v>
      </c>
      <c r="J6" s="19">
        <f t="shared" si="2"/>
        <v>0.93755002172372015</v>
      </c>
    </row>
    <row r="7" spans="1:11" x14ac:dyDescent="0.35">
      <c r="A7" s="18">
        <v>8</v>
      </c>
      <c r="B7" s="18">
        <v>1727.5</v>
      </c>
      <c r="C7" s="18" t="s">
        <v>4</v>
      </c>
      <c r="D7" s="18">
        <v>93</v>
      </c>
      <c r="E7" s="18">
        <v>29</v>
      </c>
      <c r="F7" s="18">
        <v>35</v>
      </c>
      <c r="G7" s="13">
        <f t="shared" si="0"/>
        <v>2.657142857142857</v>
      </c>
      <c r="H7" s="13">
        <f t="shared" si="1"/>
        <v>0.82857142857142863</v>
      </c>
      <c r="I7" s="19">
        <f>G7/G28</f>
        <v>1.4995725917525855</v>
      </c>
      <c r="J7" s="19">
        <f t="shared" si="2"/>
        <v>0.81472116870346967</v>
      </c>
    </row>
    <row r="8" spans="1:11" x14ac:dyDescent="0.35">
      <c r="A8" s="18">
        <v>9</v>
      </c>
      <c r="B8" s="18">
        <v>1724.6</v>
      </c>
      <c r="C8" s="18" t="s">
        <v>13</v>
      </c>
      <c r="D8" s="18">
        <v>73</v>
      </c>
      <c r="E8" s="18">
        <v>27</v>
      </c>
      <c r="F8" s="18">
        <v>38</v>
      </c>
      <c r="G8" s="13">
        <f t="shared" si="0"/>
        <v>1.9210526315789473</v>
      </c>
      <c r="H8" s="13">
        <f t="shared" si="1"/>
        <v>0.71052631578947367</v>
      </c>
      <c r="I8" s="19">
        <f>G8/G28</f>
        <v>1.0841561890005253</v>
      </c>
      <c r="J8" s="19">
        <f t="shared" si="2"/>
        <v>0.69864927806241273</v>
      </c>
    </row>
    <row r="9" spans="1:11" x14ac:dyDescent="0.35">
      <c r="A9" s="18">
        <v>10</v>
      </c>
      <c r="B9" s="18">
        <v>1721.07</v>
      </c>
      <c r="C9" s="18" t="s">
        <v>3</v>
      </c>
      <c r="D9" s="18">
        <f>2+3+4+0+1+1+3+2+1+2+33</f>
        <v>52</v>
      </c>
      <c r="E9" s="18">
        <v>46</v>
      </c>
      <c r="F9" s="18">
        <v>32</v>
      </c>
      <c r="G9" s="13">
        <f t="shared" si="0"/>
        <v>1.625</v>
      </c>
      <c r="H9" s="13">
        <f t="shared" si="1"/>
        <v>1.4375</v>
      </c>
      <c r="I9" s="19">
        <f>G9/G28</f>
        <v>0.9170773242572936</v>
      </c>
      <c r="J9" s="19">
        <f t="shared" si="2"/>
        <v>1.4134709931170109</v>
      </c>
    </row>
    <row r="10" spans="1:11" x14ac:dyDescent="0.35">
      <c r="A10" s="18">
        <v>16</v>
      </c>
      <c r="B10" s="18">
        <v>1644.21</v>
      </c>
      <c r="C10" s="18" t="s">
        <v>12</v>
      </c>
      <c r="D10" s="18">
        <v>69</v>
      </c>
      <c r="E10" s="18">
        <v>48</v>
      </c>
      <c r="F10" s="18">
        <v>39</v>
      </c>
      <c r="G10" s="13">
        <f t="shared" si="0"/>
        <v>1.7692307692307692</v>
      </c>
      <c r="H10" s="13">
        <f t="shared" si="1"/>
        <v>1.2307692307692308</v>
      </c>
      <c r="I10" s="19">
        <f>G10/G28</f>
        <v>0.99847471990143211</v>
      </c>
      <c r="J10" s="19">
        <f t="shared" si="2"/>
        <v>1.2101959004613874</v>
      </c>
    </row>
    <row r="11" spans="1:11" x14ac:dyDescent="0.35">
      <c r="A11" s="18">
        <v>19</v>
      </c>
      <c r="B11" s="18">
        <v>1616.41</v>
      </c>
      <c r="C11" s="18" t="s">
        <v>18</v>
      </c>
      <c r="D11" s="18">
        <v>79</v>
      </c>
      <c r="E11" s="18">
        <v>35</v>
      </c>
      <c r="F11" s="18">
        <v>43</v>
      </c>
      <c r="G11" s="13">
        <f t="shared" si="0"/>
        <v>1.8372093023255813</v>
      </c>
      <c r="H11" s="13">
        <f t="shared" si="1"/>
        <v>0.81395348837209303</v>
      </c>
      <c r="I11" s="19">
        <f>G11/G28</f>
        <v>1.0368387637399097</v>
      </c>
      <c r="J11" s="19">
        <f t="shared" si="2"/>
        <v>0.80034757952024882</v>
      </c>
    </row>
    <row r="12" spans="1:11" x14ac:dyDescent="0.35">
      <c r="A12" s="18">
        <v>21</v>
      </c>
      <c r="B12" s="18">
        <v>1602.72</v>
      </c>
      <c r="C12" s="18" t="s">
        <v>15</v>
      </c>
      <c r="D12" s="18">
        <v>81</v>
      </c>
      <c r="E12" s="18">
        <v>23</v>
      </c>
      <c r="F12" s="18">
        <v>39</v>
      </c>
      <c r="G12" s="13">
        <f t="shared" si="0"/>
        <v>2.0769230769230771</v>
      </c>
      <c r="H12" s="13">
        <f t="shared" si="1"/>
        <v>0.58974358974358976</v>
      </c>
      <c r="I12" s="19">
        <f>G12/G28</f>
        <v>1.1721224972755944</v>
      </c>
      <c r="J12" s="19">
        <f t="shared" si="2"/>
        <v>0.57988553563774814</v>
      </c>
    </row>
    <row r="13" spans="1:11" x14ac:dyDescent="0.35">
      <c r="A13" s="18">
        <v>22</v>
      </c>
      <c r="B13" s="18">
        <v>1568.86</v>
      </c>
      <c r="C13" s="18" t="s">
        <v>16</v>
      </c>
      <c r="D13" s="18">
        <v>65</v>
      </c>
      <c r="E13" s="18">
        <v>50</v>
      </c>
      <c r="F13" s="18">
        <v>37</v>
      </c>
      <c r="G13" s="13">
        <f t="shared" si="0"/>
        <v>1.7567567567567568</v>
      </c>
      <c r="H13" s="13">
        <f t="shared" si="1"/>
        <v>1.3513513513513513</v>
      </c>
      <c r="I13" s="19">
        <f>G13/G28</f>
        <v>0.99143494514302022</v>
      </c>
      <c r="J13" s="19">
        <f t="shared" si="2"/>
        <v>1.3287623907092934</v>
      </c>
    </row>
    <row r="14" spans="1:11" x14ac:dyDescent="0.35">
      <c r="A14" s="18">
        <v>25</v>
      </c>
      <c r="B14" s="18">
        <v>1554.86</v>
      </c>
      <c r="C14" s="18" t="s">
        <v>9</v>
      </c>
      <c r="D14" s="18">
        <v>57</v>
      </c>
      <c r="E14" s="18">
        <v>34</v>
      </c>
      <c r="F14" s="18">
        <v>38</v>
      </c>
      <c r="G14" s="13">
        <f t="shared" si="0"/>
        <v>1.5</v>
      </c>
      <c r="H14" s="13">
        <f t="shared" si="1"/>
        <v>0.89473684210526316</v>
      </c>
      <c r="I14" s="19">
        <f>G14/G28</f>
        <v>0.84653291469904024</v>
      </c>
      <c r="J14" s="19">
        <f t="shared" si="2"/>
        <v>0.87978057237489016</v>
      </c>
    </row>
    <row r="15" spans="1:11" x14ac:dyDescent="0.35">
      <c r="A15" s="18">
        <v>26</v>
      </c>
      <c r="B15" s="18">
        <v>1532.2</v>
      </c>
      <c r="C15" s="18" t="s">
        <v>29</v>
      </c>
      <c r="D15" s="18">
        <f>13+3+7+4+8+8+10+8</f>
        <v>61</v>
      </c>
      <c r="E15" s="18">
        <f>4+10+4+4+5+1+7+5</f>
        <v>40</v>
      </c>
      <c r="F15" s="18">
        <v>40</v>
      </c>
      <c r="G15" s="13">
        <f t="shared" si="0"/>
        <v>1.5249999999999999</v>
      </c>
      <c r="H15" s="13">
        <f t="shared" si="1"/>
        <v>1</v>
      </c>
      <c r="I15" s="19">
        <f>G15/G28</f>
        <v>0.86064179661069096</v>
      </c>
      <c r="J15" s="19">
        <f t="shared" si="2"/>
        <v>0.98328416912487715</v>
      </c>
    </row>
    <row r="16" spans="1:11" x14ac:dyDescent="0.35">
      <c r="A16" s="18">
        <v>27</v>
      </c>
      <c r="B16" s="18">
        <v>1531.68</v>
      </c>
      <c r="C16" s="18" t="s">
        <v>17</v>
      </c>
      <c r="D16" s="18">
        <v>58</v>
      </c>
      <c r="E16" s="18">
        <v>37</v>
      </c>
      <c r="F16" s="18">
        <v>40</v>
      </c>
      <c r="G16" s="13">
        <f t="shared" si="0"/>
        <v>1.45</v>
      </c>
      <c r="H16" s="13">
        <f t="shared" si="1"/>
        <v>0.92500000000000004</v>
      </c>
      <c r="I16" s="19">
        <f>G16/G28</f>
        <v>0.81831515087573892</v>
      </c>
      <c r="J16" s="19">
        <f t="shared" si="2"/>
        <v>0.90953785644051144</v>
      </c>
    </row>
    <row r="17" spans="1:15" x14ac:dyDescent="0.35">
      <c r="A17" s="18">
        <v>28</v>
      </c>
      <c r="B17" s="18">
        <v>1531.49</v>
      </c>
      <c r="C17" s="18" t="s">
        <v>14</v>
      </c>
      <c r="D17" s="18">
        <v>79</v>
      </c>
      <c r="E17" s="18">
        <v>44</v>
      </c>
      <c r="F17" s="18">
        <v>41</v>
      </c>
      <c r="G17" s="13">
        <f t="shared" si="0"/>
        <v>1.9268292682926829</v>
      </c>
      <c r="H17" s="13">
        <f t="shared" si="1"/>
        <v>1.0731707317073171</v>
      </c>
      <c r="I17" s="19">
        <f>G17/G28</f>
        <v>1.0874162644101493</v>
      </c>
      <c r="J17" s="19">
        <f t="shared" si="2"/>
        <v>1.0552317912559659</v>
      </c>
    </row>
    <row r="18" spans="1:15" x14ac:dyDescent="0.35">
      <c r="A18" s="18">
        <v>33</v>
      </c>
      <c r="B18" s="18">
        <v>1514.2</v>
      </c>
      <c r="C18" s="18" t="s">
        <v>32</v>
      </c>
      <c r="D18" s="18">
        <f>8+10+10+11+12+10+8+7</f>
        <v>76</v>
      </c>
      <c r="E18" s="18">
        <f>6+3+5+5+9+4+7+8</f>
        <v>47</v>
      </c>
      <c r="F18" s="18">
        <v>39</v>
      </c>
      <c r="G18" s="13">
        <f t="shared" si="0"/>
        <v>1.9487179487179487</v>
      </c>
      <c r="H18" s="13">
        <f t="shared" si="1"/>
        <v>1.2051282051282051</v>
      </c>
      <c r="I18" s="19">
        <f>G18/G28</f>
        <v>1.0997692567030266</v>
      </c>
      <c r="J18" s="19">
        <f t="shared" si="2"/>
        <v>1.1849834858684416</v>
      </c>
    </row>
    <row r="19" spans="1:15" x14ac:dyDescent="0.35">
      <c r="A19" s="18">
        <v>36</v>
      </c>
      <c r="B19" s="18">
        <v>1501.46</v>
      </c>
      <c r="C19" s="18" t="s">
        <v>10</v>
      </c>
      <c r="D19" s="18">
        <v>54</v>
      </c>
      <c r="E19" s="18">
        <v>51</v>
      </c>
      <c r="F19" s="18">
        <v>41</v>
      </c>
      <c r="G19" s="13">
        <f t="shared" si="0"/>
        <v>1.3170731707317074</v>
      </c>
      <c r="H19" s="13">
        <f t="shared" si="1"/>
        <v>1.2439024390243902</v>
      </c>
      <c r="I19" s="19">
        <f>G19/G28</f>
        <v>0.74329719339427935</v>
      </c>
      <c r="J19" s="19">
        <f t="shared" si="2"/>
        <v>1.2231095762285058</v>
      </c>
    </row>
    <row r="20" spans="1:15" x14ac:dyDescent="0.35">
      <c r="A20" s="18">
        <v>39</v>
      </c>
      <c r="B20" s="18">
        <v>1497.46</v>
      </c>
      <c r="C20" s="18" t="s">
        <v>28</v>
      </c>
      <c r="D20" s="18">
        <f>10+2+9+6+10+12+7+5</f>
        <v>61</v>
      </c>
      <c r="E20" s="18">
        <f>5+7+2+9+4+1+14+12</f>
        <v>54</v>
      </c>
      <c r="F20" s="18">
        <v>40</v>
      </c>
      <c r="G20" s="13">
        <f t="shared" si="0"/>
        <v>1.5249999999999999</v>
      </c>
      <c r="H20" s="13">
        <f t="shared" si="1"/>
        <v>1.35</v>
      </c>
      <c r="I20" s="19">
        <f>G20/G28</f>
        <v>0.86064179661069096</v>
      </c>
      <c r="J20" s="19">
        <f t="shared" si="2"/>
        <v>1.3274336283185844</v>
      </c>
    </row>
    <row r="21" spans="1:15" x14ac:dyDescent="0.35">
      <c r="A21" s="18">
        <v>40</v>
      </c>
      <c r="B21" s="18">
        <v>1495.94</v>
      </c>
      <c r="C21" s="18" t="s">
        <v>21</v>
      </c>
      <c r="D21" s="18">
        <v>65</v>
      </c>
      <c r="E21" s="18">
        <v>74</v>
      </c>
      <c r="F21" s="18">
        <v>44</v>
      </c>
      <c r="G21" s="13">
        <f t="shared" si="0"/>
        <v>1.4772727272727273</v>
      </c>
      <c r="H21" s="13">
        <f t="shared" si="1"/>
        <v>1.6818181818181819</v>
      </c>
      <c r="I21" s="19">
        <f>G21/G28</f>
        <v>0.83370665841572156</v>
      </c>
      <c r="J21" s="19">
        <f t="shared" si="2"/>
        <v>1.6537051935282026</v>
      </c>
    </row>
    <row r="22" spans="1:15" x14ac:dyDescent="0.35">
      <c r="A22" s="18">
        <v>46</v>
      </c>
      <c r="B22" s="18">
        <v>1468.17</v>
      </c>
      <c r="C22" s="18" t="s">
        <v>27</v>
      </c>
      <c r="D22" s="18">
        <f>12+5+4+4+7+11+9+4</f>
        <v>56</v>
      </c>
      <c r="E22" s="18">
        <f>7+7+2+6+7+3+2+4</f>
        <v>38</v>
      </c>
      <c r="F22" s="18">
        <v>39</v>
      </c>
      <c r="G22" s="13">
        <f t="shared" si="0"/>
        <v>1.4358974358974359</v>
      </c>
      <c r="H22" s="13">
        <f t="shared" si="1"/>
        <v>0.97435897435897434</v>
      </c>
      <c r="I22" s="19">
        <f>G22/G28</f>
        <v>0.81035629441275647</v>
      </c>
      <c r="J22" s="19">
        <f t="shared" si="2"/>
        <v>0.95807175453193161</v>
      </c>
    </row>
    <row r="23" spans="1:15" x14ac:dyDescent="0.35">
      <c r="A23" s="18">
        <v>48</v>
      </c>
      <c r="B23" s="18">
        <v>1461.55</v>
      </c>
      <c r="C23" s="18" t="s">
        <v>24</v>
      </c>
      <c r="D23" s="18">
        <f>5+3+6+9+6+5+10+11</f>
        <v>55</v>
      </c>
      <c r="E23" s="18">
        <f>4+8+6+3+7+1+6+4</f>
        <v>39</v>
      </c>
      <c r="F23" s="18">
        <v>39</v>
      </c>
      <c r="G23" s="13">
        <f t="shared" si="0"/>
        <v>1.4102564102564104</v>
      </c>
      <c r="H23" s="13">
        <f t="shared" si="1"/>
        <v>1</v>
      </c>
      <c r="I23" s="19">
        <f>G23/G28</f>
        <v>0.7958856462982431</v>
      </c>
      <c r="J23" s="19">
        <f t="shared" si="2"/>
        <v>0.98328416912487715</v>
      </c>
    </row>
    <row r="24" spans="1:15" x14ac:dyDescent="0.35">
      <c r="A24" s="18">
        <v>57</v>
      </c>
      <c r="B24" s="18">
        <v>1427.84</v>
      </c>
      <c r="C24" s="18" t="s">
        <v>25</v>
      </c>
      <c r="D24" s="18">
        <f>4+9+9+7+8+9+11+8</f>
        <v>65</v>
      </c>
      <c r="E24" s="18">
        <f>3+3+7+2+5+6+3+4</f>
        <v>33</v>
      </c>
      <c r="F24" s="18">
        <v>40</v>
      </c>
      <c r="G24" s="13">
        <f t="shared" si="0"/>
        <v>1.625</v>
      </c>
      <c r="H24" s="13">
        <f t="shared" si="1"/>
        <v>0.82499999999999996</v>
      </c>
      <c r="I24" s="19">
        <f>G24/G28</f>
        <v>0.9170773242572936</v>
      </c>
      <c r="J24" s="19">
        <f t="shared" si="2"/>
        <v>0.8112094395280236</v>
      </c>
    </row>
    <row r="25" spans="1:15" x14ac:dyDescent="0.35">
      <c r="A25" s="18">
        <v>66</v>
      </c>
      <c r="B25" s="18">
        <v>1375.1</v>
      </c>
      <c r="C25" s="18" t="s">
        <v>22</v>
      </c>
      <c r="D25" s="18">
        <v>51</v>
      </c>
      <c r="E25" s="18">
        <v>44</v>
      </c>
      <c r="F25" s="18">
        <v>43</v>
      </c>
      <c r="G25" s="13">
        <f t="shared" si="0"/>
        <v>1.1860465116279071</v>
      </c>
      <c r="H25" s="13">
        <f t="shared" si="1"/>
        <v>1.0232558139534884</v>
      </c>
      <c r="I25" s="19">
        <f>G25/G28</f>
        <v>0.66935160697133422</v>
      </c>
      <c r="J25" s="19">
        <f t="shared" si="2"/>
        <v>1.0061512428254558</v>
      </c>
    </row>
    <row r="26" spans="1:15" x14ac:dyDescent="0.35">
      <c r="A26" s="18">
        <v>75</v>
      </c>
      <c r="B26" s="18">
        <v>1333.76</v>
      </c>
      <c r="C26" s="18" t="s">
        <v>26</v>
      </c>
      <c r="D26" s="18">
        <f>5+4+1+6+14+11+14+8</f>
        <v>63</v>
      </c>
      <c r="E26" s="18">
        <f>6+5+14+1+2+7+9+6</f>
        <v>50</v>
      </c>
      <c r="F26" s="18">
        <v>40</v>
      </c>
      <c r="G26" s="13">
        <f t="shared" si="0"/>
        <v>1.575</v>
      </c>
      <c r="H26" s="13">
        <f t="shared" si="1"/>
        <v>1.25</v>
      </c>
      <c r="I26" s="19">
        <f>G26/G28</f>
        <v>0.88885956043399228</v>
      </c>
      <c r="J26" s="19">
        <f t="shared" si="2"/>
        <v>1.2291052114060965</v>
      </c>
    </row>
    <row r="27" spans="1:15" x14ac:dyDescent="0.35">
      <c r="I27" s="4"/>
      <c r="J27" s="4"/>
    </row>
    <row r="28" spans="1:15" ht="15" thickBot="1" x14ac:dyDescent="0.4">
      <c r="C28" s="3" t="s">
        <v>34</v>
      </c>
      <c r="D28" s="1">
        <f>AVERAGE(D2:D26)</f>
        <v>69.92</v>
      </c>
      <c r="E28" s="1">
        <f>AVERAGE(E2:E26)</f>
        <v>40.200000000000003</v>
      </c>
      <c r="F28" s="1">
        <f>AVERAGE(F2:F26)</f>
        <v>39.6</v>
      </c>
      <c r="G28" s="2">
        <f>AVERAGE(G2:G26)</f>
        <v>1.7719334640795161</v>
      </c>
      <c r="H28" s="2">
        <f>AVERAGE(H2:H26)</f>
        <v>1.0167605837900873</v>
      </c>
      <c r="I28" s="4"/>
      <c r="J28" s="4"/>
      <c r="K28" s="14"/>
      <c r="L28" s="14"/>
    </row>
    <row r="29" spans="1:15" ht="15.5" thickTop="1" thickBot="1" x14ac:dyDescent="0.4">
      <c r="I29" s="4"/>
      <c r="J29" s="4"/>
      <c r="K29" s="21" t="str">
        <f>B31</f>
        <v>Denmark</v>
      </c>
      <c r="L29" s="7"/>
      <c r="M29" s="22"/>
      <c r="N29" s="24" t="str">
        <f>E31</f>
        <v>Germany</v>
      </c>
      <c r="O29" s="7"/>
    </row>
    <row r="30" spans="1:15" ht="15.5" thickTop="1" thickBot="1" x14ac:dyDescent="0.4">
      <c r="K30" s="7"/>
      <c r="L30" s="7"/>
      <c r="M30" s="22"/>
      <c r="N30" s="7"/>
      <c r="O30" s="7"/>
    </row>
    <row r="31" spans="1:15" ht="17" thickTop="1" thickBot="1" x14ac:dyDescent="0.4">
      <c r="B31" s="20" t="s">
        <v>15</v>
      </c>
      <c r="C31" s="2">
        <f>L31 * L33 * G28</f>
        <v>2.5134837932659586</v>
      </c>
      <c r="E31" s="20" t="s">
        <v>12</v>
      </c>
      <c r="F31" s="2">
        <f>O31*O33*G28</f>
        <v>1.0259513322821698</v>
      </c>
      <c r="K31" s="7" t="s">
        <v>36</v>
      </c>
      <c r="L31" s="15" cm="1">
        <f t="array" ref="L31">_xlfn.IFS(B31=C2,I2, B31=C3,I3, B31=C4,I4, B31=C5,I5, B31=C6,I6, B31=C7,I7, B31=C8,I8, B31=C9,I9, B31=C10,I10, B31=C11,I11, B31=C12,I12, B31=C13,I13, B31=C14,I14, B31=C15,I15, B31=C16,I16, B31=C17,I17, B31=C18,I18, B31=C19,I19, B31=C20,I20, B31=C21,I21, B31=C22,I22, B31=C23,I23, B31=C24,I24, B31=C25,I25, B31=C26,I26)</f>
        <v>1.1721224972755944</v>
      </c>
      <c r="M31" s="22"/>
      <c r="N31" s="7" t="s">
        <v>36</v>
      </c>
      <c r="O31" s="15" cm="1">
        <f t="array" ref="O31">_xlfn.IFS(E31=C2,I2, E31=C3,I3, E31=C4,I4, E31=C5,I5, E31=C6,I6, E31=C7,I7, E31=C8,I8, E31=C9,I9, E31=C10,I10, E31=C11,I11, E31=C12,I12, E31=C13,I13, E31=C14,I14, E31=C15,I15, E31=C16,I16, E31=C17,I17, E31=C18,I18, E31=C19,I19, E31=C20,I20, E31=C21,I21, E31=C22,I22, E31=C23,I23, E31=C24,I24, E31=C25,I25, E31=C26,I26)</f>
        <v>0.99847471990143211</v>
      </c>
    </row>
    <row r="32" spans="1:15" ht="15.5" thickTop="1" thickBot="1" x14ac:dyDescent="0.4">
      <c r="C32" s="2">
        <f>L39*C31</f>
        <v>1.1569011549261135</v>
      </c>
      <c r="F32" s="2">
        <f>O39*F31</f>
        <v>0.55372856148285343</v>
      </c>
      <c r="K32" s="7"/>
      <c r="L32" s="15"/>
      <c r="M32" s="22"/>
      <c r="N32" s="7"/>
      <c r="O32" s="15"/>
    </row>
    <row r="33" spans="2:15" ht="15.5" thickTop="1" thickBot="1" x14ac:dyDescent="0.4">
      <c r="K33" s="7" t="s">
        <v>37</v>
      </c>
      <c r="L33" s="15" cm="1">
        <f t="array" ref="L33">_xlfn.IFS(E31=C2,J2, E31=C3,J3, E31=C4,J4, E31=C5,J5, E31=C6,J6, E31=C7,J7, E31=C8,J8, E31=C9,J9, E31=C10,J10, E31=C11,J11, E31=C12,J12, E31=C13,J13, E31=C14,J14, E31=C15,J15, E31=C16,J16, E31=C17,J17, E31=C18,J18, E31=C19,J19, E31=C20,J20, E31=C21,J21, E31=C22,J22, E31=C23,J23, E31=C24,J24, E31=C25,J25, E31=C26,J26)</f>
        <v>1.2101959004613874</v>
      </c>
      <c r="M33" s="22"/>
      <c r="N33" s="7" t="s">
        <v>38</v>
      </c>
      <c r="O33" s="15" cm="1">
        <f t="array" ref="O33">_xlfn.IFS(B31=C2,J2, B31=C3,J3, B31=C4,J4, B31=C5,J5, B31=C6,J6, B31=C7,J7, B31=C8,J8, B31=C9,J9, B31=C10,J10, B31=C11,J11, B31=C12,J12, B31=C13,J13, B31=C14,J14, B31=C15,J15, B31=C16,J16, B31=C17,J17, B31=C18,J18, B31=C19,J19, B31=C20,J20, B31=C21,J21, B31=C22,J22, B31=C23,J23, B31=C24,J24, B31=C25,J25, B31=C26,J26)</f>
        <v>0.57988553563774814</v>
      </c>
    </row>
    <row r="34" spans="2:15" ht="15.5" thickTop="1" thickBot="1" x14ac:dyDescent="0.4">
      <c r="B34" s="8"/>
      <c r="C34" s="8"/>
      <c r="D34" s="23" t="str">
        <f>E31</f>
        <v>Germany</v>
      </c>
      <c r="E34" s="8"/>
      <c r="F34" s="9"/>
      <c r="G34" s="9"/>
      <c r="H34" s="9"/>
      <c r="I34" s="9"/>
      <c r="K34" s="7"/>
      <c r="L34" s="7"/>
      <c r="M34" s="22"/>
      <c r="N34" s="7"/>
      <c r="O34" s="7"/>
    </row>
    <row r="35" spans="2:15" ht="15.5" thickTop="1" thickBot="1" x14ac:dyDescent="0.4">
      <c r="B35" s="8"/>
      <c r="C35" s="8"/>
      <c r="D35" s="8">
        <v>0</v>
      </c>
      <c r="E35" s="8">
        <v>1</v>
      </c>
      <c r="F35" s="8">
        <v>2</v>
      </c>
      <c r="G35" s="8">
        <v>3</v>
      </c>
      <c r="H35" s="8">
        <v>4</v>
      </c>
      <c r="I35" s="8">
        <v>5</v>
      </c>
      <c r="K35" s="7" t="s">
        <v>39</v>
      </c>
      <c r="L35" s="7" cm="1">
        <f t="array" ref="L35">_xlfn.IFS(B31=C2,B2, B31=C3,B3, B31=C4,B4, B31=C5,B5, B31=C6,B6, B31=C7,B7, B31=C8,B8, B31=C9,B9, B31=C10,B10, B31=C11,B11, B31=C12,B12, B31=C13,B13, B31=C14,B14, B31=C15,B15, B31=C16,B16, B31=C17,B17, B31=C18,B18, B31=C19,B19, B31=C20,B20, B31=C21,B21, B31=C22,B22, B31=C23,B23, B31=C24,B24, B31=C25,B25, B31=C26,B26)</f>
        <v>1602.72</v>
      </c>
      <c r="M35" s="22"/>
      <c r="N35" s="7" t="s">
        <v>39</v>
      </c>
      <c r="O35" s="7" cm="1">
        <f t="array" ref="O35">_xlfn.IFS(E31=C2,B2, E31=C3,B3, E31=C4,B4, E31=C5,B5, E31=C6,B6, E31=C7,B7, E31=C8,B8, E31=C9,B9, E31=C10,B10, E31=C11,B11, E31=C12,B12, E31=C13,B13, E31=C14,B14, E31=C15,B15, E31=C16,B16, E31=C17,B17, E31=C18,B18, E31=C19,B19, E31=C20,B20, E31=C21,B21, E31=C22,B22, E31=C23,B23, E31=C24,B24, E31=C25,B25, E31=C26,B26)</f>
        <v>1644.21</v>
      </c>
    </row>
    <row r="36" spans="2:15" ht="15.5" thickTop="1" thickBot="1" x14ac:dyDescent="0.4">
      <c r="B36" s="23" t="str">
        <f>B31</f>
        <v>Denmark</v>
      </c>
      <c r="C36" s="8">
        <v>0</v>
      </c>
      <c r="D36" s="10">
        <f>((POISSON(0,C32,FALSE)*POISSON(0,F32,FALSE)))*100</f>
        <v>18.075193431267405</v>
      </c>
      <c r="E36" s="10">
        <f>((POISSON(0,C32,FALSE)*POISSON(1,F32,FALSE)))*100</f>
        <v>10.00875085722002</v>
      </c>
      <c r="F36" s="10">
        <f>((POISSON(0,C32,FALSE)*POISSON(2,F32,FALSE)))*100</f>
        <v>2.7710656072043589</v>
      </c>
      <c r="G36" s="10">
        <f>((POISSON(0,C32,FALSE)*POISSON(3,F32,FALSE)))*100</f>
        <v>0.5114727241506265</v>
      </c>
      <c r="H36" s="10">
        <f>((POISSON(0,C32,FALSE)*POISSON(4,F32,FALSE)))*100</f>
        <v>7.0804263945410659E-2</v>
      </c>
      <c r="I36" s="11">
        <f>((POISSON(0,C32,FALSE)*POISSON(5,F32,FALSE)))*100</f>
        <v>7.8412686442689023E-3</v>
      </c>
      <c r="K36" s="7"/>
      <c r="L36" s="7"/>
      <c r="M36" s="22"/>
      <c r="N36" s="7"/>
      <c r="O36" s="7"/>
    </row>
    <row r="37" spans="2:15" ht="15.5" thickTop="1" thickBot="1" x14ac:dyDescent="0.4">
      <c r="B37" s="8"/>
      <c r="C37" s="8">
        <v>1</v>
      </c>
      <c r="D37" s="10">
        <f>((POISSON(1,C32,FALSE)*POISSON(0,F32,FALSE)))*100</f>
        <v>20.91121215614616</v>
      </c>
      <c r="E37" s="10">
        <f>((POISSON(1,C32,FALSE)*POISSON(1,F32,FALSE)))*100</f>
        <v>11.579135426085569</v>
      </c>
      <c r="F37" s="10">
        <f>((POISSON(1,C32,FALSE)*POISSON(2,F32,FALSE)))*100</f>
        <v>3.2058490013507543</v>
      </c>
      <c r="G37" s="10">
        <f>((POISSON(1,C32,FALSE)*POISSON(3,F32,FALSE)))*100</f>
        <v>0.59172338528306523</v>
      </c>
      <c r="H37" s="10">
        <f>((POISSON(1,C32,FALSE)*POISSON(4,F32,FALSE)))*100</f>
        <v>8.1913534732138971E-2</v>
      </c>
      <c r="I37" s="11">
        <f>((POISSON(1,C32,FALSE)*POISSON(5,F32,FALSE)))*100</f>
        <v>9.0715727506406139E-3</v>
      </c>
      <c r="K37" s="7" t="s">
        <v>41</v>
      </c>
      <c r="L37" s="7">
        <f>L35-O35</f>
        <v>-41.490000000000009</v>
      </c>
      <c r="M37" s="22"/>
      <c r="N37" s="7" t="s">
        <v>42</v>
      </c>
      <c r="O37" s="7">
        <f>O35-L35</f>
        <v>41.490000000000009</v>
      </c>
    </row>
    <row r="38" spans="2:15" ht="15.5" thickTop="1" thickBot="1" x14ac:dyDescent="0.4">
      <c r="B38" s="8"/>
      <c r="C38" s="8">
        <v>2</v>
      </c>
      <c r="D38" s="10">
        <f>((POISSON(2,C32,FALSE)*POISSON(0,F32,FALSE)))*100</f>
        <v>12.096102747175239</v>
      </c>
      <c r="E38" s="10">
        <f>((POISSON(2,C32,FALSE)*POISSON(1,F32,FALSE)))*100</f>
        <v>6.6979575737421371</v>
      </c>
      <c r="F38" s="10">
        <f>((POISSON(2,C32,FALSE)*POISSON(2,F32,FALSE)))*100</f>
        <v>1.8544252060907083</v>
      </c>
      <c r="G38" s="10">
        <f>((POISSON(2,C32,FALSE)*POISSON(3,F32,FALSE)))*100</f>
        <v>0.342282733915384</v>
      </c>
      <c r="H38" s="10">
        <f>((POISSON(2,C32,FALSE)*POISSON(4,F32,FALSE)))*100</f>
        <v>4.7382931467845953E-2</v>
      </c>
      <c r="I38" s="11">
        <f>((POISSON(2,C32,FALSE)*POISSON(5,F32,FALSE)))*100</f>
        <v>5.2474564961061945E-3</v>
      </c>
      <c r="K38" s="7"/>
      <c r="L38" s="7"/>
      <c r="M38" s="22"/>
      <c r="N38" s="7"/>
      <c r="O38" s="7"/>
    </row>
    <row r="39" spans="2:15" ht="15.5" thickTop="1" thickBot="1" x14ac:dyDescent="0.4">
      <c r="B39" s="8"/>
      <c r="C39" s="8">
        <v>3</v>
      </c>
      <c r="D39" s="10">
        <f>((POISSON(3,C32,FALSE)*POISSON(0,F32,FALSE)))*100</f>
        <v>4.6646650794373228</v>
      </c>
      <c r="E39" s="10">
        <f>((POISSON(3,C32,FALSE)*POISSON(1,F32,FALSE)))*100</f>
        <v>2.5829582842361289</v>
      </c>
      <c r="F39" s="10">
        <f>((POISSON(3,C32,FALSE)*POISSON(2,F32,FALSE)))*100</f>
        <v>0.71512888755014536</v>
      </c>
      <c r="G39" s="10">
        <f>((POISSON(3,C32,FALSE)*POISSON(3,F32,FALSE)))*100</f>
        <v>0.13199576339265842</v>
      </c>
      <c r="H39" s="10">
        <f>((POISSON(3,C32,FALSE)*POISSON(4,F32,FALSE)))*100</f>
        <v>1.8272456046311954E-2</v>
      </c>
      <c r="I39" s="11">
        <f>((POISSON(3,C32,FALSE)*POISSON(5,F32,FALSE)))*100</f>
        <v>2.0235961602565974E-3</v>
      </c>
      <c r="K39" s="7" t="s">
        <v>40</v>
      </c>
      <c r="L39" s="7">
        <f xml:space="preserve"> 1 / (10^(-(L37/600)) + 1)</f>
        <v>0.46027794490883295</v>
      </c>
      <c r="M39" s="22"/>
      <c r="N39" s="7" t="s">
        <v>40</v>
      </c>
      <c r="O39" s="7">
        <f xml:space="preserve"> 1 / (10^(-(O37/600)) + 1)</f>
        <v>0.539722055091167</v>
      </c>
    </row>
    <row r="40" spans="2:15" ht="15" thickBot="1" x14ac:dyDescent="0.4">
      <c r="B40" s="8"/>
      <c r="C40" s="12">
        <v>4</v>
      </c>
      <c r="D40" s="10">
        <f>((POISSON(4,C32,FALSE)*POISSON(0,F32,FALSE)))*100</f>
        <v>1.3491391044361374</v>
      </c>
      <c r="E40" s="10">
        <f>((POISSON(4,C32,FALSE)*POISSON(1,F32,FALSE)))*100</f>
        <v>0.74705685553968759</v>
      </c>
      <c r="F40" s="10">
        <f>((POISSON(4,C32,FALSE)*POISSON(2,F32,FALSE)))*100</f>
        <v>0.20683335898194749</v>
      </c>
      <c r="G40" s="10">
        <f>((POISSON(4,C32,FALSE)*POISSON(3,F32,FALSE)))*100</f>
        <v>3.8176512778580134E-2</v>
      </c>
      <c r="H40" s="10">
        <f>((POISSON(4,0.526,FALSE)*POISSON(4,1.831,FALSE)))*100</f>
        <v>1.4146264581510875E-2</v>
      </c>
      <c r="I40" s="11">
        <f>((POISSON(4,C32,FALSE)*POISSON(5,F32,FALSE)))*100</f>
        <v>5.8527518372622662E-4</v>
      </c>
      <c r="K40" s="14"/>
      <c r="L40" s="14"/>
    </row>
    <row r="41" spans="2:15" ht="15" thickBot="1" x14ac:dyDescent="0.4">
      <c r="B41" s="8"/>
      <c r="C41" s="8">
        <v>5</v>
      </c>
      <c r="D41" s="10">
        <f>((POISSON(5,C32,FALSE)*POISSON(0,F32,FALSE)))*100</f>
        <v>0.31216411761562984</v>
      </c>
      <c r="E41" s="10">
        <f>((POISSON(5,C32,FALSE)*POISSON(1,F32,FALSE)))*100</f>
        <v>0.17285418779386696</v>
      </c>
      <c r="F41" s="10">
        <f>((POISSON(5,C32,FALSE)*POISSON(2,F32,FALSE)))*100</f>
        <v>4.785715037669247E-2</v>
      </c>
      <c r="G41" s="10">
        <f>((POISSON(5,C32,FALSE)*POISSON(3,F32,FALSE)))*100</f>
        <v>8.8332903449181745E-3</v>
      </c>
      <c r="H41" s="10">
        <f>((POISSON(5,C32,FALSE)*POISSON(4,F32,FALSE)))*100</f>
        <v>1.2228112889629795E-3</v>
      </c>
      <c r="I41" s="11">
        <f>((POISSON(5,C32,FALSE)*POISSON(5,F32,FALSE)))*100</f>
        <v>1.3542110720049288E-4</v>
      </c>
    </row>
    <row r="42" spans="2:15" x14ac:dyDescent="0.35">
      <c r="C42" s="5"/>
      <c r="D42" s="6"/>
    </row>
    <row r="46" spans="2:15" x14ac:dyDescent="0.35">
      <c r="C46" s="3" t="str">
        <f>B31</f>
        <v>Denmark</v>
      </c>
      <c r="D46" s="3" t="s">
        <v>43</v>
      </c>
      <c r="E46" s="3" t="str">
        <f>E31</f>
        <v>Germany</v>
      </c>
    </row>
    <row r="47" spans="2:15" x14ac:dyDescent="0.35">
      <c r="C47" s="6">
        <f>SUM(D37,D38,E38,D39,E39,F39,D40,E40,F40,D41,E41,F41,G41,G40,H41)</f>
        <v>50.552162117443551</v>
      </c>
      <c r="D47" s="6">
        <f>SUM(D36,E37,F38,G39,H40,I41)</f>
        <v>31.655031512525053</v>
      </c>
      <c r="E47" s="6">
        <f>SUM(E36,F36,F37,G36,G37,G38,H36,H37,H38,H39,I36,I37,I38,I39,I40)</f>
        <v>17.67428666455092</v>
      </c>
    </row>
    <row r="49" spans="2:11" x14ac:dyDescent="0.35">
      <c r="C49" s="3" t="s">
        <v>44</v>
      </c>
      <c r="D49" s="3" t="s">
        <v>45</v>
      </c>
      <c r="H49" s="3" t="s">
        <v>47</v>
      </c>
      <c r="I49" s="3" t="s">
        <v>48</v>
      </c>
    </row>
    <row r="50" spans="2:11" x14ac:dyDescent="0.35">
      <c r="B50" s="3">
        <v>0.5</v>
      </c>
      <c r="C50" s="6">
        <f>D36</f>
        <v>18.075193431267405</v>
      </c>
      <c r="D50" s="6">
        <f>SUM(D37:D41,E36:E41,F36:F41,G36:G41,H36:H41,I36:I41)</f>
        <v>81.80628686325214</v>
      </c>
      <c r="G50" s="3" t="s">
        <v>46</v>
      </c>
      <c r="H50" s="6">
        <f>SUM(E37:E41,F37:F41,G37:G41,H37:H41,I37:I41)</f>
        <v>29.103068937276941</v>
      </c>
      <c r="I50" s="6">
        <f>SUM(D36:I36,D37:D41)</f>
        <v>70.778411357242575</v>
      </c>
    </row>
    <row r="51" spans="2:11" x14ac:dyDescent="0.35">
      <c r="B51" s="3">
        <v>1.5</v>
      </c>
      <c r="C51" s="6">
        <f>SUM(D36:D37,E36)</f>
        <v>48.995156444633587</v>
      </c>
      <c r="D51" s="6">
        <f>SUM(E37,D38:F38,F36:F37,D39:I39,D40:I40,D41:I41,G36:I38)</f>
        <v>50.88632384988594</v>
      </c>
    </row>
    <row r="52" spans="2:11" x14ac:dyDescent="0.35">
      <c r="B52" s="3">
        <v>2.5</v>
      </c>
      <c r="C52" s="6">
        <f>SUM(D36:D38,E36:E37,F36)</f>
        <v>75.441460225098751</v>
      </c>
      <c r="D52" s="6">
        <f>SUM(D39:D41,E38:E41,F37:F41,G36:G41,H36:H40,H41,I36:I41)</f>
        <v>24.440020069420775</v>
      </c>
      <c r="H52" s="29" t="str">
        <f>C28</f>
        <v>Average</v>
      </c>
      <c r="I52" s="1"/>
      <c r="J52" s="29">
        <f>F28</f>
        <v>39.6</v>
      </c>
    </row>
    <row r="53" spans="2:11" x14ac:dyDescent="0.35">
      <c r="B53" s="3">
        <v>3.5</v>
      </c>
      <c r="C53" s="6">
        <f>SUM(D36:D39,E36:E38,F36:F37,G36)</f>
        <v>90.521404603779587</v>
      </c>
      <c r="D53" s="6">
        <f>SUM(D40:D41,E39:E41,F38:F41,G37:G41,H36:H41,I36:I41)</f>
        <v>9.3600756907399312</v>
      </c>
      <c r="G53" s="3" t="s">
        <v>44</v>
      </c>
      <c r="H53" s="3" t="s">
        <v>45</v>
      </c>
      <c r="I53" s="1"/>
      <c r="J53" s="3" t="s">
        <v>44</v>
      </c>
      <c r="K53" s="3" t="s">
        <v>45</v>
      </c>
    </row>
    <row r="54" spans="2:11" x14ac:dyDescent="0.35">
      <c r="B54" s="3">
        <v>4.5</v>
      </c>
      <c r="C54" s="6">
        <f>SUM(E36:E39,D36:D40,F36:F38,G36:G37,H36)</f>
        <v>96.970454847771038</v>
      </c>
      <c r="D54" s="6">
        <f>SUM(D41,E40:E41,F39:F41,G38:G41,H37:H38,H39:H41,I36:I41)</f>
        <v>2.9110254467484795</v>
      </c>
      <c r="F54" s="3">
        <v>0.5</v>
      </c>
      <c r="G54" s="6">
        <f>SUM(D36:I36)</f>
        <v>31.44512815243209</v>
      </c>
      <c r="H54" s="6">
        <f>SUM(E34:J38)</f>
        <v>52.784923543079046</v>
      </c>
      <c r="I54" s="3">
        <v>0.5</v>
      </c>
      <c r="J54" s="30">
        <f>SUM(E33:E38)</f>
        <v>29.285843857047727</v>
      </c>
      <c r="K54" s="30">
        <f>100-J54</f>
        <v>70.714156142952277</v>
      </c>
    </row>
    <row r="55" spans="2:11" x14ac:dyDescent="0.35">
      <c r="F55" s="3">
        <v>1.5</v>
      </c>
      <c r="G55" s="6">
        <f>SUM(E33:J34)</f>
        <v>0</v>
      </c>
      <c r="H55" s="6">
        <f>100-G55</f>
        <v>100</v>
      </c>
      <c r="I55" s="3">
        <v>1.5</v>
      </c>
      <c r="J55" s="30">
        <f>SUM(E33:F38)</f>
        <v>39.117183671693553</v>
      </c>
      <c r="K55" s="30">
        <f t="shared" ref="K55:K58" si="3">100-J55</f>
        <v>60.882816328306447</v>
      </c>
    </row>
    <row r="56" spans="2:11" x14ac:dyDescent="0.35">
      <c r="F56" s="3">
        <v>2.5</v>
      </c>
      <c r="G56" s="6">
        <f>SUM(E33:J35)</f>
        <v>15</v>
      </c>
      <c r="H56" s="6">
        <f t="shared" ref="H56:H58" si="4">100-G56</f>
        <v>85</v>
      </c>
      <c r="I56" s="3">
        <v>2.5</v>
      </c>
      <c r="J56" s="30">
        <f>SUM(E33:G38)</f>
        <v>43.562662515042632</v>
      </c>
      <c r="K56" s="30">
        <f t="shared" si="3"/>
        <v>56.437337484957368</v>
      </c>
    </row>
    <row r="57" spans="2:11" x14ac:dyDescent="0.35">
      <c r="F57" s="3">
        <v>3.5</v>
      </c>
      <c r="G57" s="6">
        <f>SUM(E33:J36)</f>
        <v>28.36993472116469</v>
      </c>
      <c r="H57" s="6">
        <f t="shared" si="4"/>
        <v>71.630065278835303</v>
      </c>
      <c r="I57" s="3">
        <v>3.5</v>
      </c>
      <c r="J57" s="30">
        <f>SUM(E33:H38)</f>
        <v>47.762763245188026</v>
      </c>
      <c r="K57" s="30">
        <f t="shared" si="3"/>
        <v>52.237236754811974</v>
      </c>
    </row>
    <row r="58" spans="2:11" x14ac:dyDescent="0.35">
      <c r="F58" s="3">
        <v>4.5</v>
      </c>
      <c r="G58" s="6">
        <f>SUM(E33:J37)</f>
        <v>43.837627641366865</v>
      </c>
      <c r="H58" s="6">
        <f t="shared" si="4"/>
        <v>56.162372358633135</v>
      </c>
      <c r="I58" s="3">
        <v>4.5</v>
      </c>
      <c r="J58" s="30">
        <f>SUM(E33:I38)</f>
        <v>52.784923543079046</v>
      </c>
      <c r="K58" s="30">
        <f t="shared" si="3"/>
        <v>47.215076456920954</v>
      </c>
    </row>
  </sheetData>
  <sortState xmlns:xlrd2="http://schemas.microsoft.com/office/spreadsheetml/2017/richdata2" ref="A2:I26">
    <sortCondition ref="A3:A26"/>
  </sortState>
  <dataValidations count="1">
    <dataValidation type="list" allowBlank="1" showInputMessage="1" showErrorMessage="1" sqref="B31 E31" xr:uid="{2CA96B70-3AC0-4A51-B338-EA4A0E6C2604}">
      <formula1>$C2:$C26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BCF77C1FB18B4E8D5F256E0D9574B7" ma:contentTypeVersion="5" ma:contentTypeDescription="Create a new document." ma:contentTypeScope="" ma:versionID="e64d279d52127a5eb8461426c0c52d00">
  <xsd:schema xmlns:xsd="http://www.w3.org/2001/XMLSchema" xmlns:xs="http://www.w3.org/2001/XMLSchema" xmlns:p="http://schemas.microsoft.com/office/2006/metadata/properties" xmlns:ns3="029e32bc-3616-4daf-98cb-44b1b321f05e" targetNamespace="http://schemas.microsoft.com/office/2006/metadata/properties" ma:root="true" ma:fieldsID="73e6c6888ef5f9cfabad4c70947a574d" ns3:_="">
    <xsd:import namespace="029e32bc-3616-4daf-98cb-44b1b321f05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e32bc-3616-4daf-98cb-44b1b321f05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712E27-C9D9-4846-8236-AE65CA88E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e32bc-3616-4daf-98cb-44b1b321f0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569ECD-470D-43BA-95B6-A7E120E10436}">
  <ds:schemaRefs>
    <ds:schemaRef ds:uri="029e32bc-3616-4daf-98cb-44b1b321f05e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ED5725C-0DA2-49AB-8975-9074BAC399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Euros Predictor (2)</vt:lpstr>
      <vt:lpstr>Euros Predictor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2024-06-15T14:35:15Z</dcterms:created>
  <dcterms:modified xsi:type="dcterms:W3CDTF">2024-06-29T20:25:28Z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0x01010038BCF77C1FB18B4E8D5F256E0D9574B7</vt:lpwstr>
  </property>
</Properties>
</file>