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1"/>
  </bookViews>
  <sheets>
    <sheet name="Financials" sheetId="1" r:id="rId1"/>
    <sheet name="Forecast Assumptions" sheetId="2" r:id="rId2"/>
    <sheet name="Valuation Cmparison " sheetId="3" r:id="rId3"/>
  </sheets>
  <calcPr calcId="125725"/>
</workbook>
</file>

<file path=xl/calcChain.xml><?xml version="1.0" encoding="utf-8"?>
<calcChain xmlns="http://schemas.openxmlformats.org/spreadsheetml/2006/main">
  <c r="C13" i="2"/>
  <c r="D13"/>
  <c r="C14"/>
  <c r="B29"/>
  <c r="C15"/>
  <c r="C16"/>
  <c r="C17"/>
  <c r="D24"/>
  <c r="B25"/>
  <c r="B27"/>
  <c r="D23"/>
  <c r="K10" i="3"/>
  <c r="K7"/>
  <c r="K8"/>
  <c r="B13" i="2"/>
  <c r="E13" s="1"/>
  <c r="B11" i="1"/>
  <c r="B12"/>
  <c r="B18"/>
  <c r="I13" i="2" l="1"/>
  <c r="B14"/>
  <c r="B15" s="1"/>
  <c r="B16" s="1"/>
  <c r="B17" s="1"/>
  <c r="H13"/>
  <c r="H15" i="1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H11"/>
  <c r="G11"/>
  <c r="F11"/>
  <c r="E11"/>
  <c r="D11"/>
  <c r="C11"/>
  <c r="L6"/>
  <c r="I15" s="1"/>
  <c r="L5"/>
  <c r="I14" s="1"/>
  <c r="L4"/>
  <c r="I13" s="1"/>
  <c r="L3"/>
  <c r="I12" s="1"/>
  <c r="L2"/>
  <c r="I11" s="1"/>
  <c r="F13" i="2" l="1"/>
  <c r="G13" s="1"/>
  <c r="J13" s="1"/>
  <c r="B32" s="1"/>
  <c r="E14"/>
  <c r="H14"/>
  <c r="I14"/>
  <c r="D14" l="1"/>
  <c r="F14" s="1"/>
  <c r="E15"/>
  <c r="I15"/>
  <c r="H15"/>
  <c r="D15" l="1"/>
  <c r="F15" s="1"/>
  <c r="G14"/>
  <c r="J14" s="1"/>
  <c r="B33" s="1"/>
  <c r="H16"/>
  <c r="I16"/>
  <c r="E16"/>
  <c r="G15" l="1"/>
  <c r="J15" s="1"/>
  <c r="B34" s="1"/>
  <c r="D16"/>
  <c r="F16" s="1"/>
  <c r="G16" s="1"/>
  <c r="J16" s="1"/>
  <c r="B35" s="1"/>
  <c r="H17"/>
  <c r="I17"/>
  <c r="E17"/>
  <c r="D17" s="1"/>
  <c r="F17" l="1"/>
  <c r="G17" s="1"/>
  <c r="J17" s="1"/>
  <c r="B36" s="1"/>
  <c r="F33" l="1"/>
  <c r="F34" s="1"/>
  <c r="F35" s="1"/>
  <c r="C42" l="1"/>
  <c r="K6" i="3"/>
  <c r="K9" s="1"/>
  <c r="K11" s="1"/>
  <c r="F36" i="2"/>
  <c r="F37" s="1"/>
</calcChain>
</file>

<file path=xl/sharedStrings.xml><?xml version="1.0" encoding="utf-8"?>
<sst xmlns="http://schemas.openxmlformats.org/spreadsheetml/2006/main" count="115" uniqueCount="97">
  <si>
    <t>Year</t>
  </si>
  <si>
    <t>Revenue (₹ Cr)</t>
  </si>
  <si>
    <t>EBITDA (₹ Cr)</t>
  </si>
  <si>
    <t>EBIT (₹ Cr)</t>
  </si>
  <si>
    <t>Net Profit (₹ Cr)</t>
  </si>
  <si>
    <t xml:space="preserve">        Capital ( Rs Cr)</t>
  </si>
  <si>
    <t>Depreciation ( Rs Cr)</t>
  </si>
  <si>
    <t>Capital Expenditure (₹ Cr)</t>
  </si>
  <si>
    <t>Working Capital Change (₹ Cr)</t>
  </si>
  <si>
    <t>Tax Rate</t>
  </si>
  <si>
    <t>Free Cash Flow ( Rs Cr )</t>
  </si>
  <si>
    <t xml:space="preserve">  Free Cash Flow ( Rs Cr )</t>
  </si>
  <si>
    <t xml:space="preserve"> Cash Equivalents ( Rs Cr )</t>
  </si>
  <si>
    <t>Debt (Rs Cr)</t>
  </si>
  <si>
    <t>Asset ( Rs Cr)</t>
  </si>
  <si>
    <t>Current Asset ( Rs Cr )</t>
  </si>
  <si>
    <t>Current Liability ( Rs Cr )</t>
  </si>
  <si>
    <t xml:space="preserve">FY 2020  </t>
  </si>
  <si>
    <t>FY 2021</t>
  </si>
  <si>
    <t>FY 2022</t>
  </si>
  <si>
    <t>FY 2023</t>
  </si>
  <si>
    <t>FY 2024</t>
  </si>
  <si>
    <t xml:space="preserve"> EBITDA MARGIN</t>
  </si>
  <si>
    <t>NET PROFIT MARGIN</t>
  </si>
  <si>
    <t xml:space="preserve">      ROE</t>
  </si>
  <si>
    <t xml:space="preserve">              ROIC </t>
  </si>
  <si>
    <t xml:space="preserve">    ASSET TURNOVER</t>
  </si>
  <si>
    <t xml:space="preserve">         DEBT - TO - EQUITY</t>
  </si>
  <si>
    <t xml:space="preserve">        CURRENT RATIO</t>
  </si>
  <si>
    <t xml:space="preserve">               FCF MARGIN</t>
  </si>
  <si>
    <t>FY 2020</t>
  </si>
  <si>
    <t>FY 2025</t>
  </si>
  <si>
    <t>CAGR</t>
  </si>
  <si>
    <t xml:space="preserve"> NOTE  : In FY2022, Nykaa incurred ₹254 Cr in IPO-related expenses (disclosed in the Annual Report), which significantly reduced reported EBITDA. To reflect core operating profitability, EBITDA has been adjusted to exclude these non-recurring costs for valuation purposes.</t>
  </si>
  <si>
    <t xml:space="preserve">ASSUMPTION </t>
  </si>
  <si>
    <t>VALUE</t>
  </si>
  <si>
    <t>NOTES</t>
  </si>
  <si>
    <t>Revenue Growth Rate</t>
  </si>
  <si>
    <t>EBITDA Margin</t>
  </si>
  <si>
    <t>Depreciation (% of Revenue)</t>
  </si>
  <si>
    <t>Capex (% of Revenue)</t>
  </si>
  <si>
    <t>Normalised level post growth phase</t>
  </si>
  <si>
    <t>Change in Working Capital (% of Revenue)</t>
  </si>
  <si>
    <t xml:space="preserve">Average capex rate using median </t>
  </si>
  <si>
    <t>Standard corporate tax rate in India</t>
  </si>
  <si>
    <t xml:space="preserve">Tax </t>
  </si>
  <si>
    <t xml:space="preserve">    Nopat</t>
  </si>
  <si>
    <t xml:space="preserve">  Capex </t>
  </si>
  <si>
    <t>Change in working capital</t>
  </si>
  <si>
    <t>Free Cash flow</t>
  </si>
  <si>
    <t>FY 2027</t>
  </si>
  <si>
    <t>FY 2028</t>
  </si>
  <si>
    <t>FY 2029</t>
  </si>
  <si>
    <t xml:space="preserve">       PROJECTED FINANCIALS </t>
  </si>
  <si>
    <t>METRIC</t>
  </si>
  <si>
    <t>VALUES</t>
  </si>
  <si>
    <t xml:space="preserve">Risk Free Rate </t>
  </si>
  <si>
    <t>Beta</t>
  </si>
  <si>
    <t xml:space="preserve">Market Risk Premium </t>
  </si>
  <si>
    <t xml:space="preserve">COST OF DEBT </t>
  </si>
  <si>
    <r>
      <t xml:space="preserve">                           </t>
    </r>
    <r>
      <rPr>
        <b/>
        <sz val="12"/>
        <color theme="1"/>
        <rFont val="Calibri"/>
        <family val="2"/>
        <scheme val="minor"/>
      </rPr>
      <t>WACC</t>
    </r>
  </si>
  <si>
    <r>
      <rPr>
        <b/>
        <sz val="14"/>
        <color theme="1"/>
        <rFont val="Calibri"/>
        <family val="2"/>
        <scheme val="minor"/>
      </rPr>
      <t>RATIO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ANALYSIS</t>
    </r>
  </si>
  <si>
    <t>Interest expense ( 2024)</t>
  </si>
  <si>
    <t>FY 2026</t>
  </si>
  <si>
    <t xml:space="preserve">TOTAL VALUE ( Debt + Equity )  2024 </t>
  </si>
  <si>
    <t>PV OF FCFF</t>
  </si>
  <si>
    <t>YEARS</t>
  </si>
  <si>
    <t xml:space="preserve">Based on Nykaa’s 5-year historical CAGR (~35%), industry trends projecting 20–30% annual growth in the Indian beauty &amp; personal care market, and peer performance (e.g., TIRA , Myntra, Quick Commerce like zepto ), a 25% revenue growth assumption is considered realistic and conservative.
</t>
  </si>
  <si>
    <t>Based on previous ebitda margins</t>
  </si>
  <si>
    <t>g</t>
  </si>
  <si>
    <t xml:space="preserve"> Total shares ( Rs Cr)</t>
  </si>
  <si>
    <t>Terminal value of 2029 ( Rs Cr)</t>
  </si>
  <si>
    <t>Equity Value ( Rs Cr )</t>
  </si>
  <si>
    <t>Enterprice Value( Rs Cr )</t>
  </si>
  <si>
    <t>PV of Terminal Value ( Rs Cr )</t>
  </si>
  <si>
    <t>Implied share price ( In Rs)</t>
  </si>
  <si>
    <t>SENSITIVITY TABLE ( ENTERPRICE VALUE )</t>
  </si>
  <si>
    <t xml:space="preserve">Metric </t>
  </si>
  <si>
    <t>Value</t>
  </si>
  <si>
    <t xml:space="preserve">Unit </t>
  </si>
  <si>
    <t>Add: Cash 2024</t>
  </si>
  <si>
    <t>Less: Debt 2024</t>
  </si>
  <si>
    <t>Outstanding shares</t>
  </si>
  <si>
    <r>
      <rPr>
        <b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DCF</t>
    </r>
    <r>
      <rPr>
        <sz val="11"/>
        <color theme="1"/>
        <rFont val="Calibri"/>
        <family val="2"/>
        <scheme val="minor"/>
      </rPr>
      <t xml:space="preserve"> )</t>
    </r>
  </si>
  <si>
    <r>
      <rPr>
        <b/>
        <sz val="11"/>
        <color theme="1"/>
        <rFont val="Calibri"/>
        <family val="2"/>
        <scheme val="minor"/>
      </rPr>
      <t>Implied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DCF</t>
    </r>
    <r>
      <rPr>
        <sz val="11"/>
        <color theme="1"/>
        <rFont val="Calibri"/>
        <family val="2"/>
        <scheme val="minor"/>
      </rPr>
      <t xml:space="preserve"> )</t>
    </r>
  </si>
  <si>
    <r>
      <rPr>
        <b/>
        <sz val="11"/>
        <color theme="1"/>
        <rFont val="Calibri"/>
        <family val="2"/>
        <scheme val="minor"/>
      </rPr>
      <t>Enterprice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</t>
    </r>
  </si>
  <si>
    <t>Rs Cr</t>
  </si>
  <si>
    <t>Cr shares</t>
  </si>
  <si>
    <t>Rs per share</t>
  </si>
  <si>
    <t>Market Cap ( Actual )</t>
  </si>
  <si>
    <r>
      <rPr>
        <b/>
        <sz val="11"/>
        <color theme="1"/>
        <rFont val="Calibri"/>
        <family val="2"/>
        <scheme val="minor"/>
      </rPr>
      <t xml:space="preserve"> Market share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</t>
    </r>
  </si>
  <si>
    <t>59,864</t>
  </si>
  <si>
    <t>RS Cr</t>
  </si>
  <si>
    <t xml:space="preserve">    COST OF EQUITY </t>
  </si>
  <si>
    <t>Average Debt ( 2023 &amp; 2025 )</t>
  </si>
  <si>
    <t>1.5% of revenue, citing that Nykaa is a moderately capital-intensive D2C e-commerce company with warehousing and limited offline footprint.</t>
  </si>
  <si>
    <t xml:space="preserve">Years </t>
  </si>
</sst>
</file>

<file path=xl/styles.xml><?xml version="1.0" encoding="utf-8"?>
<styleSheet xmlns="http://schemas.openxmlformats.org/spreadsheetml/2006/main">
  <numFmts count="1">
    <numFmt numFmtId="164" formatCode="0.00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8F8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CF68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BE4F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3" fontId="2" fillId="0" borderId="0" xfId="0" applyNumberFormat="1" applyFont="1"/>
    <xf numFmtId="0" fontId="3" fillId="2" borderId="2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0" fillId="3" borderId="3" xfId="0" applyFill="1" applyBorder="1"/>
    <xf numFmtId="0" fontId="0" fillId="0" borderId="3" xfId="0" applyBorder="1"/>
    <xf numFmtId="0" fontId="2" fillId="0" borderId="0" xfId="0" applyFont="1"/>
    <xf numFmtId="0" fontId="1" fillId="4" borderId="0" xfId="0" applyFont="1" applyFill="1"/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0" xfId="0" applyFont="1" applyFill="1"/>
    <xf numFmtId="0" fontId="1" fillId="5" borderId="0" xfId="0" applyFont="1" applyFill="1" applyAlignment="1">
      <alignment horizontal="center" vertical="top"/>
    </xf>
    <xf numFmtId="0" fontId="0" fillId="5" borderId="0" xfId="0" applyFill="1"/>
    <xf numFmtId="0" fontId="1" fillId="0" borderId="0" xfId="0" applyFont="1"/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/>
    <xf numFmtId="9" fontId="0" fillId="0" borderId="0" xfId="0" applyNumberFormat="1"/>
    <xf numFmtId="10" fontId="0" fillId="0" borderId="0" xfId="0" applyNumberFormat="1"/>
    <xf numFmtId="0" fontId="6" fillId="3" borderId="0" xfId="0" applyFont="1" applyFill="1"/>
    <xf numFmtId="0" fontId="5" fillId="3" borderId="0" xfId="0" applyFont="1" applyFill="1"/>
    <xf numFmtId="0" fontId="0" fillId="0" borderId="5" xfId="0" applyBorder="1"/>
    <xf numFmtId="0" fontId="0" fillId="3" borderId="0" xfId="0" applyFill="1"/>
    <xf numFmtId="3" fontId="0" fillId="0" borderId="0" xfId="0" applyNumberFormat="1"/>
    <xf numFmtId="0" fontId="1" fillId="4" borderId="0" xfId="0" applyFont="1" applyFill="1" applyAlignment="1">
      <alignment horizontal="center"/>
    </xf>
    <xf numFmtId="0" fontId="1" fillId="3" borderId="0" xfId="0" applyFont="1" applyFill="1"/>
    <xf numFmtId="0" fontId="7" fillId="3" borderId="0" xfId="0" applyFont="1" applyFill="1"/>
    <xf numFmtId="0" fontId="1" fillId="4" borderId="6" xfId="0" applyFont="1" applyFill="1" applyBorder="1" applyAlignment="1">
      <alignment horizontal="center" vertical="top"/>
    </xf>
    <xf numFmtId="0" fontId="0" fillId="3" borderId="0" xfId="0" applyFill="1" applyBorder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3" borderId="5" xfId="0" applyFill="1" applyBorder="1"/>
    <xf numFmtId="0" fontId="0" fillId="8" borderId="0" xfId="0" applyFill="1"/>
    <xf numFmtId="0" fontId="1" fillId="8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9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2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9" fontId="0" fillId="0" borderId="5" xfId="0" applyNumberFormat="1" applyBorder="1"/>
    <xf numFmtId="3" fontId="0" fillId="0" borderId="5" xfId="0" applyNumberFormat="1" applyBorder="1"/>
    <xf numFmtId="9" fontId="0" fillId="0" borderId="3" xfId="0" applyNumberFormat="1" applyBorder="1"/>
    <xf numFmtId="0" fontId="1" fillId="0" borderId="0" xfId="0" applyFont="1" applyFill="1" applyAlignment="1">
      <alignment horizontal="center"/>
    </xf>
    <xf numFmtId="3" fontId="0" fillId="0" borderId="0" xfId="0" applyNumberFormat="1" applyFont="1" applyAlignment="1">
      <alignment horizontal="right"/>
    </xf>
    <xf numFmtId="0" fontId="0" fillId="0" borderId="0" xfId="0" applyFont="1"/>
    <xf numFmtId="10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 val="0"/>
      </font>
    </dxf>
    <dxf>
      <numFmt numFmtId="3" formatCode="#,##0"/>
    </dxf>
  </dxfs>
  <tableStyles count="0" defaultTableStyle="TableStyleMedium9" defaultPivotStyle="PivotStyleLight16"/>
  <colors>
    <mruColors>
      <color rgb="FFECF68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J5:L11" totalsRowShown="0">
  <tableColumns count="3">
    <tableColumn id="1" name="Metric "/>
    <tableColumn id="2" name="Value" dataDxfId="1">
      <calculatedColumnFormula>Financials!M5</calculatedColumnFormula>
    </tableColumn>
    <tableColumn id="3" name="Unit 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13:L14" totalsRowShown="0" headerRowDxfId="0">
  <tableColumns count="3">
    <tableColumn id="1" name="Market Cap ( Actual )"/>
    <tableColumn id="2" name="59,864"/>
    <tableColumn id="3" name="RS Cr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zoomScale="85" zoomScaleNormal="85" workbookViewId="0">
      <selection activeCell="E21" sqref="E21"/>
    </sheetView>
  </sheetViews>
  <sheetFormatPr defaultRowHeight="14.4"/>
  <cols>
    <col min="1" max="1" width="14.21875" style="18" customWidth="1"/>
    <col min="2" max="2" width="20.44140625" style="18" customWidth="1"/>
    <col min="3" max="3" width="22.33203125" style="18" customWidth="1"/>
    <col min="4" max="4" width="11.21875" style="18" customWidth="1"/>
    <col min="5" max="6" width="19.33203125" style="18" customWidth="1"/>
    <col min="7" max="7" width="22.44140625" style="18" customWidth="1"/>
    <col min="8" max="8" width="23.77734375" style="18" customWidth="1"/>
    <col min="9" max="9" width="27.88671875" style="18" customWidth="1"/>
    <col min="10" max="10" width="14.44140625" style="18" customWidth="1"/>
    <col min="11" max="11" width="0.21875" style="18" hidden="1" customWidth="1"/>
    <col min="12" max="12" width="23.21875" style="18" customWidth="1"/>
    <col min="13" max="13" width="24.77734375" style="18" customWidth="1"/>
    <col min="14" max="14" width="12.21875" style="18" customWidth="1"/>
    <col min="15" max="15" width="13.44140625" style="18" customWidth="1"/>
    <col min="16" max="16" width="20.6640625" style="18" customWidth="1"/>
    <col min="17" max="17" width="22.6640625" style="18" customWidth="1"/>
  </cols>
  <sheetData>
    <row r="1" spans="1:17" s="12" customFormat="1" ht="1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>
      <c r="A2" t="s">
        <v>17</v>
      </c>
      <c r="B2" s="1">
        <v>1768</v>
      </c>
      <c r="C2" s="3">
        <v>83</v>
      </c>
      <c r="D2" s="2">
        <v>23</v>
      </c>
      <c r="E2">
        <v>-16</v>
      </c>
      <c r="F2">
        <v>321.95</v>
      </c>
      <c r="G2">
        <v>60</v>
      </c>
      <c r="H2">
        <v>46</v>
      </c>
      <c r="I2">
        <v>239.01</v>
      </c>
      <c r="J2" s="19">
        <v>0.31</v>
      </c>
      <c r="L2">
        <f t="shared" ref="L2:L6" si="0">D2*(1-J2)+G2-H2-I2</f>
        <v>-209.14</v>
      </c>
      <c r="M2" s="6">
        <v>176</v>
      </c>
      <c r="N2">
        <v>413</v>
      </c>
      <c r="O2">
        <v>1124.48</v>
      </c>
      <c r="P2">
        <v>892</v>
      </c>
      <c r="Q2">
        <v>657</v>
      </c>
    </row>
    <row r="3" spans="1:17">
      <c r="A3" t="s">
        <v>18</v>
      </c>
      <c r="B3" s="1">
        <v>2441</v>
      </c>
      <c r="C3">
        <v>158</v>
      </c>
      <c r="D3">
        <v>86</v>
      </c>
      <c r="E3">
        <v>62</v>
      </c>
      <c r="F3">
        <v>489.57</v>
      </c>
      <c r="G3">
        <v>72</v>
      </c>
      <c r="H3">
        <v>42</v>
      </c>
      <c r="I3">
        <v>85.89</v>
      </c>
      <c r="J3" s="19">
        <v>7.0000000000000007E-2</v>
      </c>
      <c r="L3">
        <f t="shared" si="0"/>
        <v>24.089999999999989</v>
      </c>
      <c r="M3">
        <v>248</v>
      </c>
      <c r="N3">
        <v>333</v>
      </c>
      <c r="O3">
        <v>1301.94</v>
      </c>
      <c r="P3">
        <v>1067</v>
      </c>
      <c r="Q3">
        <v>665</v>
      </c>
    </row>
    <row r="4" spans="1:17">
      <c r="A4" t="s">
        <v>19</v>
      </c>
      <c r="B4" s="1">
        <v>3774</v>
      </c>
      <c r="C4">
        <v>418</v>
      </c>
      <c r="D4">
        <v>68</v>
      </c>
      <c r="E4">
        <v>41</v>
      </c>
      <c r="F4">
        <v>1339.81</v>
      </c>
      <c r="G4">
        <v>96</v>
      </c>
      <c r="H4">
        <v>94</v>
      </c>
      <c r="I4">
        <v>837.01</v>
      </c>
      <c r="J4" s="19">
        <v>0.13</v>
      </c>
      <c r="L4">
        <f t="shared" si="0"/>
        <v>-775.85</v>
      </c>
      <c r="M4">
        <v>267</v>
      </c>
      <c r="N4">
        <v>593</v>
      </c>
      <c r="O4">
        <v>2646.04</v>
      </c>
      <c r="P4">
        <v>2138</v>
      </c>
      <c r="Q4">
        <v>1046</v>
      </c>
    </row>
    <row r="5" spans="1:17">
      <c r="A5" t="s">
        <v>20</v>
      </c>
      <c r="B5" s="1">
        <v>5144</v>
      </c>
      <c r="C5">
        <v>257</v>
      </c>
      <c r="D5">
        <v>84</v>
      </c>
      <c r="E5">
        <v>21</v>
      </c>
      <c r="F5">
        <v>1378.02</v>
      </c>
      <c r="G5">
        <v>173</v>
      </c>
      <c r="H5">
        <v>208</v>
      </c>
      <c r="I5">
        <v>16.5</v>
      </c>
      <c r="J5" s="19">
        <v>0.35</v>
      </c>
      <c r="L5">
        <f t="shared" si="0"/>
        <v>3.0999999999999943</v>
      </c>
      <c r="M5">
        <v>149</v>
      </c>
      <c r="N5">
        <v>798</v>
      </c>
      <c r="O5">
        <v>2949.97</v>
      </c>
      <c r="P5">
        <v>2182</v>
      </c>
      <c r="Q5">
        <v>1233</v>
      </c>
    </row>
    <row r="6" spans="1:17">
      <c r="A6" t="s">
        <v>21</v>
      </c>
      <c r="B6" s="1">
        <v>6386</v>
      </c>
      <c r="C6">
        <v>347</v>
      </c>
      <c r="D6">
        <v>123</v>
      </c>
      <c r="E6">
        <v>40</v>
      </c>
      <c r="F6">
        <v>1262.23</v>
      </c>
      <c r="G6">
        <v>224</v>
      </c>
      <c r="H6">
        <v>111</v>
      </c>
      <c r="I6">
        <v>91.2</v>
      </c>
      <c r="J6" s="19">
        <v>0.37</v>
      </c>
      <c r="L6">
        <f t="shared" si="0"/>
        <v>99.29</v>
      </c>
      <c r="M6">
        <v>240</v>
      </c>
      <c r="N6">
        <v>969</v>
      </c>
      <c r="O6">
        <v>3400.63</v>
      </c>
      <c r="P6">
        <v>2668</v>
      </c>
      <c r="Q6">
        <v>1849</v>
      </c>
    </row>
    <row r="7" spans="1:17" s="35" customFormat="1">
      <c r="I7" s="35">
        <v>2</v>
      </c>
    </row>
    <row r="8" spans="1:17" s="24" customFormat="1" ht="21" customHeight="1">
      <c r="G8" s="24" t="s">
        <v>61</v>
      </c>
    </row>
    <row r="9" spans="1:17" s="4" customFormat="1"/>
    <row r="10" spans="1:17" s="7" customFormat="1"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</row>
    <row r="11" spans="1:17">
      <c r="A11" t="s">
        <v>30</v>
      </c>
      <c r="B11">
        <f>C2/B2*100</f>
        <v>4.6945701357466065</v>
      </c>
      <c r="C11">
        <f>E2/B2*100</f>
        <v>-0.90497737556561098</v>
      </c>
      <c r="D11">
        <f>E2/F2*100</f>
        <v>-4.9697157943780095</v>
      </c>
      <c r="E11">
        <f>(D2*(1-J2)/(F2+N2-M2))*100</f>
        <v>2.8392521692459072</v>
      </c>
      <c r="F11">
        <f>B2/O2</f>
        <v>1.5722822993739327</v>
      </c>
      <c r="G11">
        <f>N2/F2</f>
        <v>1.2828078894238235</v>
      </c>
      <c r="H11">
        <f>P2/Q2</f>
        <v>1.3576864535768645</v>
      </c>
      <c r="I11">
        <f>L2/B2*100</f>
        <v>-11.829185520361991</v>
      </c>
    </row>
    <row r="12" spans="1:17">
      <c r="A12" t="s">
        <v>18</v>
      </c>
      <c r="B12">
        <f>C3/B3*100</f>
        <v>6.4727570667759107</v>
      </c>
      <c r="C12">
        <f>E3/B3*100</f>
        <v>2.5399426464563701</v>
      </c>
      <c r="D12">
        <f>E3/F3*100</f>
        <v>12.664174683906285</v>
      </c>
      <c r="E12">
        <f>(D3*(1-J3)/(F3+N3-M3))*100</f>
        <v>13.919974937779555</v>
      </c>
      <c r="F12">
        <f>B3/O3</f>
        <v>1.8748943883742721</v>
      </c>
      <c r="G12">
        <f>N3/F3</f>
        <v>0.68018873705496663</v>
      </c>
      <c r="H12">
        <f>P3/Q3</f>
        <v>1.6045112781954887</v>
      </c>
      <c r="I12">
        <f>L3/B3*100</f>
        <v>0.98689061859893434</v>
      </c>
    </row>
    <row r="13" spans="1:17">
      <c r="A13" t="s">
        <v>19</v>
      </c>
      <c r="B13">
        <f>C4/B4*100</f>
        <v>11.075781664016958</v>
      </c>
      <c r="C13">
        <f>E4/B4*100</f>
        <v>1.0863804981452041</v>
      </c>
      <c r="D13">
        <f>E4/F4*100</f>
        <v>3.0601353923317487</v>
      </c>
      <c r="E13">
        <f>(D4*(1-J4)/(F4+N4-M4))*100</f>
        <v>3.5514254326723935</v>
      </c>
      <c r="F13">
        <f>B4/O4</f>
        <v>1.4262822935405362</v>
      </c>
      <c r="G13">
        <f>N4/F4</f>
        <v>0.44260007015920172</v>
      </c>
      <c r="H13">
        <f>P4/Q4</f>
        <v>2.0439770554493308</v>
      </c>
      <c r="I13">
        <f>L4/B4*100</f>
        <v>-20.557763645998943</v>
      </c>
    </row>
    <row r="14" spans="1:17">
      <c r="A14" t="s">
        <v>20</v>
      </c>
      <c r="B14">
        <f>C5/B5*100</f>
        <v>4.9961119751166407</v>
      </c>
      <c r="C14">
        <f>E5/B5*100</f>
        <v>0.40824261275272161</v>
      </c>
      <c r="D14">
        <f>E5/F5*100</f>
        <v>1.5239256324291375</v>
      </c>
      <c r="E14">
        <f>(D5*(1-J5)/(F5+N5-M5))*100</f>
        <v>2.6936093378457047</v>
      </c>
      <c r="F14">
        <f>B5/O5</f>
        <v>1.7437465465750501</v>
      </c>
      <c r="G14">
        <f>N5/F5</f>
        <v>0.5790917403230722</v>
      </c>
      <c r="H14">
        <f>P5/Q5</f>
        <v>1.7696674776966748</v>
      </c>
      <c r="I14">
        <f>L5/B5*100</f>
        <v>6.0264385692068323E-2</v>
      </c>
    </row>
    <row r="15" spans="1:17">
      <c r="A15" t="s">
        <v>21</v>
      </c>
      <c r="B15">
        <f>C6/B6*100</f>
        <v>5.4337613529595989</v>
      </c>
      <c r="C15">
        <f>E6/B6*100</f>
        <v>0.62637018477920448</v>
      </c>
      <c r="D15">
        <f>E6/F6*100</f>
        <v>3.1689945572518483</v>
      </c>
      <c r="E15">
        <f>(D6*(1-J6)/(F6+N6-M6))*100</f>
        <v>3.8915645103780072</v>
      </c>
      <c r="F15">
        <f>B6/O6</f>
        <v>1.8778873326413046</v>
      </c>
      <c r="G15">
        <f>N6/F6</f>
        <v>0.7676889314942601</v>
      </c>
      <c r="H15">
        <f>P6/Q6</f>
        <v>1.4429421308815575</v>
      </c>
      <c r="I15">
        <f>L6/B6*100</f>
        <v>1.5548073911681806</v>
      </c>
    </row>
    <row r="18" spans="1:2">
      <c r="A18" s="13" t="s">
        <v>32</v>
      </c>
      <c r="B18">
        <f>((B6/B2)^((1/5)-1))</f>
        <v>0.35793377201671939</v>
      </c>
    </row>
    <row r="22" spans="1:2" s="5" customFormat="1" ht="18" customHeight="1"/>
    <row r="23" spans="1:2" s="24" customFormat="1" ht="18" customHeight="1">
      <c r="A23" s="17" t="s">
        <v>33</v>
      </c>
    </row>
    <row r="24" spans="1:2" s="23" customForma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26" zoomScaleNormal="100" workbookViewId="0">
      <selection activeCell="C55" sqref="C55"/>
    </sheetView>
  </sheetViews>
  <sheetFormatPr defaultRowHeight="14.4"/>
  <cols>
    <col min="1" max="1" width="36.6640625" style="18" customWidth="1"/>
    <col min="2" max="2" width="25.77734375" style="18" customWidth="1"/>
    <col min="3" max="3" width="51.109375" style="18" customWidth="1"/>
    <col min="4" max="4" width="11.77734375" style="18" customWidth="1"/>
    <col min="5" max="5" width="28.88671875" style="18" customWidth="1"/>
    <col min="6" max="6" width="14.77734375" style="18" customWidth="1"/>
    <col min="7" max="7" width="10.33203125" style="18" customWidth="1"/>
    <col min="8" max="8" width="18.6640625" customWidth="1"/>
    <col min="9" max="9" width="24" style="18" customWidth="1"/>
    <col min="10" max="10" width="16" style="18" customWidth="1"/>
  </cols>
  <sheetData>
    <row r="1" spans="1:10" s="14" customFormat="1" ht="18.600000000000001" customHeight="1">
      <c r="A1" s="15" t="s">
        <v>34</v>
      </c>
      <c r="B1" s="15" t="s">
        <v>35</v>
      </c>
      <c r="C1" s="15" t="s">
        <v>36</v>
      </c>
    </row>
    <row r="2" spans="1:10" ht="57" customHeight="1">
      <c r="A2" t="s">
        <v>37</v>
      </c>
      <c r="B2" s="45">
        <v>0.3</v>
      </c>
      <c r="C2" s="16" t="s">
        <v>67</v>
      </c>
    </row>
    <row r="3" spans="1:10" ht="16.8" customHeight="1">
      <c r="A3" t="s">
        <v>38</v>
      </c>
      <c r="B3" s="45">
        <v>0.15</v>
      </c>
      <c r="C3" s="16" t="s">
        <v>68</v>
      </c>
    </row>
    <row r="4" spans="1:10" ht="43.2" customHeight="1">
      <c r="A4" t="s">
        <v>39</v>
      </c>
      <c r="B4" s="55">
        <v>1.4999999999999999E-2</v>
      </c>
      <c r="C4" s="46" t="s">
        <v>95</v>
      </c>
    </row>
    <row r="5" spans="1:10">
      <c r="A5" t="s">
        <v>40</v>
      </c>
      <c r="B5" s="20">
        <v>1.4999999999999999E-2</v>
      </c>
      <c r="C5" t="s">
        <v>41</v>
      </c>
    </row>
    <row r="6" spans="1:10">
      <c r="A6" t="s">
        <v>42</v>
      </c>
      <c r="B6" s="20">
        <v>0.01</v>
      </c>
      <c r="C6" t="s">
        <v>43</v>
      </c>
    </row>
    <row r="7" spans="1:10">
      <c r="A7" t="s">
        <v>9</v>
      </c>
      <c r="B7" s="19">
        <v>0.25</v>
      </c>
      <c r="C7" t="s">
        <v>44</v>
      </c>
    </row>
    <row r="8" spans="1:10" s="5" customFormat="1"/>
    <row r="9" spans="1:10" s="21" customFormat="1"/>
    <row r="10" spans="1:10" s="27" customFormat="1" ht="21" customHeight="1">
      <c r="A10" s="22"/>
      <c r="C10" s="28" t="s">
        <v>53</v>
      </c>
    </row>
    <row r="11" spans="1:10" s="30" customFormat="1"/>
    <row r="12" spans="1:10" s="26" customFormat="1">
      <c r="A12" s="29" t="s">
        <v>96</v>
      </c>
      <c r="B12" s="29" t="s">
        <v>1</v>
      </c>
      <c r="C12" s="29" t="s">
        <v>2</v>
      </c>
      <c r="D12" s="29" t="s">
        <v>3</v>
      </c>
      <c r="E12" s="29" t="s">
        <v>6</v>
      </c>
      <c r="F12" s="29" t="s">
        <v>45</v>
      </c>
      <c r="G12" s="26" t="s">
        <v>46</v>
      </c>
      <c r="H12" s="26" t="s">
        <v>47</v>
      </c>
      <c r="I12" s="26" t="s">
        <v>48</v>
      </c>
      <c r="J12" s="26" t="s">
        <v>49</v>
      </c>
    </row>
    <row r="13" spans="1:10">
      <c r="A13" s="18" t="s">
        <v>31</v>
      </c>
      <c r="B13" s="25">
        <f>Financials!B6*(1+B2)</f>
        <v>8301.8000000000011</v>
      </c>
      <c r="C13">
        <f>B13*$B$3</f>
        <v>1245.2700000000002</v>
      </c>
      <c r="D13" s="25">
        <f>C13-E13</f>
        <v>1120.7430000000002</v>
      </c>
      <c r="E13">
        <f>B13*$B$4</f>
        <v>124.52700000000002</v>
      </c>
      <c r="F13">
        <f>D13*$B$7</f>
        <v>280.18575000000004</v>
      </c>
      <c r="G13" s="25">
        <f>D13-F13</f>
        <v>840.55725000000007</v>
      </c>
      <c r="H13">
        <f>B13*$B$5</f>
        <v>124.52700000000002</v>
      </c>
      <c r="I13">
        <f>B13*$B$6</f>
        <v>83.018000000000015</v>
      </c>
      <c r="J13" s="25">
        <f>G13+E13-H13-I13</f>
        <v>757.53925000000004</v>
      </c>
    </row>
    <row r="14" spans="1:10">
      <c r="A14" s="18" t="s">
        <v>63</v>
      </c>
      <c r="B14" s="25">
        <f>B13*(1+B2)</f>
        <v>10792.340000000002</v>
      </c>
      <c r="C14" s="18">
        <f>B14*$B$3</f>
        <v>1618.8510000000003</v>
      </c>
      <c r="D14" s="25">
        <f t="shared" ref="D14:D17" si="0">C14-E14</f>
        <v>1456.9659000000004</v>
      </c>
      <c r="E14">
        <f>B14*$B$4</f>
        <v>161.88510000000002</v>
      </c>
      <c r="F14">
        <f>D14*$B$7</f>
        <v>364.24147500000009</v>
      </c>
      <c r="G14" s="25">
        <f>D14-F14</f>
        <v>1092.7244250000003</v>
      </c>
      <c r="H14">
        <f>B14*$B$5</f>
        <v>161.88510000000002</v>
      </c>
      <c r="I14">
        <f>B14*$B$6</f>
        <v>107.92340000000002</v>
      </c>
      <c r="J14" s="25">
        <f>G14+E14-H14-I14</f>
        <v>984.80102500000032</v>
      </c>
    </row>
    <row r="15" spans="1:10">
      <c r="A15" s="18" t="s">
        <v>50</v>
      </c>
      <c r="B15" s="25">
        <f>B14*(1+B2)</f>
        <v>14030.042000000003</v>
      </c>
      <c r="C15" s="18">
        <f t="shared" ref="C15:C17" si="1">B15*$B$3</f>
        <v>2104.5063000000005</v>
      </c>
      <c r="D15" s="25">
        <f t="shared" si="0"/>
        <v>1894.0556700000004</v>
      </c>
      <c r="E15">
        <f>B15*$B$4</f>
        <v>210.45063000000005</v>
      </c>
      <c r="F15">
        <f>D15*$B$7</f>
        <v>473.5139175000001</v>
      </c>
      <c r="G15" s="25">
        <f>D15-F15</f>
        <v>1420.5417525000003</v>
      </c>
      <c r="H15">
        <f>B15*$B$5</f>
        <v>210.45063000000005</v>
      </c>
      <c r="I15">
        <f>B15*$B$6</f>
        <v>140.30042000000003</v>
      </c>
      <c r="J15" s="25">
        <f>G15+E15-H15-I15</f>
        <v>1280.2413325000002</v>
      </c>
    </row>
    <row r="16" spans="1:10">
      <c r="A16" s="18" t="s">
        <v>51</v>
      </c>
      <c r="B16" s="25">
        <f>B15*(1+B2)</f>
        <v>18239.054600000003</v>
      </c>
      <c r="C16" s="18">
        <f t="shared" si="1"/>
        <v>2735.8581900000004</v>
      </c>
      <c r="D16" s="25">
        <f t="shared" si="0"/>
        <v>2462.2723710000005</v>
      </c>
      <c r="E16">
        <f>B16*$B$4</f>
        <v>273.58581900000001</v>
      </c>
      <c r="F16">
        <f>D16*$B$7</f>
        <v>615.56809275000012</v>
      </c>
      <c r="G16" s="25">
        <f>D16-F16</f>
        <v>1846.7042782500002</v>
      </c>
      <c r="H16">
        <f>B16*$B$5</f>
        <v>273.58581900000001</v>
      </c>
      <c r="I16">
        <f>B16*$B$6</f>
        <v>182.39054600000003</v>
      </c>
      <c r="J16" s="25">
        <f>G16+E16-H16-I16</f>
        <v>1664.3137322500002</v>
      </c>
    </row>
    <row r="17" spans="1:10">
      <c r="A17" s="18" t="s">
        <v>52</v>
      </c>
      <c r="B17" s="25">
        <f>B16*(1+B2)</f>
        <v>23710.770980000005</v>
      </c>
      <c r="C17" s="18">
        <f t="shared" si="1"/>
        <v>3556.6156470000005</v>
      </c>
      <c r="D17" s="25">
        <f t="shared" si="0"/>
        <v>3200.9540823000007</v>
      </c>
      <c r="E17">
        <f>B17*$B$4</f>
        <v>355.66156470000004</v>
      </c>
      <c r="F17">
        <f>D17*$B$7</f>
        <v>800.23852057500017</v>
      </c>
      <c r="G17" s="25">
        <f>D17-F17</f>
        <v>2400.7155617250005</v>
      </c>
      <c r="H17">
        <f>B17*$B$5</f>
        <v>355.66156470000004</v>
      </c>
      <c r="I17">
        <f>B17*$B$6</f>
        <v>237.10770980000007</v>
      </c>
      <c r="J17" s="25">
        <f>G17+E17-H17-I17</f>
        <v>2163.6078519250004</v>
      </c>
    </row>
    <row r="21" spans="1:10" s="32" customFormat="1">
      <c r="A21" s="31" t="s">
        <v>54</v>
      </c>
      <c r="B21" s="31" t="s">
        <v>55</v>
      </c>
    </row>
    <row r="22" spans="1:10">
      <c r="A22" s="18" t="s">
        <v>56</v>
      </c>
      <c r="B22" s="19">
        <v>0.06</v>
      </c>
    </row>
    <row r="23" spans="1:10">
      <c r="A23" s="18" t="s">
        <v>57</v>
      </c>
      <c r="B23" s="18">
        <v>0.32</v>
      </c>
      <c r="C23" s="34" t="s">
        <v>93</v>
      </c>
      <c r="D23" s="33">
        <f>B22+B23*B24</f>
        <v>7.9199999999999993E-2</v>
      </c>
    </row>
    <row r="24" spans="1:10">
      <c r="A24" s="18" t="s">
        <v>58</v>
      </c>
      <c r="B24" s="19">
        <v>0.06</v>
      </c>
      <c r="C24" s="34" t="s">
        <v>59</v>
      </c>
      <c r="D24" s="20">
        <f>(B26/B25)</f>
        <v>9.8471986417657045E-2</v>
      </c>
    </row>
    <row r="25" spans="1:10">
      <c r="A25" s="18" t="s">
        <v>94</v>
      </c>
      <c r="B25" s="18">
        <f>(Financials!N5+Financials!N6)/2</f>
        <v>883.5</v>
      </c>
      <c r="D25" s="20"/>
    </row>
    <row r="26" spans="1:10">
      <c r="A26" s="18" t="s">
        <v>62</v>
      </c>
      <c r="B26" s="18">
        <v>87</v>
      </c>
    </row>
    <row r="27" spans="1:10">
      <c r="A27" s="18" t="s">
        <v>64</v>
      </c>
      <c r="B27" s="18">
        <f>Financials!N6 + Financials!F6</f>
        <v>2231.23</v>
      </c>
    </row>
    <row r="29" spans="1:10" ht="15.6">
      <c r="A29" s="36" t="s">
        <v>60</v>
      </c>
      <c r="B29" s="37">
        <f>(Financials!F6/B27)*D23+(Financials!N6/B27)*D24*(1-B7)</f>
        <v>7.6878283336559772E-2</v>
      </c>
    </row>
    <row r="30" spans="1:10">
      <c r="A30" s="18" t="s">
        <v>69</v>
      </c>
      <c r="B30" s="18">
        <v>0.04</v>
      </c>
    </row>
    <row r="31" spans="1:10" s="40" customFormat="1">
      <c r="A31" s="39" t="s">
        <v>66</v>
      </c>
      <c r="B31" s="39" t="s">
        <v>65</v>
      </c>
      <c r="E31" s="41"/>
      <c r="F31" s="42"/>
    </row>
    <row r="32" spans="1:10">
      <c r="A32" s="38" t="s">
        <v>31</v>
      </c>
      <c r="B32" s="25">
        <f>J13/(1+$B$29)^1</f>
        <v>703.45856325829925</v>
      </c>
      <c r="F32" s="44"/>
    </row>
    <row r="33" spans="1:9">
      <c r="A33" s="38" t="s">
        <v>63</v>
      </c>
      <c r="B33" s="25">
        <f>J14/(1+$B$29)^2</f>
        <v>849.21030202442967</v>
      </c>
      <c r="E33" s="43" t="s">
        <v>71</v>
      </c>
      <c r="F33" s="18">
        <f>($B$36*(1+$B$30))/($B$29-$B$30)</f>
        <v>42131.614018706845</v>
      </c>
      <c r="H33" s="18"/>
    </row>
    <row r="34" spans="1:9">
      <c r="A34" s="38" t="s">
        <v>50</v>
      </c>
      <c r="B34" s="25">
        <f>J15/(1+$B$29)^3</f>
        <v>1025.1607908846006</v>
      </c>
      <c r="E34" s="43" t="s">
        <v>74</v>
      </c>
      <c r="F34" s="18">
        <f>$F$33/(1+$B$29)^5</f>
        <v>29092.095339920361</v>
      </c>
      <c r="H34" s="18" t="s">
        <v>70</v>
      </c>
      <c r="I34" s="18">
        <v>285.70999999999998</v>
      </c>
    </row>
    <row r="35" spans="1:9">
      <c r="A35" s="38" t="s">
        <v>51</v>
      </c>
      <c r="B35" s="25">
        <f>J16/(1+$B$29)^4</f>
        <v>1237.5670015563544</v>
      </c>
      <c r="E35" s="43" t="s">
        <v>73</v>
      </c>
      <c r="F35" s="25">
        <f>SUM($B$32:$B$36)+$F$34</f>
        <v>34401.47430457524</v>
      </c>
    </row>
    <row r="36" spans="1:9">
      <c r="A36" s="38" t="s">
        <v>52</v>
      </c>
      <c r="B36" s="25">
        <f>J17/(1+$B$29)^5</f>
        <v>1493.9823069311969</v>
      </c>
      <c r="E36" s="43" t="s">
        <v>72</v>
      </c>
      <c r="F36" s="25">
        <f>F35+Financials!M6-Financials!N6</f>
        <v>33672.47430457524</v>
      </c>
    </row>
    <row r="37" spans="1:9">
      <c r="A37" s="38"/>
      <c r="B37" s="25"/>
      <c r="E37" s="43" t="s">
        <v>75</v>
      </c>
      <c r="F37" s="18">
        <f>F36/I34</f>
        <v>117.85542789743181</v>
      </c>
    </row>
    <row r="39" spans="1:9">
      <c r="E39" s="52"/>
      <c r="F39" s="20"/>
    </row>
    <row r="40" spans="1:9" s="5" customFormat="1">
      <c r="C40" s="18"/>
      <c r="F40" s="51"/>
    </row>
    <row r="41" spans="1:9" s="47" customFormat="1" ht="21">
      <c r="C41" s="48" t="s">
        <v>76</v>
      </c>
    </row>
    <row r="42" spans="1:9" s="23" customFormat="1">
      <c r="C42" s="50">
        <f>F35</f>
        <v>34401.47430457524</v>
      </c>
      <c r="D42" s="49">
        <v>7.0000000000000007E-2</v>
      </c>
      <c r="E42" s="49">
        <v>0.08</v>
      </c>
      <c r="F42" s="49">
        <v>0.09</v>
      </c>
      <c r="G42" s="49"/>
    </row>
    <row r="43" spans="1:9">
      <c r="B43" s="19"/>
      <c r="C43" s="19">
        <v>0.02</v>
      </c>
      <c r="D43" s="18">
        <f t="dataTable" ref="D43:F46" dt2D="1" dtr="1" r1="B29" r2="B30"/>
        <v>27862.8395255629</v>
      </c>
      <c r="E43" s="18">
        <v>22294.739805394758</v>
      </c>
      <c r="F43" s="18">
        <v>18414.982341498064</v>
      </c>
    </row>
    <row r="44" spans="1:9">
      <c r="C44" s="19">
        <v>0.03</v>
      </c>
      <c r="D44" s="18">
        <v>33747.136107472972</v>
      </c>
      <c r="E44" s="18">
        <v>25902.548449404745</v>
      </c>
      <c r="F44" s="18">
        <v>20786.851767702497</v>
      </c>
    </row>
    <row r="45" spans="1:9">
      <c r="C45" s="19">
        <v>0.04</v>
      </c>
      <c r="D45" s="18">
        <v>43554.297077323085</v>
      </c>
      <c r="E45" s="18">
        <v>31314.261415419722</v>
      </c>
      <c r="F45" s="18">
        <v>24107.468964388703</v>
      </c>
    </row>
    <row r="46" spans="1:9">
      <c r="C46" s="19">
        <v>0.05</v>
      </c>
      <c r="D46" s="18">
        <v>63168.619017023331</v>
      </c>
      <c r="E46" s="18">
        <v>40333.783025444696</v>
      </c>
      <c r="F46" s="18">
        <v>29088.394759418017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J5:L14"/>
  <sheetViews>
    <sheetView workbookViewId="0">
      <selection activeCell="Q28" sqref="Q28"/>
    </sheetView>
  </sheetViews>
  <sheetFormatPr defaultRowHeight="14.4"/>
  <cols>
    <col min="10" max="10" width="22.77734375" customWidth="1"/>
    <col min="11" max="11" width="10.44140625" customWidth="1"/>
    <col min="12" max="12" width="11.109375" customWidth="1"/>
  </cols>
  <sheetData>
    <row r="5" spans="10:12">
      <c r="J5" s="18" t="s">
        <v>77</v>
      </c>
      <c r="K5" s="18" t="s">
        <v>78</v>
      </c>
      <c r="L5" s="18" t="s">
        <v>79</v>
      </c>
    </row>
    <row r="6" spans="10:12">
      <c r="J6" s="18" t="s">
        <v>85</v>
      </c>
      <c r="K6" s="25">
        <f>'Forecast Assumptions'!F35</f>
        <v>34401.47430457524</v>
      </c>
      <c r="L6" s="18" t="s">
        <v>86</v>
      </c>
    </row>
    <row r="7" spans="10:12">
      <c r="J7" s="18" t="s">
        <v>80</v>
      </c>
      <c r="K7" s="25">
        <f>Financials!M6</f>
        <v>240</v>
      </c>
      <c r="L7" s="18" t="s">
        <v>86</v>
      </c>
    </row>
    <row r="8" spans="10:12">
      <c r="J8" s="18" t="s">
        <v>81</v>
      </c>
      <c r="K8" s="25">
        <f>Financials!N6</f>
        <v>969</v>
      </c>
      <c r="L8" s="18" t="s">
        <v>86</v>
      </c>
    </row>
    <row r="9" spans="10:12">
      <c r="J9" s="18" t="s">
        <v>83</v>
      </c>
      <c r="K9" s="25">
        <f>K6+K7-K8</f>
        <v>33672.47430457524</v>
      </c>
      <c r="L9" s="18" t="s">
        <v>86</v>
      </c>
    </row>
    <row r="10" spans="10:12">
      <c r="J10" s="18" t="s">
        <v>82</v>
      </c>
      <c r="K10" s="25">
        <f>'Forecast Assumptions'!I34</f>
        <v>285.70999999999998</v>
      </c>
      <c r="L10" s="18" t="s">
        <v>87</v>
      </c>
    </row>
    <row r="11" spans="10:12">
      <c r="J11" s="18" t="s">
        <v>84</v>
      </c>
      <c r="K11" s="25">
        <f>K9/K10</f>
        <v>117.85542789743181</v>
      </c>
      <c r="L11" s="18" t="s">
        <v>88</v>
      </c>
    </row>
    <row r="13" spans="10:12" s="54" customFormat="1">
      <c r="J13" s="54" t="s">
        <v>89</v>
      </c>
      <c r="K13" s="53" t="s">
        <v>91</v>
      </c>
      <c r="L13" s="18" t="s">
        <v>92</v>
      </c>
    </row>
    <row r="14" spans="10:12">
      <c r="J14" s="18" t="s">
        <v>90</v>
      </c>
      <c r="K14" s="18">
        <v>209</v>
      </c>
      <c r="L14" s="18" t="s">
        <v>88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Financials</vt:lpstr>
      <vt:lpstr>Forecast Assumptions</vt:lpstr>
      <vt:lpstr>Valuation Cmparison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2025-07-10T12:32:00Z</dcterms:created>
  <dcterms:modified xsi:type="dcterms:W3CDTF">2025-08-13T11:32:21Z</dcterms:modified>
</cp:coreProperties>
</file>