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DI_MCC\Phase_01\View_Development\Components\Application\Autoliv\NVP\Config\"/>
    </mc:Choice>
  </mc:AlternateContent>
  <xr:revisionPtr revIDLastSave="0" documentId="13_ncr:1_{59B5995F-1CBC-4944-8D7B-DEDA90A32770}" xr6:coauthVersionLast="47" xr6:coauthVersionMax="47" xr10:uidLastSave="{00000000-0000-0000-0000-000000000000}"/>
  <bookViews>
    <workbookView xWindow="-120" yWindow="-120" windowWidth="29040" windowHeight="15840" activeTab="3" xr2:uid="{B9036913-8BAE-4463-B6BB-7CA5EDFF8830}"/>
  </bookViews>
  <sheets>
    <sheet name="UDS Commands" sheetId="9" r:id="rId1"/>
    <sheet name="Unlock Profile" sheetId="6" r:id="rId2"/>
    <sheet name="Backup Profile" sheetId="14" r:id="rId3"/>
    <sheet name="Diagnostic Profile" sheetId="15" r:id="rId4"/>
    <sheet name="Reserved Profile" sheetId="1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16" l="1"/>
  <c r="AQ18" i="16" s="1"/>
  <c r="Q50" i="16"/>
  <c r="X50" i="16" s="1"/>
  <c r="Q44" i="16"/>
  <c r="Q38" i="16"/>
  <c r="V38" i="16" s="1"/>
  <c r="Q32" i="16"/>
  <c r="AQ22" i="16" s="1"/>
  <c r="Q26" i="16"/>
  <c r="P26" i="16" s="1"/>
  <c r="T23" i="16" s="1"/>
  <c r="Q20" i="16"/>
  <c r="V20" i="16" s="1"/>
  <c r="Q14" i="16"/>
  <c r="V14" i="16" s="1"/>
  <c r="Q50" i="15"/>
  <c r="X50" i="15" s="1"/>
  <c r="Q44" i="15"/>
  <c r="Q38" i="15"/>
  <c r="AQ23" i="15" s="1"/>
  <c r="Q32" i="15"/>
  <c r="Q26" i="15"/>
  <c r="Q20" i="15"/>
  <c r="V20" i="15" s="1"/>
  <c r="Q14" i="15"/>
  <c r="Q8" i="15"/>
  <c r="V8" i="15" s="1"/>
  <c r="Q50" i="14"/>
  <c r="Q44" i="14"/>
  <c r="Q38" i="14"/>
  <c r="X38" i="14" s="1"/>
  <c r="Q32" i="14"/>
  <c r="Q26" i="14"/>
  <c r="Q20" i="14"/>
  <c r="Q14" i="14"/>
  <c r="Q8" i="14"/>
  <c r="Q26" i="6"/>
  <c r="V26" i="6" s="1"/>
  <c r="Q50" i="6"/>
  <c r="X50" i="6" s="1"/>
  <c r="Q44" i="6"/>
  <c r="X44" i="6" s="1"/>
  <c r="Q38" i="6"/>
  <c r="V38" i="6" s="1"/>
  <c r="Q32" i="6"/>
  <c r="P32" i="6" s="1"/>
  <c r="Q20" i="6"/>
  <c r="X20" i="6" s="1"/>
  <c r="Q14" i="6"/>
  <c r="V14" i="6" s="1"/>
  <c r="Q8" i="6"/>
  <c r="X8" i="6" s="1"/>
  <c r="X44" i="16"/>
  <c r="X44" i="15"/>
  <c r="AQ22" i="15"/>
  <c r="P26" i="15"/>
  <c r="R26" i="15" s="1"/>
  <c r="V14" i="15"/>
  <c r="X50" i="14"/>
  <c r="X44" i="14"/>
  <c r="P38" i="14"/>
  <c r="X32" i="14"/>
  <c r="X26" i="14"/>
  <c r="AQ20" i="14"/>
  <c r="V14" i="14"/>
  <c r="V8" i="14"/>
  <c r="BA48" i="6"/>
  <c r="C6" i="9"/>
  <c r="BA51" i="16"/>
  <c r="P51" i="16"/>
  <c r="Z51" i="16" s="1"/>
  <c r="BA50" i="16"/>
  <c r="Z50" i="16"/>
  <c r="BA49" i="16"/>
  <c r="P49" i="16"/>
  <c r="V49" i="16" s="1"/>
  <c r="BA48" i="16"/>
  <c r="P48" i="16"/>
  <c r="BA47" i="16"/>
  <c r="W47" i="16"/>
  <c r="V47" i="16"/>
  <c r="BA46" i="16"/>
  <c r="BA45" i="16"/>
  <c r="P45" i="16"/>
  <c r="Z45" i="16" s="1"/>
  <c r="BA44" i="16"/>
  <c r="Z44" i="16"/>
  <c r="BA43" i="16"/>
  <c r="P43" i="16"/>
  <c r="V43" i="16" s="1"/>
  <c r="BA42" i="16"/>
  <c r="V42" i="16"/>
  <c r="P42" i="16"/>
  <c r="BA41" i="16"/>
  <c r="W41" i="16"/>
  <c r="V41" i="16"/>
  <c r="BA40" i="16"/>
  <c r="V39" i="16"/>
  <c r="P39" i="16"/>
  <c r="R39" i="16" s="1"/>
  <c r="Z38" i="16"/>
  <c r="P37" i="16"/>
  <c r="V37" i="16" s="1"/>
  <c r="P36" i="16"/>
  <c r="W35" i="16"/>
  <c r="V35" i="16"/>
  <c r="P33" i="16"/>
  <c r="Y33" i="16" s="1"/>
  <c r="Z32" i="16"/>
  <c r="P31" i="16"/>
  <c r="V31" i="16" s="1"/>
  <c r="P30" i="16"/>
  <c r="V30" i="16" s="1"/>
  <c r="W29" i="16"/>
  <c r="V29" i="16"/>
  <c r="P27" i="16"/>
  <c r="U23" i="16" s="1"/>
  <c r="Z26" i="16"/>
  <c r="AP25" i="16"/>
  <c r="AO25" i="16"/>
  <c r="P25" i="16"/>
  <c r="V25" i="16" s="1"/>
  <c r="AU24" i="16"/>
  <c r="AT24" i="16"/>
  <c r="AP24" i="16"/>
  <c r="AO24" i="16"/>
  <c r="P24" i="16"/>
  <c r="AP23" i="16"/>
  <c r="AO23" i="16"/>
  <c r="W23" i="16"/>
  <c r="V23" i="16"/>
  <c r="BA22" i="16" a="1"/>
  <c r="BA22" i="16" s="1"/>
  <c r="AZ22" i="16" a="1"/>
  <c r="AZ22" i="16" s="1"/>
  <c r="AY22" i="16" a="1"/>
  <c r="AY22" i="16" s="1"/>
  <c r="AX22" i="16" a="1"/>
  <c r="AX22" i="16" s="1"/>
  <c r="AV22" i="16" a="1"/>
  <c r="AV22" i="16" s="1"/>
  <c r="AU22" i="16"/>
  <c r="AT22" i="16"/>
  <c r="AP22" i="16"/>
  <c r="AO22" i="16"/>
  <c r="AY21" i="16"/>
  <c r="AX21" i="16"/>
  <c r="AV21" i="16"/>
  <c r="AP21" i="16"/>
  <c r="AO21" i="16"/>
  <c r="P21" i="16"/>
  <c r="Z21" i="16" s="1"/>
  <c r="BA20" i="16" a="1"/>
  <c r="BA20" i="16" s="1"/>
  <c r="AZ20" i="16" a="1"/>
  <c r="AZ20" i="16" s="1"/>
  <c r="AY20" i="16" a="1"/>
  <c r="AY20" i="16" s="1"/>
  <c r="AX20" i="16" a="1"/>
  <c r="AX20" i="16" s="1"/>
  <c r="AV20" i="16" a="1"/>
  <c r="AV20" i="16" s="1"/>
  <c r="AU20" i="16"/>
  <c r="AT20" i="16"/>
  <c r="AP20" i="16"/>
  <c r="AO20" i="16"/>
  <c r="Z20" i="16"/>
  <c r="AY19" i="16"/>
  <c r="AX19" i="16"/>
  <c r="AV19" i="16"/>
  <c r="AP19" i="16"/>
  <c r="AO19" i="16"/>
  <c r="P19" i="16"/>
  <c r="V19" i="16" s="1"/>
  <c r="BA18" i="16" a="1"/>
  <c r="BA18" i="16" s="1"/>
  <c r="AZ18" i="16" a="1"/>
  <c r="AZ18" i="16" s="1"/>
  <c r="AY18" i="16" a="1"/>
  <c r="AY18" i="16" s="1"/>
  <c r="AX18" i="16" a="1"/>
  <c r="AX18" i="16" s="1"/>
  <c r="AV18" i="16" a="1"/>
  <c r="AV18" i="16" s="1"/>
  <c r="AU18" i="16"/>
  <c r="AT18" i="16"/>
  <c r="AP18" i="16"/>
  <c r="AO18" i="16"/>
  <c r="P18" i="16"/>
  <c r="V18" i="16" s="1"/>
  <c r="AY17" i="16"/>
  <c r="AX17" i="16"/>
  <c r="AV17" i="16"/>
  <c r="W17" i="16"/>
  <c r="V17" i="16"/>
  <c r="BA16" i="16" a="1"/>
  <c r="BA16" i="16" s="1"/>
  <c r="AZ16" i="16" a="1"/>
  <c r="AZ16" i="16" s="1"/>
  <c r="AY16" i="16" a="1"/>
  <c r="AY16" i="16" s="1"/>
  <c r="AX16" i="16" a="1"/>
  <c r="AX16" i="16" s="1"/>
  <c r="AV16" i="16" a="1"/>
  <c r="AV16" i="16" s="1"/>
  <c r="AU16" i="16"/>
  <c r="AT16" i="16"/>
  <c r="P15" i="16"/>
  <c r="V15" i="16" s="1"/>
  <c r="BA14" i="16" a="1"/>
  <c r="BA14" i="16" s="1"/>
  <c r="AZ14" i="16" a="1"/>
  <c r="AZ14" i="16" s="1"/>
  <c r="AY14" i="16" a="1"/>
  <c r="AY14" i="16" s="1"/>
  <c r="AX14" i="16" a="1"/>
  <c r="AX14" i="16" s="1"/>
  <c r="AV14" i="16" a="1"/>
  <c r="AV14" i="16" s="1"/>
  <c r="AU14" i="16"/>
  <c r="AT14" i="16"/>
  <c r="Z14" i="16"/>
  <c r="P13" i="16"/>
  <c r="V13" i="16" s="1"/>
  <c r="AU12" i="16"/>
  <c r="AT12" i="16"/>
  <c r="P12" i="16"/>
  <c r="V12" i="16" s="1"/>
  <c r="W11" i="16"/>
  <c r="V11" i="16"/>
  <c r="AT10" i="16"/>
  <c r="P9" i="16"/>
  <c r="Z9" i="16" s="1"/>
  <c r="Z8" i="16"/>
  <c r="P7" i="16"/>
  <c r="V7" i="16" s="1"/>
  <c r="P6" i="16"/>
  <c r="V6" i="16" s="1"/>
  <c r="W5" i="16"/>
  <c r="V5" i="16"/>
  <c r="BA51" i="15"/>
  <c r="P51" i="15"/>
  <c r="Y51" i="15" s="1"/>
  <c r="BA50" i="15"/>
  <c r="Z50" i="15"/>
  <c r="BA49" i="15"/>
  <c r="P49" i="15"/>
  <c r="V49" i="15" s="1"/>
  <c r="BA48" i="15"/>
  <c r="P48" i="15"/>
  <c r="BA47" i="15"/>
  <c r="W47" i="15"/>
  <c r="V47" i="15"/>
  <c r="BA46" i="15"/>
  <c r="BA45" i="15"/>
  <c r="P45" i="15"/>
  <c r="Z45" i="15" s="1"/>
  <c r="BA44" i="15"/>
  <c r="Z44" i="15"/>
  <c r="BA43" i="15"/>
  <c r="P43" i="15"/>
  <c r="V43" i="15" s="1"/>
  <c r="BA42" i="15"/>
  <c r="P42" i="15"/>
  <c r="BA41" i="15"/>
  <c r="W41" i="15"/>
  <c r="V41" i="15"/>
  <c r="BA40" i="15"/>
  <c r="P39" i="15"/>
  <c r="R39" i="15" s="1"/>
  <c r="Z38" i="15"/>
  <c r="P37" i="15"/>
  <c r="V37" i="15" s="1"/>
  <c r="P36" i="15"/>
  <c r="W35" i="15"/>
  <c r="V35" i="15"/>
  <c r="P33" i="15"/>
  <c r="Y33" i="15" s="1"/>
  <c r="Z32" i="15"/>
  <c r="P31" i="15"/>
  <c r="V31" i="15" s="1"/>
  <c r="P30" i="15"/>
  <c r="W29" i="15"/>
  <c r="V29" i="15"/>
  <c r="P27" i="15"/>
  <c r="U23" i="15" s="1"/>
  <c r="Z26" i="15"/>
  <c r="AP25" i="15"/>
  <c r="AO25" i="15"/>
  <c r="P25" i="15"/>
  <c r="V25" i="15" s="1"/>
  <c r="AU24" i="15"/>
  <c r="AT24" i="15"/>
  <c r="AP24" i="15"/>
  <c r="AO24" i="15"/>
  <c r="P24" i="15"/>
  <c r="AP23" i="15"/>
  <c r="AO23" i="15"/>
  <c r="W23" i="15"/>
  <c r="V23" i="15"/>
  <c r="BA22" i="15" a="1"/>
  <c r="BA22" i="15" s="1"/>
  <c r="AZ22" i="15" a="1"/>
  <c r="AZ22" i="15" s="1"/>
  <c r="AY22" i="15" a="1"/>
  <c r="AY22" i="15" s="1"/>
  <c r="AX22" i="15" a="1"/>
  <c r="AX22" i="15" s="1"/>
  <c r="AV22" i="15" a="1"/>
  <c r="AV22" i="15" s="1"/>
  <c r="AU22" i="15"/>
  <c r="AT22" i="15"/>
  <c r="AP22" i="15"/>
  <c r="AO22" i="15"/>
  <c r="AY21" i="15"/>
  <c r="AX21" i="15"/>
  <c r="AV21" i="15"/>
  <c r="AP21" i="15"/>
  <c r="AO21" i="15"/>
  <c r="P21" i="15"/>
  <c r="X21" i="15" s="1"/>
  <c r="BA20" i="15" a="1"/>
  <c r="BA20" i="15" s="1"/>
  <c r="AZ20" i="15" a="1"/>
  <c r="AZ20" i="15" s="1"/>
  <c r="AY20" i="15" a="1"/>
  <c r="AY20" i="15" s="1"/>
  <c r="AX20" i="15" a="1"/>
  <c r="AX20" i="15" s="1"/>
  <c r="AV20" i="15" a="1"/>
  <c r="AV20" i="15" s="1"/>
  <c r="AU20" i="15"/>
  <c r="AT20" i="15"/>
  <c r="AP20" i="15"/>
  <c r="AO20" i="15"/>
  <c r="Z20" i="15"/>
  <c r="AY19" i="15"/>
  <c r="AX19" i="15"/>
  <c r="AV19" i="15"/>
  <c r="AP19" i="15"/>
  <c r="AO19" i="15"/>
  <c r="V19" i="15"/>
  <c r="P19" i="15"/>
  <c r="BA18" i="15" a="1"/>
  <c r="BA18" i="15" s="1"/>
  <c r="AZ18" i="15" a="1"/>
  <c r="AZ18" i="15" s="1"/>
  <c r="AY18" i="15" a="1"/>
  <c r="AY18" i="15" s="1"/>
  <c r="AX18" i="15" a="1"/>
  <c r="AX18" i="15" s="1"/>
  <c r="AV18" i="15" a="1"/>
  <c r="AV18" i="15" s="1"/>
  <c r="AU18" i="15"/>
  <c r="AT18" i="15"/>
  <c r="AP18" i="15"/>
  <c r="AO18" i="15"/>
  <c r="P18" i="15"/>
  <c r="AY17" i="15"/>
  <c r="AX17" i="15"/>
  <c r="AV17" i="15"/>
  <c r="W17" i="15"/>
  <c r="V17" i="15"/>
  <c r="AT16" i="15"/>
  <c r="Z15" i="15"/>
  <c r="P15" i="15"/>
  <c r="V15" i="15" s="1"/>
  <c r="AT14" i="15"/>
  <c r="Z14" i="15"/>
  <c r="P13" i="15"/>
  <c r="V13" i="15" s="1"/>
  <c r="AT12" i="15"/>
  <c r="AU12" i="15" s="1"/>
  <c r="P12" i="15"/>
  <c r="V12" i="15" s="1"/>
  <c r="W11" i="15"/>
  <c r="V11" i="15"/>
  <c r="AT10" i="15"/>
  <c r="P9" i="15"/>
  <c r="Z9" i="15" s="1"/>
  <c r="Z8" i="15"/>
  <c r="P7" i="15"/>
  <c r="V7" i="15" s="1"/>
  <c r="P6" i="15"/>
  <c r="W5" i="15"/>
  <c r="V5" i="15"/>
  <c r="BA51" i="14"/>
  <c r="Z51" i="14"/>
  <c r="X51" i="14"/>
  <c r="V51" i="14"/>
  <c r="P51" i="14"/>
  <c r="Y51" i="14" s="1"/>
  <c r="BA50" i="14"/>
  <c r="Z50" i="14"/>
  <c r="BA49" i="14"/>
  <c r="P49" i="14"/>
  <c r="V49" i="14" s="1"/>
  <c r="BA48" i="14"/>
  <c r="P48" i="14"/>
  <c r="BA47" i="14"/>
  <c r="W47" i="14"/>
  <c r="V47" i="14"/>
  <c r="U47" i="14"/>
  <c r="BA46" i="14"/>
  <c r="BA45" i="14"/>
  <c r="V45" i="14"/>
  <c r="R45" i="14"/>
  <c r="P45" i="14"/>
  <c r="Z45" i="14" s="1"/>
  <c r="BA44" i="14"/>
  <c r="Z44" i="14"/>
  <c r="BA43" i="14"/>
  <c r="P43" i="14"/>
  <c r="V43" i="14" s="1"/>
  <c r="BA42" i="14"/>
  <c r="P42" i="14"/>
  <c r="BA41" i="14"/>
  <c r="W41" i="14"/>
  <c r="V41" i="14"/>
  <c r="BA40" i="14"/>
  <c r="P39" i="14"/>
  <c r="R39" i="14" s="1"/>
  <c r="Z38" i="14"/>
  <c r="P37" i="14"/>
  <c r="V37" i="14" s="1"/>
  <c r="P36" i="14"/>
  <c r="V36" i="14" s="1"/>
  <c r="W35" i="14"/>
  <c r="V35" i="14"/>
  <c r="P33" i="14"/>
  <c r="X33" i="14" s="1"/>
  <c r="Z32" i="14"/>
  <c r="P31" i="14"/>
  <c r="V31" i="14" s="1"/>
  <c r="P30" i="14"/>
  <c r="V30" i="14" s="1"/>
  <c r="W29" i="14"/>
  <c r="V29" i="14"/>
  <c r="P27" i="14"/>
  <c r="V27" i="14" s="1"/>
  <c r="Z26" i="14"/>
  <c r="AP25" i="14"/>
  <c r="AO25" i="14"/>
  <c r="P25" i="14"/>
  <c r="V25" i="14" s="1"/>
  <c r="AU24" i="14"/>
  <c r="AT24" i="14"/>
  <c r="AP24" i="14"/>
  <c r="AO24" i="14"/>
  <c r="P24" i="14"/>
  <c r="R25" i="14" s="1"/>
  <c r="AP23" i="14"/>
  <c r="AO23" i="14"/>
  <c r="W23" i="14"/>
  <c r="V23" i="14"/>
  <c r="BA22" i="14" a="1"/>
  <c r="BA22" i="14" s="1"/>
  <c r="AZ22" i="14" a="1"/>
  <c r="AZ22" i="14" s="1"/>
  <c r="AY22" i="14" a="1"/>
  <c r="AY22" i="14" s="1"/>
  <c r="AX22" i="14" a="1"/>
  <c r="AX22" i="14" s="1"/>
  <c r="AV22" i="14" a="1"/>
  <c r="AV22" i="14" s="1"/>
  <c r="AU22" i="14"/>
  <c r="AT22" i="14"/>
  <c r="AP22" i="14"/>
  <c r="AO22" i="14"/>
  <c r="AY21" i="14"/>
  <c r="AX21" i="14"/>
  <c r="AV21" i="14"/>
  <c r="AP21" i="14"/>
  <c r="AO21" i="14"/>
  <c r="P21" i="14"/>
  <c r="Z21" i="14" s="1"/>
  <c r="BA20" i="14" a="1"/>
  <c r="BA20" i="14" s="1"/>
  <c r="AZ20" i="14" a="1"/>
  <c r="AZ20" i="14" s="1"/>
  <c r="AY20" i="14" a="1"/>
  <c r="AY20" i="14" s="1"/>
  <c r="AX20" i="14" a="1"/>
  <c r="AX20" i="14" s="1"/>
  <c r="AV20" i="14" a="1"/>
  <c r="AV20" i="14" s="1"/>
  <c r="AU20" i="14"/>
  <c r="AT20" i="14"/>
  <c r="AP20" i="14"/>
  <c r="AO20" i="14"/>
  <c r="Z20" i="14"/>
  <c r="AY19" i="14"/>
  <c r="AX19" i="14"/>
  <c r="AV19" i="14"/>
  <c r="AP19" i="14"/>
  <c r="AO19" i="14"/>
  <c r="P19" i="14"/>
  <c r="BA18" i="14" a="1"/>
  <c r="BA18" i="14" s="1"/>
  <c r="AZ18" i="14" a="1"/>
  <c r="AZ18" i="14" s="1"/>
  <c r="AY18" i="14" a="1"/>
  <c r="AY18" i="14" s="1"/>
  <c r="AX18" i="14" a="1"/>
  <c r="AX18" i="14" s="1"/>
  <c r="AV18" i="14" a="1"/>
  <c r="AV18" i="14" s="1"/>
  <c r="AU18" i="14"/>
  <c r="AT18" i="14"/>
  <c r="AP18" i="14"/>
  <c r="AO18" i="14"/>
  <c r="P18" i="14"/>
  <c r="V18" i="14" s="1"/>
  <c r="AY17" i="14"/>
  <c r="AX17" i="14"/>
  <c r="AV17" i="14"/>
  <c r="W17" i="14"/>
  <c r="V17" i="14"/>
  <c r="U17" i="14"/>
  <c r="AT16" i="14"/>
  <c r="P15" i="14"/>
  <c r="V15" i="14" s="1"/>
  <c r="AT14" i="14"/>
  <c r="Z14" i="14"/>
  <c r="P13" i="14"/>
  <c r="V13" i="14" s="1"/>
  <c r="AT12" i="14"/>
  <c r="P12" i="14"/>
  <c r="W11" i="14"/>
  <c r="V11" i="14"/>
  <c r="AT10" i="14"/>
  <c r="AO10" i="14"/>
  <c r="Z9" i="14"/>
  <c r="Y9" i="14"/>
  <c r="P9" i="14"/>
  <c r="V9" i="14" s="1"/>
  <c r="Z8" i="14"/>
  <c r="P7" i="14"/>
  <c r="V7" i="14" s="1"/>
  <c r="P6" i="14"/>
  <c r="R7" i="14" s="1"/>
  <c r="W5" i="14"/>
  <c r="V5" i="14"/>
  <c r="BA12" i="16" a="1"/>
  <c r="BA12" i="16" l="1"/>
  <c r="U5" i="16"/>
  <c r="Y9" i="15"/>
  <c r="R25" i="15"/>
  <c r="R19" i="15"/>
  <c r="V27" i="15"/>
  <c r="U5" i="15"/>
  <c r="R37" i="15"/>
  <c r="R31" i="15"/>
  <c r="X31" i="15" s="1"/>
  <c r="R27" i="14"/>
  <c r="V21" i="14"/>
  <c r="X27" i="14"/>
  <c r="Y33" i="14"/>
  <c r="X9" i="14"/>
  <c r="X21" i="14"/>
  <c r="Z27" i="14"/>
  <c r="Z33" i="14"/>
  <c r="Y21" i="14"/>
  <c r="X15" i="16"/>
  <c r="R19" i="16"/>
  <c r="X19" i="16" s="1"/>
  <c r="Y27" i="15"/>
  <c r="R33" i="15"/>
  <c r="U29" i="15"/>
  <c r="Z33" i="15"/>
  <c r="V9" i="15"/>
  <c r="R43" i="15"/>
  <c r="S41" i="15" s="1"/>
  <c r="V42" i="15"/>
  <c r="R7" i="15"/>
  <c r="X15" i="15"/>
  <c r="R19" i="14"/>
  <c r="X19" i="14" s="1"/>
  <c r="V38" i="14"/>
  <c r="P8" i="6"/>
  <c r="AQ23" i="14"/>
  <c r="AQ25" i="14"/>
  <c r="V32" i="14"/>
  <c r="P14" i="14"/>
  <c r="R14" i="14" s="1"/>
  <c r="AQ22" i="14"/>
  <c r="P32" i="14"/>
  <c r="T29" i="14" s="1"/>
  <c r="X8" i="14"/>
  <c r="V32" i="16"/>
  <c r="AQ20" i="16"/>
  <c r="AQ25" i="15"/>
  <c r="P38" i="15"/>
  <c r="T35" i="15" s="1"/>
  <c r="V38" i="15"/>
  <c r="X38" i="15"/>
  <c r="AQ20" i="15"/>
  <c r="P50" i="14"/>
  <c r="T47" i="14" s="1"/>
  <c r="V50" i="6"/>
  <c r="P50" i="6"/>
  <c r="V44" i="6"/>
  <c r="P44" i="6"/>
  <c r="X14" i="6"/>
  <c r="R13" i="16"/>
  <c r="S11" i="16" s="1"/>
  <c r="AQ21" i="16"/>
  <c r="AO10" i="16"/>
  <c r="P38" i="16"/>
  <c r="T35" i="16" s="1"/>
  <c r="U11" i="16"/>
  <c r="X38" i="16"/>
  <c r="X33" i="16"/>
  <c r="AQ24" i="16"/>
  <c r="V26" i="16"/>
  <c r="R7" i="16"/>
  <c r="X7" i="16" s="1"/>
  <c r="X26" i="16"/>
  <c r="Y9" i="16"/>
  <c r="X13" i="16"/>
  <c r="R33" i="16"/>
  <c r="R49" i="16"/>
  <c r="X49" i="16" s="1"/>
  <c r="V33" i="16"/>
  <c r="P14" i="16"/>
  <c r="R14" i="16" s="1"/>
  <c r="AQ25" i="16"/>
  <c r="Y27" i="16"/>
  <c r="R31" i="16"/>
  <c r="P50" i="16"/>
  <c r="V8" i="16"/>
  <c r="X14" i="16"/>
  <c r="X21" i="16"/>
  <c r="U29" i="16"/>
  <c r="P32" i="16"/>
  <c r="T29" i="16" s="1"/>
  <c r="Z33" i="16"/>
  <c r="R26" i="16"/>
  <c r="R43" i="16"/>
  <c r="S41" i="16" s="1"/>
  <c r="V9" i="16"/>
  <c r="Z15" i="16"/>
  <c r="U17" i="16"/>
  <c r="R37" i="16"/>
  <c r="S35" i="16" s="1"/>
  <c r="X39" i="16"/>
  <c r="V45" i="16"/>
  <c r="R25" i="16"/>
  <c r="S23" i="16" s="1"/>
  <c r="Y39" i="16"/>
  <c r="X7" i="15"/>
  <c r="S5" i="15"/>
  <c r="S29" i="15"/>
  <c r="V39" i="15"/>
  <c r="V45" i="15"/>
  <c r="V6" i="15"/>
  <c r="V26" i="15"/>
  <c r="AO10" i="15"/>
  <c r="X26" i="15"/>
  <c r="Y39" i="15"/>
  <c r="AQ21" i="15"/>
  <c r="V30" i="15"/>
  <c r="V33" i="15"/>
  <c r="R13" i="15"/>
  <c r="P14" i="15"/>
  <c r="R14" i="15" s="1"/>
  <c r="X33" i="15"/>
  <c r="X14" i="15"/>
  <c r="R49" i="15"/>
  <c r="Z51" i="15"/>
  <c r="R13" i="14"/>
  <c r="S11" i="14" s="1"/>
  <c r="X45" i="14"/>
  <c r="U23" i="14"/>
  <c r="U41" i="14"/>
  <c r="P44" i="14"/>
  <c r="T41" i="14" s="1"/>
  <c r="Y45" i="14"/>
  <c r="V50" i="14"/>
  <c r="Z39" i="14"/>
  <c r="P8" i="14"/>
  <c r="AU12" i="14" s="1"/>
  <c r="R49" i="14"/>
  <c r="X49" i="14" s="1"/>
  <c r="AQ18" i="14"/>
  <c r="Y27" i="14"/>
  <c r="R43" i="14"/>
  <c r="S41" i="14" s="1"/>
  <c r="P38" i="6"/>
  <c r="V32" i="6"/>
  <c r="P26" i="6"/>
  <c r="X26" i="6"/>
  <c r="P20" i="6"/>
  <c r="V20" i="6"/>
  <c r="V8" i="6"/>
  <c r="X32" i="6"/>
  <c r="AY15" i="16"/>
  <c r="AX15" i="16"/>
  <c r="AV15" i="16"/>
  <c r="X25" i="16"/>
  <c r="P8" i="16"/>
  <c r="Z10" i="16"/>
  <c r="Y15" i="16"/>
  <c r="AQ19" i="16"/>
  <c r="X20" i="16"/>
  <c r="R27" i="16"/>
  <c r="S17" i="16"/>
  <c r="V27" i="16"/>
  <c r="V48" i="16"/>
  <c r="R51" i="16"/>
  <c r="X9" i="16"/>
  <c r="V21" i="16"/>
  <c r="AQ23" i="16"/>
  <c r="X27" i="16"/>
  <c r="V36" i="16"/>
  <c r="Z39" i="16"/>
  <c r="P44" i="16"/>
  <c r="R45" i="16"/>
  <c r="V51" i="16"/>
  <c r="V50" i="16"/>
  <c r="X51" i="16"/>
  <c r="X8" i="16"/>
  <c r="P20" i="16"/>
  <c r="Y21" i="16"/>
  <c r="V24" i="16"/>
  <c r="Z27" i="16"/>
  <c r="X32" i="16"/>
  <c r="X45" i="16"/>
  <c r="U47" i="16"/>
  <c r="Y51" i="16"/>
  <c r="V44" i="16"/>
  <c r="Y45" i="16"/>
  <c r="U35" i="16"/>
  <c r="U41" i="16"/>
  <c r="S23" i="15"/>
  <c r="X25" i="15"/>
  <c r="X19" i="15"/>
  <c r="S17" i="15"/>
  <c r="X49" i="15"/>
  <c r="S47" i="15"/>
  <c r="X37" i="15"/>
  <c r="S35" i="15"/>
  <c r="AQ24" i="15"/>
  <c r="P8" i="15"/>
  <c r="Z10" i="15"/>
  <c r="U11" i="15"/>
  <c r="Y15" i="15"/>
  <c r="AQ19" i="15"/>
  <c r="X20" i="15"/>
  <c r="R27" i="15"/>
  <c r="P32" i="15"/>
  <c r="X39" i="15"/>
  <c r="P50" i="15"/>
  <c r="V48" i="15"/>
  <c r="R51" i="15"/>
  <c r="X9" i="15"/>
  <c r="V18" i="15"/>
  <c r="V21" i="15"/>
  <c r="X27" i="15"/>
  <c r="V36" i="15"/>
  <c r="Z39" i="15"/>
  <c r="P44" i="15"/>
  <c r="R45" i="15"/>
  <c r="V51" i="15"/>
  <c r="V50" i="15"/>
  <c r="X51" i="15"/>
  <c r="X8" i="15"/>
  <c r="P20" i="15"/>
  <c r="Y21" i="15"/>
  <c r="T23" i="15"/>
  <c r="V24" i="15"/>
  <c r="Z27" i="15"/>
  <c r="X32" i="15"/>
  <c r="X45" i="15"/>
  <c r="U47" i="15"/>
  <c r="AQ18" i="15"/>
  <c r="Z21" i="15"/>
  <c r="V44" i="15"/>
  <c r="Y45" i="15"/>
  <c r="U17" i="15"/>
  <c r="V32" i="15"/>
  <c r="U35" i="15"/>
  <c r="U41" i="15"/>
  <c r="X25" i="14"/>
  <c r="S23" i="14"/>
  <c r="S5" i="14"/>
  <c r="X7" i="14"/>
  <c r="T35" i="14"/>
  <c r="R38" i="14"/>
  <c r="S47" i="14"/>
  <c r="U5" i="14"/>
  <c r="V12" i="14"/>
  <c r="X14" i="14"/>
  <c r="X15" i="14"/>
  <c r="V20" i="14"/>
  <c r="AQ24" i="14"/>
  <c r="U29" i="14"/>
  <c r="R33" i="14"/>
  <c r="V39" i="14"/>
  <c r="V42" i="14"/>
  <c r="Y15" i="14"/>
  <c r="AQ19" i="14"/>
  <c r="X20" i="14"/>
  <c r="AQ21" i="14"/>
  <c r="V33" i="14"/>
  <c r="X39" i="14"/>
  <c r="Z10" i="14"/>
  <c r="U11" i="14"/>
  <c r="Z15" i="14"/>
  <c r="P26" i="14"/>
  <c r="Y39" i="14"/>
  <c r="V48" i="14"/>
  <c r="R51" i="14"/>
  <c r="V6" i="14"/>
  <c r="V19" i="14"/>
  <c r="P20" i="14"/>
  <c r="V24" i="14"/>
  <c r="V26" i="14"/>
  <c r="R37" i="14"/>
  <c r="R31" i="14"/>
  <c r="V44" i="14"/>
  <c r="U35" i="14"/>
  <c r="X38" i="6"/>
  <c r="P14" i="6"/>
  <c r="AU24" i="6"/>
  <c r="AZ12" i="15" a="1"/>
  <c r="BA12" i="15" a="1"/>
  <c r="AX12" i="16" a="1"/>
  <c r="AY12" i="16" a="1"/>
  <c r="AZ12" i="16" a="1"/>
  <c r="BA12" i="14" a="1"/>
  <c r="AY12" i="14" a="1"/>
  <c r="AZ12" i="14" a="1"/>
  <c r="AZ12" i="16" l="1"/>
  <c r="AY12" i="16"/>
  <c r="AY13" i="16" s="1"/>
  <c r="AX12" i="16"/>
  <c r="AX13" i="16" s="1"/>
  <c r="X43" i="16"/>
  <c r="X43" i="15"/>
  <c r="S17" i="14"/>
  <c r="X13" i="14"/>
  <c r="X37" i="16"/>
  <c r="T11" i="14"/>
  <c r="R32" i="14"/>
  <c r="AU10" i="14"/>
  <c r="R50" i="14"/>
  <c r="R38" i="16"/>
  <c r="R32" i="16"/>
  <c r="T11" i="16"/>
  <c r="R38" i="15"/>
  <c r="R8" i="6"/>
  <c r="S47" i="16"/>
  <c r="S5" i="16"/>
  <c r="R50" i="16"/>
  <c r="T47" i="16"/>
  <c r="S29" i="16"/>
  <c r="X31" i="16"/>
  <c r="S11" i="15"/>
  <c r="X13" i="15"/>
  <c r="T11" i="15"/>
  <c r="R44" i="14"/>
  <c r="T5" i="14"/>
  <c r="R8" i="14"/>
  <c r="X43" i="14"/>
  <c r="AU14" i="14"/>
  <c r="T5" i="16"/>
  <c r="AU10" i="16"/>
  <c r="R8" i="16"/>
  <c r="T41" i="16"/>
  <c r="R44" i="16"/>
  <c r="R20" i="16"/>
  <c r="T17" i="16"/>
  <c r="BA12" i="15"/>
  <c r="AZ12" i="15"/>
  <c r="T29" i="15"/>
  <c r="R32" i="15"/>
  <c r="T5" i="15"/>
  <c r="AU10" i="15"/>
  <c r="R8" i="15"/>
  <c r="AU14" i="15"/>
  <c r="T41" i="15"/>
  <c r="R44" i="15"/>
  <c r="R20" i="15"/>
  <c r="T17" i="15"/>
  <c r="T47" i="15"/>
  <c r="R50" i="15"/>
  <c r="AU16" i="15"/>
  <c r="AY12" i="14"/>
  <c r="BA12" i="14"/>
  <c r="AZ12" i="14"/>
  <c r="X37" i="14"/>
  <c r="S35" i="14"/>
  <c r="S29" i="14"/>
  <c r="X31" i="14"/>
  <c r="R26" i="14"/>
  <c r="T23" i="14"/>
  <c r="AU16" i="14"/>
  <c r="R20" i="14"/>
  <c r="T17" i="14"/>
  <c r="V47" i="6"/>
  <c r="V41" i="6"/>
  <c r="V35" i="6"/>
  <c r="V29" i="6"/>
  <c r="V23" i="6"/>
  <c r="V17" i="6"/>
  <c r="V11" i="6"/>
  <c r="V5" i="6"/>
  <c r="AZ10" i="14" a="1"/>
  <c r="AX14" i="14" a="1"/>
  <c r="BA14" i="14" a="1"/>
  <c r="AX12" i="14" a="1"/>
  <c r="AZ14" i="14" a="1"/>
  <c r="BA10" i="14" a="1"/>
  <c r="AX10" i="15" a="1"/>
  <c r="AX10" i="14" a="1"/>
  <c r="AY10" i="14" a="1"/>
  <c r="AY14" i="14" a="1"/>
  <c r="AX12" i="14" l="1"/>
  <c r="AW12" i="14" s="1"/>
  <c r="AX10" i="15"/>
  <c r="AW10" i="15" s="1"/>
  <c r="AZ14" i="14"/>
  <c r="AY14" i="14"/>
  <c r="BA14" i="14"/>
  <c r="AX10" i="14"/>
  <c r="AX14" i="14"/>
  <c r="AY10" i="14"/>
  <c r="AY8" i="14" s="1"/>
  <c r="BA10" i="14"/>
  <c r="AZ10" i="14"/>
  <c r="AY11" i="14"/>
  <c r="P27" i="6"/>
  <c r="Z27" i="6" s="1"/>
  <c r="P21" i="6"/>
  <c r="X21" i="6" s="1"/>
  <c r="P15" i="6"/>
  <c r="V15" i="6" s="1"/>
  <c r="P9" i="6"/>
  <c r="P51" i="6"/>
  <c r="Z51" i="6" s="1"/>
  <c r="Z50" i="6"/>
  <c r="T47" i="6"/>
  <c r="P49" i="6"/>
  <c r="V49" i="6" s="1"/>
  <c r="P48" i="6"/>
  <c r="R49" i="6" s="1"/>
  <c r="W47" i="6"/>
  <c r="P45" i="6"/>
  <c r="Z45" i="6" s="1"/>
  <c r="Z44" i="6"/>
  <c r="P43" i="6"/>
  <c r="V43" i="6" s="1"/>
  <c r="P42" i="6"/>
  <c r="W41" i="6"/>
  <c r="P39" i="6"/>
  <c r="X39" i="6" s="1"/>
  <c r="Z38" i="6"/>
  <c r="AQ23" i="6"/>
  <c r="P37" i="6"/>
  <c r="V37" i="6" s="1"/>
  <c r="P36" i="6"/>
  <c r="W35" i="6"/>
  <c r="P33" i="6"/>
  <c r="X33" i="6" s="1"/>
  <c r="Z32" i="6"/>
  <c r="T29" i="6"/>
  <c r="P31" i="6"/>
  <c r="V31" i="6" s="1"/>
  <c r="P30" i="6"/>
  <c r="W29" i="6"/>
  <c r="BA51" i="6"/>
  <c r="BA50" i="6"/>
  <c r="BA49" i="6"/>
  <c r="Z26" i="6"/>
  <c r="AP25" i="6"/>
  <c r="AO25" i="6"/>
  <c r="P25" i="6"/>
  <c r="V25" i="6" s="1"/>
  <c r="BA47" i="6"/>
  <c r="AP24" i="6"/>
  <c r="AO24" i="6"/>
  <c r="P24" i="6"/>
  <c r="BA46" i="6"/>
  <c r="AP23" i="6"/>
  <c r="AO23" i="6"/>
  <c r="W23" i="6"/>
  <c r="BA45" i="6"/>
  <c r="AP22" i="6"/>
  <c r="AO22" i="6"/>
  <c r="BA44" i="6"/>
  <c r="AP21" i="6"/>
  <c r="AO21" i="6"/>
  <c r="BA43" i="6"/>
  <c r="AP20" i="6"/>
  <c r="AO20" i="6"/>
  <c r="Z20" i="6"/>
  <c r="AQ20" i="6"/>
  <c r="BA42" i="6"/>
  <c r="AP19" i="6"/>
  <c r="AO19" i="6"/>
  <c r="P19" i="6"/>
  <c r="V19" i="6" s="1"/>
  <c r="BA41" i="6"/>
  <c r="AP18" i="6"/>
  <c r="AO18" i="6"/>
  <c r="P18" i="6"/>
  <c r="V18" i="6" s="1"/>
  <c r="BA40" i="6"/>
  <c r="W17" i="6"/>
  <c r="AT24" i="6"/>
  <c r="AT22" i="6"/>
  <c r="AU22" i="6" s="1"/>
  <c r="AT20" i="6"/>
  <c r="AU20" i="6" s="1"/>
  <c r="Z14" i="6"/>
  <c r="AQ19" i="6"/>
  <c r="AT18" i="6"/>
  <c r="AU18" i="6" s="1"/>
  <c r="P13" i="6"/>
  <c r="V13" i="6" s="1"/>
  <c r="AT16" i="6"/>
  <c r="P12" i="6"/>
  <c r="V12" i="6" s="1"/>
  <c r="AT14" i="6"/>
  <c r="W11" i="6"/>
  <c r="AT12" i="6"/>
  <c r="AT10" i="6"/>
  <c r="Z9" i="6"/>
  <c r="Z8" i="6"/>
  <c r="AQ18" i="6"/>
  <c r="P7" i="6"/>
  <c r="V7" i="6" s="1"/>
  <c r="P6" i="6"/>
  <c r="V6" i="6" s="1"/>
  <c r="W5" i="6"/>
  <c r="BA22" i="6" a="1"/>
  <c r="AZ22" i="6" a="1"/>
  <c r="AY22" i="6" a="1"/>
  <c r="AX22" i="6" a="1"/>
  <c r="BA20" i="6" a="1"/>
  <c r="AZ20" i="6" a="1"/>
  <c r="AY20" i="6" a="1"/>
  <c r="AX20" i="6" a="1"/>
  <c r="BA18" i="6" a="1"/>
  <c r="AZ18" i="6" a="1"/>
  <c r="AY18" i="6" a="1"/>
  <c r="AX18" i="6" a="1"/>
  <c r="BA16" i="15" a="1"/>
  <c r="BA14" i="15" a="1"/>
  <c r="AZ14" i="15" a="1"/>
  <c r="AZ16" i="15" a="1"/>
  <c r="AX10" i="16" a="1"/>
  <c r="BA10" i="16" a="1"/>
  <c r="AZ10" i="16" a="1"/>
  <c r="AY10" i="16" a="1"/>
  <c r="AX16" i="14" a="1"/>
  <c r="AY10" i="15" a="1"/>
  <c r="BA10" i="15" a="1"/>
  <c r="AY16" i="14" a="1"/>
  <c r="AZ16" i="14" a="1"/>
  <c r="BA16" i="14" a="1"/>
  <c r="AV10" i="14" a="1"/>
  <c r="AZ10" i="15" a="1"/>
  <c r="C8" i="9" l="1"/>
  <c r="AX11" i="14"/>
  <c r="AW11" i="14" s="1"/>
  <c r="AY13" i="14"/>
  <c r="AX13" i="14"/>
  <c r="AW13" i="14" s="1"/>
  <c r="AW14" i="14"/>
  <c r="AX8" i="14"/>
  <c r="AW8" i="14" s="1"/>
  <c r="AW10" i="14"/>
  <c r="R43" i="6"/>
  <c r="S41" i="6" s="1"/>
  <c r="AY10" i="16"/>
  <c r="AZ10" i="16"/>
  <c r="BA10" i="16"/>
  <c r="AX10" i="16"/>
  <c r="AZ16" i="15"/>
  <c r="AY10" i="15"/>
  <c r="AZ10" i="15"/>
  <c r="AZ14" i="15"/>
  <c r="BA10" i="15"/>
  <c r="BA14" i="15"/>
  <c r="BA16" i="15"/>
  <c r="BA16" i="14"/>
  <c r="AX16" i="14"/>
  <c r="AW16" i="14" s="1"/>
  <c r="AV10" i="14"/>
  <c r="AY16" i="14"/>
  <c r="AY15" i="14" s="1"/>
  <c r="AZ16" i="14"/>
  <c r="AX9" i="14"/>
  <c r="AW9" i="14" s="1"/>
  <c r="AV9" i="14"/>
  <c r="AY9" i="14"/>
  <c r="AX22" i="6"/>
  <c r="AY22" i="6"/>
  <c r="AZ22" i="6"/>
  <c r="BA22" i="6"/>
  <c r="AX20" i="6"/>
  <c r="AY20" i="6"/>
  <c r="AZ20" i="6"/>
  <c r="BA20" i="6"/>
  <c r="AX18" i="6"/>
  <c r="AY18" i="6"/>
  <c r="AZ18" i="6"/>
  <c r="BA18" i="6"/>
  <c r="AQ25" i="6"/>
  <c r="U35" i="6"/>
  <c r="V36" i="6"/>
  <c r="R37" i="6"/>
  <c r="X37" i="6" s="1"/>
  <c r="T41" i="6"/>
  <c r="R39" i="6"/>
  <c r="R25" i="6"/>
  <c r="X25" i="6" s="1"/>
  <c r="R33" i="6"/>
  <c r="Y21" i="6"/>
  <c r="Z33" i="6"/>
  <c r="Y27" i="6"/>
  <c r="Y33" i="6"/>
  <c r="AQ24" i="6"/>
  <c r="R31" i="6"/>
  <c r="X31" i="6" s="1"/>
  <c r="Y39" i="6"/>
  <c r="Y45" i="6"/>
  <c r="Y51" i="6"/>
  <c r="Y15" i="6"/>
  <c r="Y9" i="6"/>
  <c r="U29" i="6"/>
  <c r="V33" i="6"/>
  <c r="U41" i="6"/>
  <c r="V48" i="6"/>
  <c r="V42" i="6"/>
  <c r="R45" i="6"/>
  <c r="V39" i="6"/>
  <c r="V45" i="6"/>
  <c r="Z39" i="6"/>
  <c r="X15" i="6"/>
  <c r="T17" i="6"/>
  <c r="V21" i="6"/>
  <c r="AQ21" i="6"/>
  <c r="U17" i="6"/>
  <c r="AO10" i="6"/>
  <c r="R27" i="6"/>
  <c r="R7" i="6"/>
  <c r="S5" i="6" s="1"/>
  <c r="R19" i="6"/>
  <c r="X19" i="6" s="1"/>
  <c r="U11" i="6"/>
  <c r="Z21" i="6"/>
  <c r="V24" i="6"/>
  <c r="V27" i="6"/>
  <c r="Z15" i="6"/>
  <c r="U23" i="6"/>
  <c r="X27" i="6"/>
  <c r="U5" i="6"/>
  <c r="R26" i="6"/>
  <c r="T23" i="6"/>
  <c r="X49" i="6"/>
  <c r="S47" i="6"/>
  <c r="R50" i="6"/>
  <c r="R32" i="6"/>
  <c r="R13" i="6"/>
  <c r="Z10" i="6"/>
  <c r="V30" i="6"/>
  <c r="X45" i="6"/>
  <c r="R44" i="6"/>
  <c r="V9" i="6"/>
  <c r="AQ22" i="6"/>
  <c r="R51" i="6"/>
  <c r="X9" i="6"/>
  <c r="U47" i="6"/>
  <c r="V51" i="6"/>
  <c r="X51" i="6"/>
  <c r="AV10" i="16" a="1"/>
  <c r="AV10" i="15" a="1"/>
  <c r="AV12" i="14" a="1"/>
  <c r="X43" i="6" l="1"/>
  <c r="S23" i="6"/>
  <c r="S35" i="6"/>
  <c r="AV10" i="16"/>
  <c r="AY8" i="16"/>
  <c r="AY9" i="16" s="1"/>
  <c r="AY11" i="16"/>
  <c r="AX8" i="16"/>
  <c r="AX9" i="16" s="1"/>
  <c r="AX11" i="16"/>
  <c r="AY8" i="15"/>
  <c r="AY9" i="15" s="1"/>
  <c r="AV10" i="15"/>
  <c r="AV9" i="15"/>
  <c r="AV12" i="14"/>
  <c r="AV11" i="14"/>
  <c r="AX15" i="14"/>
  <c r="AW15" i="14" s="1"/>
  <c r="AY21" i="6"/>
  <c r="AX21" i="6"/>
  <c r="AY19" i="6"/>
  <c r="AX19" i="6"/>
  <c r="T35" i="6"/>
  <c r="R38" i="6"/>
  <c r="AU14" i="6"/>
  <c r="AU16" i="6"/>
  <c r="AU10" i="6"/>
  <c r="S29" i="6"/>
  <c r="S17" i="6"/>
  <c r="X7" i="6"/>
  <c r="AU12" i="6"/>
  <c r="R20" i="6"/>
  <c r="T5" i="6"/>
  <c r="T11" i="6"/>
  <c r="R14" i="6"/>
  <c r="S11" i="6"/>
  <c r="X13" i="6"/>
  <c r="AV12" i="16" a="1"/>
  <c r="AZ12" i="6" a="1"/>
  <c r="BA10" i="6" a="1"/>
  <c r="AX12" i="6" a="1"/>
  <c r="AZ14" i="6" a="1"/>
  <c r="AX16" i="6" a="1"/>
  <c r="AZ10" i="6" a="1"/>
  <c r="AY12" i="6" a="1"/>
  <c r="BA12" i="6" a="1"/>
  <c r="AY14" i="6" a="1"/>
  <c r="AY16" i="6" a="1"/>
  <c r="AV14" i="14" a="1"/>
  <c r="BA16" i="6" a="1"/>
  <c r="AX10" i="6" a="1"/>
  <c r="BA14" i="6" a="1"/>
  <c r="AX14" i="6" a="1"/>
  <c r="AZ16" i="6" a="1"/>
  <c r="AY10" i="6" a="1"/>
  <c r="AV12" i="16" l="1"/>
  <c r="AV13" i="16" s="1"/>
  <c r="AV11" i="16"/>
  <c r="AX12" i="6"/>
  <c r="AW12" i="6" s="1"/>
  <c r="AX10" i="6"/>
  <c r="AX16" i="6"/>
  <c r="AW16" i="6" s="1"/>
  <c r="AX14" i="6"/>
  <c r="AW14" i="6" s="1"/>
  <c r="AV9" i="16"/>
  <c r="AV14" i="14"/>
  <c r="BA14" i="6"/>
  <c r="BA12" i="6"/>
  <c r="AZ10" i="6"/>
  <c r="BA16" i="6"/>
  <c r="BA10" i="6"/>
  <c r="AY10" i="6"/>
  <c r="AZ16" i="6"/>
  <c r="AX17" i="6"/>
  <c r="AY16" i="6"/>
  <c r="AY17" i="6" s="1"/>
  <c r="AY14" i="6"/>
  <c r="AZ14" i="6"/>
  <c r="AZ12" i="6"/>
  <c r="AY12" i="6"/>
  <c r="AV10" i="6" a="1"/>
  <c r="AX11" i="6" l="1"/>
  <c r="AW11" i="6" s="1"/>
  <c r="AX15" i="6"/>
  <c r="AW15" i="6" s="1"/>
  <c r="AX8" i="6"/>
  <c r="AW8" i="6" s="1"/>
  <c r="AW10" i="6"/>
  <c r="AX13" i="6"/>
  <c r="AW13" i="6" s="1"/>
  <c r="AV9" i="6"/>
  <c r="AX9" i="6"/>
  <c r="AW9" i="6" s="1"/>
  <c r="AX8" i="15"/>
  <c r="AW8" i="15" s="1"/>
  <c r="AV13" i="14"/>
  <c r="AV16" i="14" a="1"/>
  <c r="AV16" i="14" s="1"/>
  <c r="AV15" i="14" s="1"/>
  <c r="AY15" i="6"/>
  <c r="AY13" i="6"/>
  <c r="AY11" i="6"/>
  <c r="AY9" i="6"/>
  <c r="AY8" i="6"/>
  <c r="AV10" i="6"/>
  <c r="AV12" i="6" a="1"/>
  <c r="AX9" i="15" l="1"/>
  <c r="AW9" i="15" s="1"/>
  <c r="AV12" i="6"/>
  <c r="AV11" i="6"/>
  <c r="AV14" i="6" a="1"/>
  <c r="AV14" i="6" l="1"/>
  <c r="AV16" i="6" s="1" a="1"/>
  <c r="AV16" i="6" l="1"/>
  <c r="AV13" i="6"/>
  <c r="AV18" i="6" a="1"/>
  <c r="AV18" i="6" l="1"/>
  <c r="AV15" i="6"/>
  <c r="AV20" i="6" a="1"/>
  <c r="AV20" i="6" l="1"/>
  <c r="AV17" i="6"/>
  <c r="AV19" i="6"/>
  <c r="AV22" i="6" a="1"/>
  <c r="AV22" i="6" l="1"/>
  <c r="AV2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<sst xmlns="http://schemas.openxmlformats.org/spreadsheetml/2006/main" count="598" uniqueCount="70">
  <si>
    <t>EDIT YELLOW CELLS</t>
  </si>
  <si>
    <t>Field</t>
  </si>
  <si>
    <t>Description</t>
  </si>
  <si>
    <t>Size</t>
  </si>
  <si>
    <t>PWM Helper</t>
  </si>
  <si>
    <t>Helper</t>
  </si>
  <si>
    <t>Duration</t>
  </si>
  <si>
    <t>Coded on an unsigned 16 bits</t>
  </si>
  <si>
    <t>Step 0</t>
  </si>
  <si>
    <t>Formulas</t>
  </si>
  <si>
    <t>Range: [ 1; 65535] ms</t>
  </si>
  <si>
    <t>Duration MSB</t>
  </si>
  <si>
    <t>Ramp</t>
  </si>
  <si>
    <r>
      <t>0 is an invalid value</t>
    </r>
    <r>
      <rPr>
        <sz val="10"/>
        <color rgb="FFFFFFFF"/>
        <rFont val="Arial"/>
        <family val="2"/>
      </rPr>
      <t>1 LSB = 10ms</t>
    </r>
  </si>
  <si>
    <t>Time [ms]</t>
  </si>
  <si>
    <t>Duration LSB</t>
  </si>
  <si>
    <t>Straight</t>
  </si>
  <si>
    <t>PWM</t>
  </si>
  <si>
    <t>Infinite Duration</t>
  </si>
  <si>
    <t>Consign</t>
  </si>
  <si>
    <t>Current[mA]</t>
  </si>
  <si>
    <t>PWM order</t>
  </si>
  <si>
    <t>Holding</t>
  </si>
  <si>
    <t>Options</t>
  </si>
  <si>
    <t>None</t>
  </si>
  <si>
    <t>Bit field layout:</t>
  </si>
  <si>
    <t>Coded on 8 bits</t>
  </si>
  <si>
    <t>Step 1</t>
  </si>
  <si>
    <t>R</t>
  </si>
  <si>
    <t>I</t>
  </si>
  <si>
    <t>O</t>
  </si>
  <si>
    <t>O: order type coded on 3 bits</t>
  </si>
  <si>
    <t>Time</t>
  </si>
  <si>
    <t>Current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</si>
  <si>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2 = PWM</t>
    </r>
  </si>
  <si>
    <t>Step 2</t>
  </si>
  <si>
    <t>Year</t>
  </si>
  <si>
    <t>FF</t>
  </si>
  <si>
    <t>Week</t>
  </si>
  <si>
    <t>Following profile</t>
  </si>
  <si>
    <t>01</t>
  </si>
  <si>
    <t>00</t>
  </si>
  <si>
    <t>Step 3</t>
  </si>
  <si>
    <t>02</t>
  </si>
  <si>
    <t>03</t>
  </si>
  <si>
    <t>Step 4</t>
  </si>
  <si>
    <t>Step 5</t>
  </si>
  <si>
    <t>Step 6</t>
  </si>
  <si>
    <t>Step 7</t>
  </si>
  <si>
    <t>WRITE MEMORY BY ADDRESS</t>
  </si>
  <si>
    <t>Steps(2EFD04)</t>
  </si>
  <si>
    <t>Cycles(2EFD03)</t>
  </si>
  <si>
    <r>
      <t>Resolution: 1 lsb =</t>
    </r>
    <r>
      <rPr>
        <b/>
        <sz val="10"/>
        <color rgb="FF00B050"/>
        <rFont val="Arial"/>
        <family val="2"/>
      </rPr>
      <t xml:space="preserve"> 0.5ms</t>
    </r>
  </si>
  <si>
    <t>T</t>
  </si>
  <si>
    <t>T: Trigger off step when unlocking has been detected</t>
  </si>
  <si>
    <r>
      <t>I: Infinite step option (</t>
    </r>
    <r>
      <rPr>
        <b/>
        <sz val="10"/>
        <color theme="1"/>
        <rFont val="Arial"/>
        <family val="2"/>
      </rPr>
      <t>holding</t>
    </r>
    <r>
      <rPr>
        <sz val="10"/>
        <color theme="1"/>
        <rFont val="Arial"/>
        <family val="2"/>
      </rPr>
      <t>)</t>
    </r>
  </si>
  <si>
    <r>
      <t xml:space="preserve">R: </t>
    </r>
    <r>
      <rPr>
        <b/>
        <sz val="10"/>
        <color theme="1"/>
        <rFont val="Arial"/>
        <family val="2"/>
      </rPr>
      <t>Ramp</t>
    </r>
    <r>
      <rPr>
        <sz val="10"/>
        <color theme="1"/>
        <rFont val="Arial"/>
        <family val="2"/>
      </rPr>
      <t xml:space="preserve"> option</t>
    </r>
  </si>
  <si>
    <t>Ramp+TrigOff</t>
  </si>
  <si>
    <t>Straight+TrigOff</t>
  </si>
  <si>
    <t>04</t>
  </si>
  <si>
    <t/>
  </si>
  <si>
    <t>Unlock Profile + Backup Profile + Diagnostic Profile + Reserved Profile</t>
  </si>
  <si>
    <t>05</t>
  </si>
  <si>
    <t>Graph Starting Point</t>
  </si>
  <si>
    <t>Straight Option</t>
  </si>
  <si>
    <t>Coded on an unsigned 32 bits</t>
  </si>
  <si>
    <t>Range: [0 ; 100] %
Resolution = PWM x 10000</t>
  </si>
  <si>
    <t>PWM Calcuation Formulas</t>
  </si>
  <si>
    <t>Corrective Factor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</si>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</sst>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4"/>
      <color rgb="FF00000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charset val="238"/>
      <scheme val="minor"/>
    </font>
    <font>
      <b/>
      <sz val="2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0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4F81BD"/>
      </left>
      <right style="medium">
        <color indexed="64"/>
      </right>
      <top/>
      <bottom style="medium">
        <color rgb="FF4F81BD"/>
      </bottom>
      <diagonal/>
    </border>
    <border>
      <left style="medium">
        <color rgb="FF4F81BD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4F81BD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4F81BD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4F81BD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4F81BD"/>
      </right>
      <top style="medium">
        <color indexed="64"/>
      </top>
      <bottom/>
      <diagonal/>
    </border>
    <border>
      <left style="medium">
        <color indexed="64"/>
      </left>
      <right style="medium">
        <color rgb="FF4F81BD"/>
      </right>
      <top/>
      <bottom/>
      <diagonal/>
    </border>
    <border>
      <left style="medium">
        <color indexed="64"/>
      </left>
      <right style="medium">
        <color rgb="FF4F81BD"/>
      </right>
      <top/>
      <bottom style="medium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7" fillId="0" borderId="24" xfId="0" applyFont="1" applyBorder="1"/>
    <xf numFmtId="0" fontId="0" fillId="0" borderId="24" xfId="0" applyBorder="1"/>
    <xf numFmtId="0" fontId="0" fillId="0" borderId="24" xfId="0" quotePrefix="1" applyBorder="1"/>
    <xf numFmtId="0" fontId="11" fillId="0" borderId="0" xfId="0" applyFont="1"/>
    <xf numFmtId="0" fontId="0" fillId="3" borderId="0" xfId="0" applyFill="1"/>
    <xf numFmtId="0" fontId="0" fillId="3" borderId="29" xfId="0" applyFill="1" applyBorder="1"/>
    <xf numFmtId="0" fontId="8" fillId="3" borderId="0" xfId="0" applyFont="1" applyFill="1"/>
    <xf numFmtId="0" fontId="7" fillId="3" borderId="29" xfId="0" applyFont="1" applyFill="1" applyBorder="1"/>
    <xf numFmtId="0" fontId="10" fillId="3" borderId="0" xfId="0" applyFont="1" applyFill="1"/>
    <xf numFmtId="0" fontId="0" fillId="3" borderId="31" xfId="0" applyFill="1" applyBorder="1"/>
    <xf numFmtId="0" fontId="11" fillId="3" borderId="31" xfId="0" applyFont="1" applyFill="1" applyBorder="1"/>
    <xf numFmtId="0" fontId="12" fillId="3" borderId="32" xfId="0" applyFont="1" applyFill="1" applyBorder="1"/>
    <xf numFmtId="0" fontId="9" fillId="3" borderId="31" xfId="0" applyFont="1" applyFill="1" applyBorder="1"/>
    <xf numFmtId="0" fontId="7" fillId="3" borderId="33" xfId="0" applyFont="1" applyFill="1" applyBorder="1"/>
    <xf numFmtId="0" fontId="7" fillId="3" borderId="34" xfId="0" applyFont="1" applyFill="1" applyBorder="1"/>
    <xf numFmtId="0" fontId="0" fillId="3" borderId="34" xfId="0" quotePrefix="1" applyFill="1" applyBorder="1" applyAlignment="1">
      <alignment horizontal="right"/>
    </xf>
    <xf numFmtId="0" fontId="0" fillId="3" borderId="33" xfId="0" quotePrefix="1" applyFill="1" applyBorder="1" applyAlignment="1">
      <alignment horizontal="right"/>
    </xf>
    <xf numFmtId="0" fontId="0" fillId="3" borderId="29" xfId="0" quotePrefix="1" applyFill="1" applyBorder="1" applyAlignment="1">
      <alignment horizontal="right"/>
    </xf>
    <xf numFmtId="0" fontId="0" fillId="3" borderId="36" xfId="0" applyFill="1" applyBorder="1"/>
    <xf numFmtId="0" fontId="7" fillId="3" borderId="37" xfId="0" applyFont="1" applyFill="1" applyBorder="1"/>
    <xf numFmtId="0" fontId="0" fillId="3" borderId="37" xfId="0" applyFill="1" applyBorder="1"/>
    <xf numFmtId="0" fontId="7" fillId="3" borderId="35" xfId="0" applyFont="1" applyFill="1" applyBorder="1"/>
    <xf numFmtId="0" fontId="7" fillId="3" borderId="38" xfId="0" applyFont="1" applyFill="1" applyBorder="1"/>
    <xf numFmtId="0" fontId="0" fillId="3" borderId="26" xfId="0" applyFill="1" applyBorder="1"/>
    <xf numFmtId="0" fontId="7" fillId="3" borderId="26" xfId="0" applyFont="1" applyFill="1" applyBorder="1"/>
    <xf numFmtId="0" fontId="7" fillId="3" borderId="27" xfId="0" applyFont="1" applyFill="1" applyBorder="1"/>
    <xf numFmtId="0" fontId="0" fillId="0" borderId="0" xfId="0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3" borderId="34" xfId="0" applyFont="1" applyFill="1" applyBorder="1" applyAlignment="1">
      <alignment horizontal="center" vertical="center"/>
    </xf>
    <xf numFmtId="0" fontId="0" fillId="3" borderId="33" xfId="0" applyFill="1" applyBorder="1" applyAlignment="1">
      <alignment horizontal="right"/>
    </xf>
    <xf numFmtId="0" fontId="10" fillId="0" borderId="24" xfId="0" applyFont="1" applyBorder="1" applyAlignment="1">
      <alignment horizontal="center" vertical="center"/>
    </xf>
    <xf numFmtId="0" fontId="7" fillId="3" borderId="38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15" fillId="4" borderId="24" xfId="0" applyFont="1" applyFill="1" applyBorder="1" applyAlignment="1">
      <alignment horizontal="center"/>
    </xf>
    <xf numFmtId="0" fontId="7" fillId="4" borderId="34" xfId="0" applyFont="1" applyFill="1" applyBorder="1" applyAlignment="1">
      <alignment horizontal="center" vertical="center"/>
    </xf>
    <xf numFmtId="0" fontId="16" fillId="0" borderId="24" xfId="0" applyFont="1" applyBorder="1"/>
    <xf numFmtId="0" fontId="18" fillId="0" borderId="28" xfId="0" applyFont="1" applyFill="1" applyBorder="1"/>
    <xf numFmtId="0" fontId="18" fillId="0" borderId="0" xfId="0" applyFont="1" applyFill="1" applyBorder="1"/>
    <xf numFmtId="0" fontId="0" fillId="3" borderId="25" xfId="0" applyFill="1" applyBorder="1"/>
    <xf numFmtId="0" fontId="0" fillId="3" borderId="28" xfId="0" applyFill="1" applyBorder="1"/>
    <xf numFmtId="0" fontId="0" fillId="3" borderId="0" xfId="0" applyFill="1" applyBorder="1"/>
    <xf numFmtId="0" fontId="8" fillId="3" borderId="0" xfId="0" applyFont="1" applyFill="1" applyBorder="1"/>
    <xf numFmtId="0" fontId="0" fillId="3" borderId="30" xfId="0" applyFill="1" applyBorder="1"/>
    <xf numFmtId="0" fontId="9" fillId="3" borderId="30" xfId="0" applyFont="1" applyFill="1" applyBorder="1"/>
    <xf numFmtId="0" fontId="7" fillId="5" borderId="0" xfId="0" applyFont="1" applyFill="1"/>
    <xf numFmtId="0" fontId="0" fillId="4" borderId="24" xfId="0" quotePrefix="1" applyFill="1" applyBorder="1"/>
    <xf numFmtId="0" fontId="0" fillId="4" borderId="24" xfId="0" applyFill="1" applyBorder="1"/>
    <xf numFmtId="0" fontId="3" fillId="2" borderId="2" xfId="0" applyFont="1" applyFill="1" applyBorder="1" applyAlignment="1">
      <alignment horizontal="center" vertical="center" wrapText="1"/>
    </xf>
    <xf numFmtId="0" fontId="20" fillId="0" borderId="0" xfId="0" applyFont="1"/>
    <xf numFmtId="0" fontId="15" fillId="3" borderId="37" xfId="0" applyFont="1" applyFill="1" applyBorder="1"/>
    <xf numFmtId="0" fontId="20" fillId="3" borderId="0" xfId="0" applyFont="1" applyFill="1"/>
    <xf numFmtId="0" fontId="15" fillId="3" borderId="0" xfId="0" applyFont="1" applyFill="1"/>
    <xf numFmtId="0" fontId="15" fillId="3" borderId="31" xfId="0" applyFont="1" applyFill="1" applyBorder="1"/>
    <xf numFmtId="0" fontId="15" fillId="0" borderId="0" xfId="0" applyFont="1"/>
    <xf numFmtId="0" fontId="15" fillId="3" borderId="26" xfId="0" applyFont="1" applyFill="1" applyBorder="1"/>
    <xf numFmtId="0" fontId="15" fillId="3" borderId="0" xfId="0" applyFont="1" applyFill="1" applyBorder="1"/>
    <xf numFmtId="0" fontId="16" fillId="0" borderId="0" xfId="0" applyFont="1" applyFill="1" applyBorder="1"/>
    <xf numFmtId="0" fontId="0" fillId="0" borderId="0" xfId="0" quotePrefix="1"/>
    <xf numFmtId="0" fontId="21" fillId="0" borderId="25" xfId="0" applyFont="1" applyBorder="1"/>
    <xf numFmtId="0" fontId="18" fillId="0" borderId="26" xfId="0" applyFont="1" applyBorder="1"/>
    <xf numFmtId="0" fontId="18" fillId="0" borderId="27" xfId="0" applyFont="1" applyBorder="1"/>
    <xf numFmtId="0" fontId="18" fillId="0" borderId="28" xfId="0" applyFont="1" applyBorder="1"/>
    <xf numFmtId="0" fontId="18" fillId="0" borderId="0" xfId="0" applyFont="1" applyBorder="1"/>
    <xf numFmtId="0" fontId="21" fillId="0" borderId="0" xfId="0" applyFont="1" applyBorder="1"/>
    <xf numFmtId="0" fontId="18" fillId="0" borderId="29" xfId="0" applyFont="1" applyBorder="1"/>
    <xf numFmtId="1" fontId="18" fillId="0" borderId="0" xfId="0" applyNumberFormat="1" applyFont="1" applyBorder="1"/>
    <xf numFmtId="0" fontId="21" fillId="0" borderId="28" xfId="0" applyFont="1" applyBorder="1"/>
    <xf numFmtId="0" fontId="18" fillId="0" borderId="30" xfId="0" applyFont="1" applyBorder="1"/>
    <xf numFmtId="0" fontId="18" fillId="0" borderId="31" xfId="0" applyFont="1" applyBorder="1"/>
    <xf numFmtId="0" fontId="18" fillId="0" borderId="32" xfId="0" applyFont="1" applyBorder="1"/>
    <xf numFmtId="0" fontId="3" fillId="2" borderId="2" xfId="0" applyFont="1" applyFill="1" applyBorder="1" applyAlignment="1">
      <alignment horizontal="center" vertical="center" wrapText="1"/>
    </xf>
    <xf numFmtId="2" fontId="18" fillId="0" borderId="0" xfId="0" applyNumberFormat="1" applyFont="1" applyBorder="1"/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9" fillId="0" borderId="0" xfId="0" applyFont="1" applyAlignment="1">
      <alignment horizontal="justify" vertical="center" wrapText="1"/>
    </xf>
    <xf numFmtId="0" fontId="5" fillId="0" borderId="16" xfId="0" applyFont="1" applyBorder="1" applyAlignment="1">
      <alignment horizontal="justify" vertical="center" wrapText="1"/>
    </xf>
    <xf numFmtId="0" fontId="17" fillId="4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with PWM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'Unlock Profile'!$AQ$16</c:f>
              <c:strCache>
                <c:ptCount val="1"/>
                <c:pt idx="0">
                  <c:v>PWM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'Unlock Profile'!$AV$8:$AV$16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18</c:v>
                </c:pt>
                <c:pt idx="3">
                  <c:v>18</c:v>
                </c:pt>
                <c:pt idx="4">
                  <c:v>30</c:v>
                </c:pt>
                <c:pt idx="5">
                  <c:v>60</c:v>
                </c:pt>
                <c:pt idx="6">
                  <c:v>90</c:v>
                </c:pt>
                <c:pt idx="7">
                  <c:v>5089.5</c:v>
                </c:pt>
                <c:pt idx="8">
                  <c:v>10089</c:v>
                </c:pt>
              </c:numCache>
            </c:numRef>
          </c:xVal>
          <c:yVal>
            <c:numRef>
              <c:f>'Unlock Profile'!$AW$8:$AW$16</c:f>
              <c:numCache>
                <c:formatCode>0.00</c:formatCode>
                <c:ptCount val="9"/>
                <c:pt idx="0">
                  <c:v>6.1539999999999999</c:v>
                </c:pt>
                <c:pt idx="1">
                  <c:v>6.1539999999999999</c:v>
                </c:pt>
                <c:pt idx="2">
                  <c:v>6.1539999999999999</c:v>
                </c:pt>
                <c:pt idx="3">
                  <c:v>83.078999999999994</c:v>
                </c:pt>
                <c:pt idx="4">
                  <c:v>83.078999999999994</c:v>
                </c:pt>
                <c:pt idx="5">
                  <c:v>55.386000000000003</c:v>
                </c:pt>
                <c:pt idx="6">
                  <c:v>27.693000000000001</c:v>
                </c:pt>
                <c:pt idx="7">
                  <c:v>27.693000000000001</c:v>
                </c:pt>
                <c:pt idx="8">
                  <c:v>27.693000000000001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6-45B5-8B89-92FA05430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662000"/>
        <c:axId val="998666592"/>
      </c:scatterChart>
      <c:valAx>
        <c:axId val="998662000"/>
        <c:scaling>
          <c:orientation val="minMax"/>
          <c:max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66592"/>
        <c:crosses val="autoZero"/>
        <c:crossBetween val="midCat"/>
        <c:majorUnit val="10"/>
        <c:minorUnit val="1"/>
      </c:valAx>
      <c:valAx>
        <c:axId val="9986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PWM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6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with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'Unlock Profile'!$AP$16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'Unlock Profile'!$AV$8:$AV$16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18</c:v>
                </c:pt>
                <c:pt idx="3">
                  <c:v>18</c:v>
                </c:pt>
                <c:pt idx="4">
                  <c:v>30</c:v>
                </c:pt>
                <c:pt idx="5">
                  <c:v>60</c:v>
                </c:pt>
                <c:pt idx="6">
                  <c:v>90</c:v>
                </c:pt>
                <c:pt idx="7">
                  <c:v>5089.5</c:v>
                </c:pt>
                <c:pt idx="8">
                  <c:v>10089</c:v>
                </c:pt>
              </c:numCache>
            </c:numRef>
          </c:xVal>
          <c:yVal>
            <c:numRef>
              <c:f>'Unlock Profile'!$AY$8:$AY$16</c:f>
              <c:numCache>
                <c:formatCode>0</c:formatCode>
                <c:ptCount val="9"/>
                <c:pt idx="0" formatCode="General">
                  <c:v>20</c:v>
                </c:pt>
                <c:pt idx="1">
                  <c:v>20</c:v>
                </c:pt>
                <c:pt idx="2" formatCode="General">
                  <c:v>20</c:v>
                </c:pt>
                <c:pt idx="3">
                  <c:v>270</c:v>
                </c:pt>
                <c:pt idx="4" formatCode="General">
                  <c:v>270</c:v>
                </c:pt>
                <c:pt idx="5">
                  <c:v>180</c:v>
                </c:pt>
                <c:pt idx="6" formatCode="General">
                  <c:v>90</c:v>
                </c:pt>
                <c:pt idx="7">
                  <c:v>90</c:v>
                </c:pt>
                <c:pt idx="8" formatCode="General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5F-4886-BB3F-68A57166F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662000"/>
        <c:axId val="998666592"/>
      </c:scatterChart>
      <c:valAx>
        <c:axId val="998662000"/>
        <c:scaling>
          <c:orientation val="minMax"/>
          <c:max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66592"/>
        <c:crosses val="autoZero"/>
        <c:crossBetween val="midCat"/>
        <c:majorUnit val="10"/>
        <c:minorUnit val="1"/>
      </c:valAx>
      <c:valAx>
        <c:axId val="9986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&lt;mA&gt;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6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with PWM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'Backup Profile'!$AQ$16</c:f>
              <c:strCache>
                <c:ptCount val="1"/>
                <c:pt idx="0">
                  <c:v>PWM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'Backup Profile'!$AV$8:$AV$16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18</c:v>
                </c:pt>
                <c:pt idx="3">
                  <c:v>18</c:v>
                </c:pt>
                <c:pt idx="4">
                  <c:v>30</c:v>
                </c:pt>
                <c:pt idx="5">
                  <c:v>60</c:v>
                </c:pt>
                <c:pt idx="6">
                  <c:v>90</c:v>
                </c:pt>
                <c:pt idx="7">
                  <c:v>5089.5</c:v>
                </c:pt>
                <c:pt idx="8">
                  <c:v>10089</c:v>
                </c:pt>
              </c:numCache>
            </c:numRef>
          </c:xVal>
          <c:yVal>
            <c:numRef>
              <c:f>'Backup Profile'!$AW$8:$AW$16</c:f>
              <c:numCache>
                <c:formatCode>0.00</c:formatCode>
                <c:ptCount val="9"/>
                <c:pt idx="0">
                  <c:v>6.1539999999999999</c:v>
                </c:pt>
                <c:pt idx="1">
                  <c:v>6.1539999999999999</c:v>
                </c:pt>
                <c:pt idx="2">
                  <c:v>6.1539999999999999</c:v>
                </c:pt>
                <c:pt idx="3">
                  <c:v>89.232900000000001</c:v>
                </c:pt>
                <c:pt idx="4">
                  <c:v>89.232900000000001</c:v>
                </c:pt>
                <c:pt idx="5">
                  <c:v>58.462949999999999</c:v>
                </c:pt>
                <c:pt idx="6">
                  <c:v>27.693000000000001</c:v>
                </c:pt>
                <c:pt idx="7">
                  <c:v>27.693000000000001</c:v>
                </c:pt>
                <c:pt idx="8">
                  <c:v>27.693000000000001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5B-4F71-9090-38C2EBE63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662000"/>
        <c:axId val="998666592"/>
      </c:scatterChart>
      <c:valAx>
        <c:axId val="998662000"/>
        <c:scaling>
          <c:orientation val="minMax"/>
          <c:max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66592"/>
        <c:crosses val="autoZero"/>
        <c:crossBetween val="midCat"/>
        <c:majorUnit val="10"/>
        <c:minorUnit val="1"/>
      </c:valAx>
      <c:valAx>
        <c:axId val="9986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PWM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6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with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'Backup Profile'!$AP$16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'Backup Profile'!$AV$8:$AV$16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18</c:v>
                </c:pt>
                <c:pt idx="3">
                  <c:v>18</c:v>
                </c:pt>
                <c:pt idx="4">
                  <c:v>30</c:v>
                </c:pt>
                <c:pt idx="5">
                  <c:v>60</c:v>
                </c:pt>
                <c:pt idx="6">
                  <c:v>90</c:v>
                </c:pt>
                <c:pt idx="7">
                  <c:v>5089.5</c:v>
                </c:pt>
                <c:pt idx="8">
                  <c:v>10089</c:v>
                </c:pt>
              </c:numCache>
            </c:numRef>
          </c:xVal>
          <c:yVal>
            <c:numRef>
              <c:f>'Backup Profile'!$AY$8:$AY$16</c:f>
              <c:numCache>
                <c:formatCode>0</c:formatCode>
                <c:ptCount val="9"/>
                <c:pt idx="0" formatCode="General">
                  <c:v>20</c:v>
                </c:pt>
                <c:pt idx="1">
                  <c:v>20</c:v>
                </c:pt>
                <c:pt idx="2" formatCode="General">
                  <c:v>20</c:v>
                </c:pt>
                <c:pt idx="3">
                  <c:v>290</c:v>
                </c:pt>
                <c:pt idx="4" formatCode="General">
                  <c:v>290</c:v>
                </c:pt>
                <c:pt idx="5">
                  <c:v>190</c:v>
                </c:pt>
                <c:pt idx="6" formatCode="General">
                  <c:v>90</c:v>
                </c:pt>
                <c:pt idx="7">
                  <c:v>90</c:v>
                </c:pt>
                <c:pt idx="8" formatCode="General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5-4A7A-B855-96D0B41BA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662000"/>
        <c:axId val="998666592"/>
      </c:scatterChart>
      <c:valAx>
        <c:axId val="998662000"/>
        <c:scaling>
          <c:orientation val="minMax"/>
          <c:max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66592"/>
        <c:crosses val="autoZero"/>
        <c:crossBetween val="midCat"/>
        <c:majorUnit val="10"/>
        <c:minorUnit val="1"/>
      </c:valAx>
      <c:valAx>
        <c:axId val="9986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&lt;mA&gt;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6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with PWM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'Diagnostic Profile'!$AQ$16</c:f>
              <c:strCache>
                <c:ptCount val="1"/>
                <c:pt idx="0">
                  <c:v>PWM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'Diagnostic Profile'!$AV$8:$AV$16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498</c:v>
                </c:pt>
              </c:numCache>
            </c:numRef>
          </c:xVal>
          <c:yVal>
            <c:numRef>
              <c:f>'Diagnostic Profile'!$AW$8:$AW$16</c:f>
              <c:numCache>
                <c:formatCode>0.00</c:formatCode>
                <c:ptCount val="9"/>
                <c:pt idx="0">
                  <c:v>5.5385999999999997</c:v>
                </c:pt>
                <c:pt idx="1">
                  <c:v>5.5385999999999997</c:v>
                </c:pt>
                <c:pt idx="2">
                  <c:v>5.5385999999999997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09-475E-A9F5-C562707ED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662000"/>
        <c:axId val="998666592"/>
      </c:scatterChart>
      <c:valAx>
        <c:axId val="99866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66592"/>
        <c:crosses val="autoZero"/>
        <c:crossBetween val="midCat"/>
        <c:majorUnit val="10"/>
        <c:minorUnit val="1"/>
      </c:valAx>
      <c:valAx>
        <c:axId val="9986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PWM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6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with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'Diagnostic Profile'!$AP$16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'Diagnostic Profile'!$AV$8:$AV$16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498</c:v>
                </c:pt>
              </c:numCache>
            </c:numRef>
          </c:xVal>
          <c:yVal>
            <c:numRef>
              <c:f>'Diagnostic Profile'!$AY$8:$AY$16</c:f>
              <c:numCache>
                <c:formatCode>0</c:formatCode>
                <c:ptCount val="9"/>
                <c:pt idx="0" formatCode="General">
                  <c:v>18</c:v>
                </c:pt>
                <c:pt idx="1">
                  <c:v>18</c:v>
                </c:pt>
                <c:pt idx="2" formatCode="General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61-4E16-A285-70DE86E4E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662000"/>
        <c:axId val="998666592"/>
      </c:scatterChart>
      <c:valAx>
        <c:axId val="99866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66592"/>
        <c:crosses val="autoZero"/>
        <c:crossBetween val="midCat"/>
        <c:majorUnit val="10"/>
        <c:minorUnit val="1"/>
      </c:valAx>
      <c:valAx>
        <c:axId val="9986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&lt;mA&gt;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6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with PWM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'Reserved Profile'!$AQ$16</c:f>
              <c:strCache>
                <c:ptCount val="1"/>
                <c:pt idx="0">
                  <c:v>PWM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'Reserved Profile'!$AV$8:$AV$16</c:f>
              <c:strCache>
                <c:ptCount val="8"/>
                <c:pt idx="0">
                  <c:v>0</c:v>
                </c:pt>
                <c:pt idx="1">
                  <c:v>#VALUE!</c:v>
                </c:pt>
                <c:pt idx="3">
                  <c:v>#VALUE!</c:v>
                </c:pt>
                <c:pt idx="5">
                  <c:v>#VALUE!</c:v>
                </c:pt>
                <c:pt idx="7">
                  <c:v>#VALUE!</c:v>
                </c:pt>
              </c:strCache>
            </c:strRef>
          </c:xVal>
          <c:yVal>
            <c:numRef>
              <c:f>'Reserved Profile'!$AX$8:$AX$16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07-4C34-AC39-9E4DD442E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662000"/>
        <c:axId val="998666592"/>
      </c:scatterChart>
      <c:valAx>
        <c:axId val="99866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66592"/>
        <c:crosses val="autoZero"/>
        <c:crossBetween val="midCat"/>
        <c:majorUnit val="10"/>
        <c:minorUnit val="1"/>
      </c:valAx>
      <c:valAx>
        <c:axId val="9986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PWM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6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with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'Reserved Profile'!$AP$16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'Reserved Profile'!$AV$8:$AV$16</c:f>
              <c:strCache>
                <c:ptCount val="8"/>
                <c:pt idx="0">
                  <c:v>0</c:v>
                </c:pt>
                <c:pt idx="1">
                  <c:v>#VALUE!</c:v>
                </c:pt>
                <c:pt idx="3">
                  <c:v>#VALUE!</c:v>
                </c:pt>
                <c:pt idx="5">
                  <c:v>#VALUE!</c:v>
                </c:pt>
                <c:pt idx="7">
                  <c:v>#VALUE!</c:v>
                </c:pt>
              </c:strCache>
            </c:strRef>
          </c:xVal>
          <c:yVal>
            <c:numRef>
              <c:f>'Reserved Profile'!$AY$8:$AY$16</c:f>
              <c:numCache>
                <c:formatCode>0</c:formatCode>
                <c:ptCount val="9"/>
                <c:pt idx="0" formatCode="General">
                  <c:v>0</c:v>
                </c:pt>
                <c:pt idx="1">
                  <c:v>0</c:v>
                </c:pt>
                <c:pt idx="2" formatCode="General">
                  <c:v>0</c:v>
                </c:pt>
                <c:pt idx="3">
                  <c:v>0</c:v>
                </c:pt>
                <c:pt idx="4" formatCode="General">
                  <c:v>0</c:v>
                </c:pt>
                <c:pt idx="5">
                  <c:v>0</c:v>
                </c:pt>
                <c:pt idx="6" formatCode="General">
                  <c:v>0</c:v>
                </c:pt>
                <c:pt idx="7">
                  <c:v>0</c:v>
                </c:pt>
                <c:pt idx="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B6-4DE2-9100-01B35CD29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662000"/>
        <c:axId val="998666592"/>
      </c:scatterChart>
      <c:valAx>
        <c:axId val="99866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66592"/>
        <c:crosses val="autoZero"/>
        <c:crossBetween val="midCat"/>
        <c:majorUnit val="10"/>
        <c:minorUnit val="1"/>
      </c:valAx>
      <c:valAx>
        <c:axId val="9986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&lt;mA&gt;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6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-1</xdr:colOff>
      <xdr:row>18</xdr:row>
      <xdr:rowOff>2839</xdr:rowOff>
    </xdr:from>
    <xdr:to>
      <xdr:col>11</xdr:col>
      <xdr:colOff>1613</xdr:colOff>
      <xdr:row>37</xdr:row>
      <xdr:rowOff>7322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7ABD5C-9A52-4EEB-B2B7-D2A951FC59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38</xdr:row>
      <xdr:rowOff>0</xdr:rowOff>
    </xdr:from>
    <xdr:to>
      <xdr:col>11</xdr:col>
      <xdr:colOff>1614</xdr:colOff>
      <xdr:row>57</xdr:row>
      <xdr:rowOff>42583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411533-702C-4117-BA78-96855757E7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-1</xdr:colOff>
      <xdr:row>18</xdr:row>
      <xdr:rowOff>2839</xdr:rowOff>
    </xdr:from>
    <xdr:to>
      <xdr:col>11</xdr:col>
      <xdr:colOff>1613</xdr:colOff>
      <xdr:row>37</xdr:row>
      <xdr:rowOff>7322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AA602B-13EA-4D46-A140-4A0D40F6D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38</xdr:row>
      <xdr:rowOff>0</xdr:rowOff>
    </xdr:from>
    <xdr:to>
      <xdr:col>11</xdr:col>
      <xdr:colOff>1614</xdr:colOff>
      <xdr:row>57</xdr:row>
      <xdr:rowOff>42583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787EE5-A4CC-48A3-B0F5-2928500B6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-1</xdr:colOff>
      <xdr:row>18</xdr:row>
      <xdr:rowOff>2839</xdr:rowOff>
    </xdr:from>
    <xdr:to>
      <xdr:col>11</xdr:col>
      <xdr:colOff>1613</xdr:colOff>
      <xdr:row>37</xdr:row>
      <xdr:rowOff>7322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639918-FAFD-466D-A802-B958C99CB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38</xdr:row>
      <xdr:rowOff>0</xdr:rowOff>
    </xdr:from>
    <xdr:to>
      <xdr:col>11</xdr:col>
      <xdr:colOff>1614</xdr:colOff>
      <xdr:row>57</xdr:row>
      <xdr:rowOff>42583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DBF22A-46CA-45FC-A5A2-DB1F6D63B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-1</xdr:colOff>
      <xdr:row>18</xdr:row>
      <xdr:rowOff>2839</xdr:rowOff>
    </xdr:from>
    <xdr:to>
      <xdr:col>11</xdr:col>
      <xdr:colOff>1613</xdr:colOff>
      <xdr:row>37</xdr:row>
      <xdr:rowOff>7322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FE5831-72FC-4C7E-90EB-511252547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38</xdr:row>
      <xdr:rowOff>0</xdr:rowOff>
    </xdr:from>
    <xdr:to>
      <xdr:col>11</xdr:col>
      <xdr:colOff>1614</xdr:colOff>
      <xdr:row>57</xdr:row>
      <xdr:rowOff>42583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4DC33D-EED5-4A94-A0E6-6E0F93D1E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5A98-9195-41B6-8FE8-E8C076AEE678}">
  <dimension ref="B2:C22"/>
  <sheetViews>
    <sheetView workbookViewId="0">
      <selection activeCell="C27" sqref="C27"/>
    </sheetView>
  </sheetViews>
  <sheetFormatPr defaultRowHeight="15" x14ac:dyDescent="0.25"/>
  <cols>
    <col min="2" max="2" width="16.140625" bestFit="1" customWidth="1"/>
    <col min="3" max="3" width="119.140625" bestFit="1" customWidth="1"/>
  </cols>
  <sheetData>
    <row r="2" spans="2:3" x14ac:dyDescent="0.25">
      <c r="B2" s="84" t="s">
        <v>49</v>
      </c>
      <c r="C2" s="84"/>
    </row>
    <row r="3" spans="2:3" x14ac:dyDescent="0.25">
      <c r="B3" s="84"/>
      <c r="C3" s="84"/>
    </row>
    <row r="5" spans="2:3" x14ac:dyDescent="0.25">
      <c r="C5" t="s">
        <v>61</v>
      </c>
    </row>
    <row r="6" spans="2:3" x14ac:dyDescent="0.25">
      <c r="B6" s="54" t="s">
        <v>51</v>
      </c>
      <c r="C6" t="str">
        <f>'Unlock Profile'!C19&amp;'Unlock Profile'!C20&amp;'Unlock Profile'!C21&amp;'Unlock Profile'!C22&amp;'Unlock Profile'!C23&amp;'Unlock Profile'!C24&amp;'Unlock Profile'!C25&amp;'Unlock Profile'!C26&amp;'Unlock Profile'!C27&amp;'Unlock Profile'!C28&amp;'Unlock Profile'!C29&amp;'Unlock Profile'!C30&amp;'Backup Profile'!C19&amp;'Backup Profile'!C20&amp;'Backup Profile'!C21&amp;'Backup Profile'!C22&amp;'Backup Profile'!C23&amp;'Backup Profile'!C24&amp;'Backup Profile'!C25&amp;'Backup Profile'!C26&amp;'Backup Profile'!C27&amp;'Backup Profile'!C28&amp;'Backup Profile'!C29&amp;'Backup Profile'!C30&amp;'Diagnostic Profile'!C19&amp;'Diagnostic Profile'!C20&amp;'Diagnostic Profile'!C21&amp;'Diagnostic Profile'!C22&amp;'Diagnostic Profile'!C23&amp;'Diagnostic Profile'!C24&amp;'Diagnostic Profile'!C25&amp;'Diagnostic Profile'!C26&amp;'Diagnostic Profile'!C27&amp;'Diagnostic Profile'!C28&amp;'Diagnostic Profile'!C29&amp;'Diagnostic Profile'!C30&amp;'Reserved Profile'!C19&amp;'Reserved Profile'!C20&amp;'Reserved Profile'!C21&amp;'Reserved Profile'!C22&amp;'Reserved Profile'!C23&amp;'Reserved Profile'!C24&amp;'Reserved Profile'!C25&amp;'Reserved Profile'!C26&amp;'Reserved Profile'!C27&amp;'Reserved Profile'!C28&amp;'Reserved Profile'!C29&amp;'Reserved Profile'!C30</f>
        <v>FFFFFF0105000203FFFFFFFFFFFFFF0105010203FFFFFFFFFFFFFF010604FFFFFFFFFFFFFFFFFF01FFFFFFFFFFFFFFFF</v>
      </c>
    </row>
    <row r="8" spans="2:3" x14ac:dyDescent="0.25">
      <c r="B8" s="54" t="s">
        <v>50</v>
      </c>
      <c r="C8" t="str">
        <f>'Unlock Profile'!P6&amp;'Unlock Profile'!P7&amp;'Unlock Profile'!P8&amp;'Unlock Profile'!P9&amp;'Unlock Profile'!P12&amp;'Unlock Profile'!P13&amp;'Unlock Profile'!P14&amp;'Unlock Profile'!P15&amp;'Unlock Profile'!P18&amp;'Unlock Profile'!P19&amp;'Unlock Profile'!P20&amp;'Unlock Profile'!P21&amp;'Unlock Profile'!P24&amp;'Unlock Profile'!P25&amp;'Unlock Profile'!P26&amp;'Unlock Profile'!P27&amp;'Unlock Profile'!P30&amp;'Unlock Profile'!P31&amp;'Unlock Profile'!P32&amp;'Unlock Profile'!P33&amp;'Unlock Profile'!P36&amp;'Unlock Profile'!P37&amp;'Unlock Profile'!P38&amp;'Unlock Profile'!P39&amp;'Unlock Profile'!P42&amp;'Unlock Profile'!P43&amp;'Unlock Profile'!P44&amp;'Unlock Profile'!P45&amp;'Unlock Profile'!P48&amp;'Unlock Profile'!P49&amp;'Unlock Profile'!P50&amp;'Unlock Profile'!P51</f>
        <v>0018000CAD46020018000D9DA9020078000439C28200CC000439C24202580003495E0200240000F0640203E40000D85A0200000000000000</v>
      </c>
    </row>
    <row r="16" spans="2:3" x14ac:dyDescent="0.25">
      <c r="B16" s="84" t="s">
        <v>67</v>
      </c>
      <c r="C16" s="84"/>
    </row>
    <row r="17" spans="2:3" x14ac:dyDescent="0.25">
      <c r="B17" s="84"/>
      <c r="C17" s="84"/>
    </row>
    <row r="19" spans="2:3" x14ac:dyDescent="0.25">
      <c r="C19" s="83"/>
    </row>
    <row r="20" spans="2:3" x14ac:dyDescent="0.25">
      <c r="C20" s="83"/>
    </row>
    <row r="21" spans="2:3" x14ac:dyDescent="0.25">
      <c r="B21" t="s">
        <v>68</v>
      </c>
      <c r="C21" s="82">
        <v>307.7</v>
      </c>
    </row>
    <row r="22" spans="2:3" x14ac:dyDescent="0.25">
      <c r="B22" s="67"/>
    </row>
  </sheetData>
  <mergeCells count="2">
    <mergeCell ref="B2:C3"/>
    <mergeCell ref="B16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A5F0-0D40-4DBF-AFC9-7788CA0BC2CA}">
  <dimension ref="B1:BI51"/>
  <sheetViews>
    <sheetView topLeftCell="A7" zoomScale="85" zoomScaleNormal="85" workbookViewId="0">
      <selection activeCell="N7" sqref="N1:N1048576"/>
    </sheetView>
  </sheetViews>
  <sheetFormatPr defaultRowHeight="15" x14ac:dyDescent="0.25"/>
  <cols>
    <col min="2" max="2" width="16.28515625" bestFit="1" customWidth="1"/>
    <col min="5" max="5" width="14.28515625" customWidth="1"/>
    <col min="6" max="6" width="13.140625" bestFit="1" customWidth="1"/>
    <col min="9" max="9" width="13.140625" bestFit="1" customWidth="1"/>
    <col min="11" max="11" width="26" customWidth="1"/>
    <col min="12" max="12" width="13.140625" bestFit="1" customWidth="1"/>
    <col min="13" max="13" width="17.140625" customWidth="1"/>
    <col min="14" max="14" width="16" style="34" bestFit="1" customWidth="1"/>
    <col min="15" max="16" width="13.28515625" bestFit="1" customWidth="1"/>
    <col min="17" max="17" width="12.42578125" style="34" hidden="1" customWidth="1"/>
    <col min="18" max="18" width="8.140625" hidden="1" customWidth="1"/>
    <col min="19" max="23" width="12.7109375" hidden="1" customWidth="1"/>
    <col min="24" max="24" width="19.28515625" bestFit="1" customWidth="1"/>
    <col min="25" max="25" width="19.28515625" style="58" customWidth="1"/>
    <col min="26" max="26" width="15.85546875" bestFit="1" customWidth="1"/>
    <col min="27" max="27" width="12.42578125" customWidth="1"/>
    <col min="28" max="28" width="16.85546875" customWidth="1"/>
    <col min="29" max="29" width="68.7109375" bestFit="1" customWidth="1"/>
    <col min="30" max="30" width="9.28515625" bestFit="1" customWidth="1"/>
    <col min="41" max="41" width="8" customWidth="1"/>
    <col min="42" max="42" width="14.140625" customWidth="1"/>
    <col min="43" max="43" width="16.7109375" bestFit="1" customWidth="1"/>
    <col min="44" max="44" width="6.42578125" bestFit="1" customWidth="1"/>
    <col min="45" max="45" width="5" customWidth="1"/>
    <col min="46" max="46" width="43.140625" bestFit="1" customWidth="1"/>
    <col min="47" max="47" width="13.28515625" customWidth="1"/>
    <col min="48" max="48" width="8.7109375" bestFit="1" customWidth="1"/>
    <col min="49" max="49" width="8.7109375" customWidth="1"/>
    <col min="50" max="50" width="7.140625" customWidth="1"/>
    <col min="51" max="51" width="22.85546875" bestFit="1" customWidth="1"/>
    <col min="52" max="52" width="16.7109375" bestFit="1" customWidth="1"/>
    <col min="53" max="53" width="18.85546875" customWidth="1"/>
  </cols>
  <sheetData>
    <row r="1" spans="2:54" x14ac:dyDescent="0.25">
      <c r="G1" s="119" t="s">
        <v>0</v>
      </c>
      <c r="H1" s="119"/>
      <c r="I1" s="119"/>
      <c r="J1" s="119"/>
      <c r="K1" s="119"/>
      <c r="L1" s="119"/>
      <c r="M1" s="119"/>
    </row>
    <row r="2" spans="2:54" x14ac:dyDescent="0.25">
      <c r="G2" s="119"/>
      <c r="H2" s="119"/>
      <c r="I2" s="119"/>
      <c r="J2" s="119"/>
      <c r="K2" s="119"/>
      <c r="L2" s="119"/>
      <c r="M2" s="119"/>
    </row>
    <row r="3" spans="2:54" ht="15.75" thickBot="1" x14ac:dyDescent="0.3"/>
    <row r="4" spans="2:54" ht="15.75" customHeight="1" thickBot="1" x14ac:dyDescent="0.3">
      <c r="B4" s="1" t="s">
        <v>1</v>
      </c>
      <c r="C4" s="120" t="s">
        <v>2</v>
      </c>
      <c r="D4" s="121"/>
      <c r="E4" s="121"/>
      <c r="F4" s="121"/>
      <c r="G4" s="121"/>
      <c r="H4" s="121"/>
      <c r="I4" s="121"/>
      <c r="J4" s="122"/>
      <c r="K4" s="57" t="s">
        <v>3</v>
      </c>
      <c r="N4"/>
      <c r="Q4" s="34" t="s">
        <v>4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</row>
    <row r="5" spans="2:54" ht="18" customHeight="1" x14ac:dyDescent="0.25">
      <c r="B5" s="103" t="s">
        <v>6</v>
      </c>
      <c r="C5" s="123" t="s">
        <v>52</v>
      </c>
      <c r="D5" s="109"/>
      <c r="E5" s="109"/>
      <c r="F5" s="109"/>
      <c r="G5" s="109"/>
      <c r="H5" s="109"/>
      <c r="I5" s="109"/>
      <c r="J5" s="124"/>
      <c r="K5" s="106" t="s">
        <v>7</v>
      </c>
      <c r="N5" s="35"/>
      <c r="O5" s="26"/>
      <c r="P5" s="27" t="s">
        <v>8</v>
      </c>
      <c r="Q5" s="35"/>
      <c r="R5" s="28"/>
      <c r="S5" s="28">
        <f>HEX2DEC(R7)/2</f>
        <v>12</v>
      </c>
      <c r="T5" s="28">
        <f>HEX2DEC(P8)</f>
        <v>830790</v>
      </c>
      <c r="U5" s="28" t="str">
        <f>IF(_xlfn.BITAND(HEX2DEC(P9),64)=64,"Infinite Duration","")</f>
        <v/>
      </c>
      <c r="V5" s="28" t="str">
        <f>IF(N9="Straight","True","")</f>
        <v>True</v>
      </c>
      <c r="W5" s="28">
        <f>N8</f>
        <v>270</v>
      </c>
      <c r="X5" s="27"/>
      <c r="Y5" s="59"/>
      <c r="Z5" s="29"/>
      <c r="AT5" s="68" t="s">
        <v>9</v>
      </c>
      <c r="AU5" s="69"/>
      <c r="AV5" s="69"/>
      <c r="AW5" s="69"/>
      <c r="AX5" s="69"/>
      <c r="AY5" s="69"/>
      <c r="AZ5" s="69"/>
      <c r="BA5" s="70"/>
    </row>
    <row r="6" spans="2:54" ht="15" customHeight="1" x14ac:dyDescent="0.25">
      <c r="B6" s="104"/>
      <c r="C6" s="125" t="s">
        <v>10</v>
      </c>
      <c r="D6" s="116"/>
      <c r="E6" s="116"/>
      <c r="F6" s="116"/>
      <c r="G6" s="116"/>
      <c r="H6" s="116"/>
      <c r="I6" s="116"/>
      <c r="J6" s="126"/>
      <c r="K6" s="107"/>
      <c r="M6" s="41"/>
      <c r="N6" s="37"/>
      <c r="O6" s="21" t="s">
        <v>11</v>
      </c>
      <c r="P6" s="24" t="str">
        <f>MID(DEC2HEX(N7*2,4),1,2)</f>
        <v>00</v>
      </c>
      <c r="Q6" s="36"/>
      <c r="R6" s="12"/>
      <c r="S6" s="12"/>
      <c r="T6" s="12"/>
      <c r="U6" s="12"/>
      <c r="V6" s="12" t="str">
        <f>DEC2HEX(HEX2DEC(P6),2)</f>
        <v>00</v>
      </c>
      <c r="W6" s="12"/>
      <c r="X6" s="12"/>
      <c r="Y6" s="60"/>
      <c r="Z6" s="13"/>
      <c r="AQ6" s="45" t="s">
        <v>12</v>
      </c>
      <c r="AT6" s="71"/>
      <c r="AU6" s="72"/>
      <c r="AV6" s="73" t="s">
        <v>6</v>
      </c>
      <c r="AW6" s="73" t="s">
        <v>17</v>
      </c>
      <c r="AX6" s="73"/>
      <c r="AY6" s="73" t="s">
        <v>33</v>
      </c>
      <c r="AZ6" s="72" t="s">
        <v>18</v>
      </c>
      <c r="BA6" s="74" t="s">
        <v>64</v>
      </c>
    </row>
    <row r="7" spans="2:54" ht="15.75" customHeight="1" thickBot="1" x14ac:dyDescent="0.3">
      <c r="B7" s="105"/>
      <c r="C7" s="127" t="s">
        <v>13</v>
      </c>
      <c r="D7" s="128"/>
      <c r="E7" s="128"/>
      <c r="F7" s="128"/>
      <c r="G7" s="128"/>
      <c r="H7" s="128"/>
      <c r="I7" s="128"/>
      <c r="J7" s="129"/>
      <c r="K7" s="108"/>
      <c r="M7" s="38" t="s">
        <v>14</v>
      </c>
      <c r="N7" s="42">
        <v>12</v>
      </c>
      <c r="O7" s="21" t="s">
        <v>15</v>
      </c>
      <c r="P7" s="25" t="str">
        <f>MID(DEC2HEX(N7*2,4),3,2)</f>
        <v>18</v>
      </c>
      <c r="Q7" s="36"/>
      <c r="R7" s="12" t="str">
        <f>P6&amp;""&amp;P7</f>
        <v>0018</v>
      </c>
      <c r="S7" s="12"/>
      <c r="T7" s="12"/>
      <c r="U7" s="12"/>
      <c r="V7" s="12" t="str">
        <f t="shared" ref="V7:V9" si="0">DEC2HEX(HEX2DEC(P7),2)</f>
        <v>18</v>
      </c>
      <c r="W7" s="12"/>
      <c r="X7" s="14" t="str">
        <f>HEX2DEC(R7)/2 &amp;"ms"</f>
        <v>12ms</v>
      </c>
      <c r="Y7" s="61"/>
      <c r="Z7" s="15"/>
      <c r="AQ7" s="45" t="s">
        <v>16</v>
      </c>
      <c r="AT7" s="71"/>
      <c r="AU7" s="72"/>
      <c r="AV7" s="75"/>
      <c r="AW7" s="75"/>
      <c r="AX7" s="75"/>
      <c r="AY7" s="72"/>
      <c r="AZ7" s="72"/>
      <c r="BA7" s="74"/>
    </row>
    <row r="8" spans="2:54" ht="15" customHeight="1" x14ac:dyDescent="0.25">
      <c r="B8" s="103" t="s">
        <v>19</v>
      </c>
      <c r="C8" s="85" t="s">
        <v>66</v>
      </c>
      <c r="D8" s="86"/>
      <c r="E8" s="86"/>
      <c r="F8" s="86"/>
      <c r="G8" s="86"/>
      <c r="H8" s="86"/>
      <c r="I8" s="86"/>
      <c r="J8" s="87"/>
      <c r="K8" s="106" t="s">
        <v>65</v>
      </c>
      <c r="M8" s="38" t="s">
        <v>20</v>
      </c>
      <c r="N8" s="43">
        <v>270</v>
      </c>
      <c r="O8" s="21" t="s">
        <v>21</v>
      </c>
      <c r="P8" s="39" t="str">
        <f>DEC2HEX(Q8*10000,8)</f>
        <v>000CAD46</v>
      </c>
      <c r="Q8" s="40">
        <f>IF(N8&lt;&gt;"",N8/1000*'UDS Commands'!$C$21,0)</f>
        <v>83.079000000000008</v>
      </c>
      <c r="R8" s="12">
        <f>HEX2DEC(P8)</f>
        <v>830790</v>
      </c>
      <c r="S8" s="12"/>
      <c r="T8" s="12"/>
      <c r="U8" s="12"/>
      <c r="V8" s="12">
        <f>ROUND(Q8,0)</f>
        <v>83</v>
      </c>
      <c r="W8" s="12"/>
      <c r="X8" s="16" t="str">
        <f>ROUND(Q8,4) &amp;"% PWM"</f>
        <v>83.079% PWM</v>
      </c>
      <c r="Y8" s="61"/>
      <c r="Z8" s="15" t="str">
        <f>IF(N8="","0 mA",N8 &amp; " mA")</f>
        <v>270 mA</v>
      </c>
      <c r="AQ8" s="45" t="s">
        <v>22</v>
      </c>
      <c r="AT8" s="71" t="s">
        <v>63</v>
      </c>
      <c r="AU8" s="72"/>
      <c r="AV8" s="75">
        <v>0</v>
      </c>
      <c r="AW8" s="81">
        <f ca="1">AX8/10000</f>
        <v>6.1539999999999999</v>
      </c>
      <c r="AX8" s="75">
        <f ca="1">AX10</f>
        <v>61540</v>
      </c>
      <c r="AY8" s="72">
        <f ca="1">AY10</f>
        <v>20</v>
      </c>
      <c r="AZ8" s="72"/>
      <c r="BA8" s="74"/>
    </row>
    <row r="9" spans="2:54" x14ac:dyDescent="0.25">
      <c r="B9" s="104"/>
      <c r="C9" s="88"/>
      <c r="D9" s="89"/>
      <c r="E9" s="89"/>
      <c r="F9" s="89"/>
      <c r="G9" s="89"/>
      <c r="H9" s="89"/>
      <c r="I9" s="89"/>
      <c r="J9" s="90"/>
      <c r="K9" s="107"/>
      <c r="M9" s="38" t="s">
        <v>23</v>
      </c>
      <c r="N9" s="44" t="s">
        <v>16</v>
      </c>
      <c r="O9" s="22" t="s">
        <v>23</v>
      </c>
      <c r="P9" s="23" t="str">
        <f>IF(N9="Straight","02",IF(N9="Straight+TrigOff","22",IF(N9="Ramp+TrigOff","A2",IF(N9="Ramp","82",IF(N9="Holding","42",IF(N9="None","00",IF(N9="","00")))))))</f>
        <v>02</v>
      </c>
      <c r="Q9" s="38"/>
      <c r="R9" s="17"/>
      <c r="S9" s="17"/>
      <c r="T9" s="17"/>
      <c r="U9" s="17"/>
      <c r="V9" s="12" t="str">
        <f t="shared" si="0"/>
        <v>02</v>
      </c>
      <c r="W9" s="12"/>
      <c r="X9" s="18" t="str">
        <f>IF(_xlfn.BITAND(HEX2DEC(P9),128)=128,"Ramp Option Active","")</f>
        <v/>
      </c>
      <c r="Y9" s="62" t="str">
        <f>IF(_xlfn.BITAND(HEX2DEC(P9),32)=32,"Trigger Off(Unlocking)","")</f>
        <v/>
      </c>
      <c r="Z9" s="19" t="str">
        <f>IF(_xlfn.BITAND(HEX2DEC(P9),64)=64,"Infinite Duration","")</f>
        <v/>
      </c>
      <c r="AQ9" s="66" t="s">
        <v>57</v>
      </c>
      <c r="AT9" s="71"/>
      <c r="AU9" s="72"/>
      <c r="AV9" s="75">
        <f ca="1">IF(BA10="Straight",AV8,(AV10+AV8)/2)</f>
        <v>0</v>
      </c>
      <c r="AW9" s="81">
        <f t="shared" ref="AW9:AW16" ca="1" si="1">AX9/10000</f>
        <v>6.1539999999999999</v>
      </c>
      <c r="AX9" s="75">
        <f ca="1">IF(BA10="Straight",AX10,IF(AX8=AX10,AX8,(AX8+AX10)/2))</f>
        <v>61540</v>
      </c>
      <c r="AY9" s="75">
        <f ca="1">IF(BA10="Straight",AY10,IF(AY8=AY10,AY8,(AY8+AY10)/2))</f>
        <v>20</v>
      </c>
      <c r="AZ9" s="72"/>
      <c r="BA9" s="74"/>
    </row>
    <row r="10" spans="2:54" ht="15.75" customHeight="1" thickBot="1" x14ac:dyDescent="0.3">
      <c r="B10" s="105"/>
      <c r="C10" s="91"/>
      <c r="D10" s="92"/>
      <c r="E10" s="92"/>
      <c r="F10" s="92"/>
      <c r="G10" s="92"/>
      <c r="H10" s="92"/>
      <c r="I10" s="92"/>
      <c r="J10" s="93"/>
      <c r="K10" s="108"/>
      <c r="X10" s="4"/>
      <c r="Y10" s="63"/>
      <c r="Z10" s="11" t="str">
        <f>IF(_xlfn.BITAND(HEX2DEC(P9),64)=64,"Infinite Duration","")</f>
        <v/>
      </c>
      <c r="AO10" s="5" t="str">
        <f>IF(_xlfn.BITAND(HEX2DEC(P21),64)=64,"Infinite Duration","")</f>
        <v/>
      </c>
      <c r="AQ10" s="66" t="s">
        <v>58</v>
      </c>
      <c r="AT10" s="76" t="str">
        <f>"Step "&amp;HEX2DEC(C23)</f>
        <v>Step 5</v>
      </c>
      <c r="AU10" s="72">
        <f>IF(C23&lt;&gt;"FF",MATCH(AT10,$P:$P,0),"")</f>
        <v>35</v>
      </c>
      <c r="AV10" s="75" cm="1">
        <f t="array" aca="1" ref="AV10" ca="1">IF(C23&lt;&gt;"FF",IF(AZ10&lt;&gt;"",AZ10,INDIRECT(ADDRESS(AU10,19))),"")</f>
        <v>18</v>
      </c>
      <c r="AW10" s="81">
        <f t="shared" ca="1" si="1"/>
        <v>6.1539999999999999</v>
      </c>
      <c r="AX10" s="75" cm="1">
        <f t="array" aca="1" ref="AX10" ca="1">IF(C23&lt;&gt;"FF",INDIRECT(ADDRESS(AU10,20)),"")</f>
        <v>61540</v>
      </c>
      <c r="AY10" s="72" cm="1">
        <f t="array" aca="1" ref="AY10" ca="1">IF(C23&lt;&gt;"FF",INDIRECT(ADDRESS(AU10,23)),"")</f>
        <v>20</v>
      </c>
      <c r="AZ10" s="72" t="str" cm="1">
        <f t="array" aca="1" ref="AZ10" ca="1">IF(C23&lt;&gt;"FF",IF(""&lt;&gt;INDIRECT(ADDRESS(AU10,21)),9999,""),"")</f>
        <v/>
      </c>
      <c r="BA10" s="74" t="str" cm="1">
        <f t="array" aca="1" ref="BA10" ca="1">IF(C23&lt;&gt;"FF",IF(""&lt;&gt;INDIRECT(ADDRESS(AU10,22)),"Straight",""),"")</f>
        <v>Straight</v>
      </c>
    </row>
    <row r="11" spans="2:54" ht="15.75" customHeight="1" thickBot="1" x14ac:dyDescent="0.3">
      <c r="B11" s="94" t="s">
        <v>23</v>
      </c>
      <c r="C11" s="97" t="s">
        <v>25</v>
      </c>
      <c r="D11" s="98"/>
      <c r="E11" s="98"/>
      <c r="F11" s="98"/>
      <c r="G11" s="98"/>
      <c r="H11" s="98"/>
      <c r="I11" s="98"/>
      <c r="J11" s="99"/>
      <c r="K11" s="100" t="s">
        <v>26</v>
      </c>
      <c r="N11" s="35"/>
      <c r="O11" s="26"/>
      <c r="P11" s="27" t="s">
        <v>27</v>
      </c>
      <c r="Q11" s="35"/>
      <c r="R11" s="27"/>
      <c r="S11" s="28">
        <f>HEX2DEC(R13)/2</f>
        <v>12</v>
      </c>
      <c r="T11" s="28">
        <f>HEX2DEC(P14)</f>
        <v>892329</v>
      </c>
      <c r="U11" s="28" t="str">
        <f>IF(_xlfn.BITAND(HEX2DEC(P15),64)=64,"Infinite Duration","")</f>
        <v/>
      </c>
      <c r="V11" s="28" t="str">
        <f>IF(N15="Straight","True","")</f>
        <v>True</v>
      </c>
      <c r="W11" s="28">
        <f>N14</f>
        <v>290</v>
      </c>
      <c r="X11" s="27"/>
      <c r="Y11" s="59"/>
      <c r="Z11" s="29"/>
      <c r="AQ11" s="66" t="s">
        <v>24</v>
      </c>
      <c r="AT11" s="71"/>
      <c r="AU11" s="72"/>
      <c r="AV11" s="75">
        <f ca="1">IF(BA12="Straight",AV10,(AV12+AV10)/2)</f>
        <v>18</v>
      </c>
      <c r="AW11" s="81">
        <f t="shared" ca="1" si="1"/>
        <v>83.078999999999994</v>
      </c>
      <c r="AX11" s="75">
        <f ca="1">IF(BA12="Straight",AX12,IF(AX10=AX12,AX10,(AX10+AX12)/2))</f>
        <v>830790</v>
      </c>
      <c r="AY11" s="75">
        <f ca="1">IF(BA12="Straight",AY12,IF(AY10=AY12,AY10,(AY10+AY12)/2))</f>
        <v>270</v>
      </c>
      <c r="AZ11" s="72"/>
      <c r="BA11" s="74"/>
      <c r="BB11" s="67"/>
    </row>
    <row r="12" spans="2:54" ht="15.75" thickBot="1" x14ac:dyDescent="0.3">
      <c r="B12" s="95"/>
      <c r="C12" s="2" t="s">
        <v>28</v>
      </c>
      <c r="D12" s="2" t="s">
        <v>29</v>
      </c>
      <c r="E12" s="2" t="s">
        <v>53</v>
      </c>
      <c r="F12" s="3"/>
      <c r="G12" s="3"/>
      <c r="H12" s="2" t="s">
        <v>30</v>
      </c>
      <c r="I12" s="2" t="s">
        <v>30</v>
      </c>
      <c r="J12" s="2" t="s">
        <v>30</v>
      </c>
      <c r="K12" s="101"/>
      <c r="M12" s="41"/>
      <c r="N12" s="37"/>
      <c r="O12" s="21" t="s">
        <v>11</v>
      </c>
      <c r="P12" s="24" t="str">
        <f>MID(DEC2HEX(N13*2,4),1,2)</f>
        <v>00</v>
      </c>
      <c r="Q12" s="36"/>
      <c r="R12" s="48"/>
      <c r="S12" s="31"/>
      <c r="T12" s="31"/>
      <c r="U12" s="31"/>
      <c r="V12" s="31" t="str">
        <f>DEC2HEX(HEX2DEC(P12),2)</f>
        <v>00</v>
      </c>
      <c r="W12" s="31"/>
      <c r="X12" s="32"/>
      <c r="Y12" s="64"/>
      <c r="Z12" s="33"/>
      <c r="AT12" s="76" t="str">
        <f>"Step "&amp;HEX2DEC(C24)</f>
        <v>Step 0</v>
      </c>
      <c r="AU12" s="72">
        <f>IF(C24&lt;&gt;"FF",MATCH(AT12,$P:$P,0),"")</f>
        <v>5</v>
      </c>
      <c r="AV12" s="75" cm="1">
        <f t="array" aca="1" ref="AV12" ca="1">IF(C24&lt;&gt;"FF",IF(AZ12&lt;&gt;"",AZ12,INDIRECT(ADDRESS(AU12,19)))+AV10,"")</f>
        <v>30</v>
      </c>
      <c r="AW12" s="81">
        <f t="shared" ca="1" si="1"/>
        <v>83.078999999999994</v>
      </c>
      <c r="AX12" s="75" cm="1">
        <f t="array" aca="1" ref="AX12" ca="1">IF(C24&lt;&gt;"FF",INDIRECT(ADDRESS(AU12,20)),"")</f>
        <v>830790</v>
      </c>
      <c r="AY12" s="72" cm="1">
        <f t="array" aca="1" ref="AY12" ca="1">IF(C24&lt;&gt;"FF",INDIRECT(ADDRESS(AU12,23)),"")</f>
        <v>270</v>
      </c>
      <c r="AZ12" s="72" t="str" cm="1">
        <f t="array" aca="1" ref="AZ12" ca="1">IF(C24&lt;&gt;"FF",IF(""&lt;&gt;INDIRECT(ADDRESS(AU12,21)),9999,""),"")</f>
        <v/>
      </c>
      <c r="BA12" s="74" t="str" cm="1">
        <f t="array" aca="1" ref="BA12" ca="1">IF(C24&lt;&gt;"FF",IF(""&lt;&gt;INDIRECT(ADDRESS(AU12,22)),"Straight",""),"")</f>
        <v>Straight</v>
      </c>
    </row>
    <row r="13" spans="2:54" ht="15" customHeight="1" x14ac:dyDescent="0.25">
      <c r="B13" s="95"/>
      <c r="C13" s="109" t="s">
        <v>56</v>
      </c>
      <c r="D13" s="109"/>
      <c r="E13" s="109"/>
      <c r="F13" s="109"/>
      <c r="G13" s="109"/>
      <c r="H13" s="109"/>
      <c r="I13" s="110"/>
      <c r="J13" s="113"/>
      <c r="K13" s="101"/>
      <c r="M13" s="38" t="s">
        <v>14</v>
      </c>
      <c r="N13" s="42">
        <v>12</v>
      </c>
      <c r="O13" s="21" t="s">
        <v>15</v>
      </c>
      <c r="P13" s="25" t="str">
        <f>MID(DEC2HEX(N13*2,4),3,2)</f>
        <v>18</v>
      </c>
      <c r="Q13" s="36"/>
      <c r="R13" s="49" t="str">
        <f>P12&amp;""&amp;P13</f>
        <v>0018</v>
      </c>
      <c r="S13" s="50"/>
      <c r="T13" s="50"/>
      <c r="U13" s="50"/>
      <c r="V13" s="50" t="str">
        <f t="shared" ref="V13:V15" si="2">DEC2HEX(HEX2DEC(P13),2)</f>
        <v>18</v>
      </c>
      <c r="W13" s="50"/>
      <c r="X13" s="51" t="str">
        <f>HEX2DEC(R13)/2 &amp;"ms"</f>
        <v>12ms</v>
      </c>
      <c r="Y13" s="65"/>
      <c r="Z13" s="15"/>
      <c r="AT13" s="71"/>
      <c r="AU13" s="72"/>
      <c r="AV13" s="75">
        <f ca="1">IF(BA14="Straight",AV12,(AV14+AV12)/2)</f>
        <v>60</v>
      </c>
      <c r="AW13" s="81">
        <f t="shared" ca="1" si="1"/>
        <v>55.386000000000003</v>
      </c>
      <c r="AX13" s="75">
        <f ca="1">IF(BA14="Straight",AX14,IF(AX12=AX14,AX12,(AX12+AX14)/2))</f>
        <v>553860</v>
      </c>
      <c r="AY13" s="75">
        <f ca="1">IF(BA14="Straight",AY14,IF(AY12=AY14,AY12,(AY12+AY14)/2))</f>
        <v>180</v>
      </c>
      <c r="AZ13" s="72"/>
      <c r="BA13" s="74"/>
    </row>
    <row r="14" spans="2:54" ht="15" customHeight="1" x14ac:dyDescent="0.25">
      <c r="B14" s="95"/>
      <c r="C14" s="116" t="s">
        <v>55</v>
      </c>
      <c r="D14" s="116"/>
      <c r="E14" s="116"/>
      <c r="F14" s="116"/>
      <c r="G14" s="116"/>
      <c r="H14" s="116"/>
      <c r="I14" s="111"/>
      <c r="J14" s="114"/>
      <c r="K14" s="101"/>
      <c r="M14" s="38" t="s">
        <v>20</v>
      </c>
      <c r="N14" s="43">
        <v>290</v>
      </c>
      <c r="O14" s="21" t="s">
        <v>21</v>
      </c>
      <c r="P14" s="39" t="str">
        <f>DEC2HEX(Q14*10000,8)</f>
        <v>000D9DA9</v>
      </c>
      <c r="Q14" s="40">
        <f>IF(N14&lt;&gt;"",N14/1000*'UDS Commands'!$C$21,0)</f>
        <v>89.23299999999999</v>
      </c>
      <c r="R14" s="49">
        <f>HEX2DEC(P14)</f>
        <v>892329</v>
      </c>
      <c r="S14" s="50"/>
      <c r="T14" s="50"/>
      <c r="U14" s="50"/>
      <c r="V14" s="12">
        <f>ROUND(Q14,0)</f>
        <v>89</v>
      </c>
      <c r="W14" s="50"/>
      <c r="X14" s="16" t="str">
        <f>ROUND(Q14,4) &amp;"% PWM"</f>
        <v>89.233% PWM</v>
      </c>
      <c r="Y14" s="65"/>
      <c r="Z14" s="15" t="str">
        <f>IF(N14="","0 mA",N14 &amp; " mA")</f>
        <v>290 mA</v>
      </c>
      <c r="AT14" s="76" t="str">
        <f>"Step "&amp;HEX2DEC(C25)</f>
        <v>Step 2</v>
      </c>
      <c r="AU14" s="72">
        <f>IF(C25&lt;&gt;"FF",MATCH(AT14,$P:$P,0),"")</f>
        <v>17</v>
      </c>
      <c r="AV14" s="75" cm="1">
        <f t="array" aca="1" ref="AV14" ca="1">IF(C25&lt;&gt;"FF",IF(AZ14&lt;&gt;"",AZ14,INDIRECT(ADDRESS(AU14,19)))+AV12,"")</f>
        <v>90</v>
      </c>
      <c r="AW14" s="81">
        <f t="shared" ca="1" si="1"/>
        <v>27.693000000000001</v>
      </c>
      <c r="AX14" s="75" cm="1">
        <f t="array" aca="1" ref="AX14" ca="1">IF(C25&lt;&gt;"FF",INDIRECT(ADDRESS(AU14,20)),"")</f>
        <v>276930</v>
      </c>
      <c r="AY14" s="72" cm="1">
        <f t="array" aca="1" ref="AY14" ca="1">IF(C25&lt;&gt;"FF",INDIRECT(ADDRESS(AU14,23)),"")</f>
        <v>90</v>
      </c>
      <c r="AZ14" s="72" t="str" cm="1">
        <f t="array" aca="1" ref="AZ14" ca="1">IF(C25&lt;&gt;"FF",IF(""&lt;&gt;INDIRECT(ADDRESS(AU14,21)),9999,""),"")</f>
        <v/>
      </c>
      <c r="BA14" s="74" t="str" cm="1">
        <f t="array" aca="1" ref="BA14" ca="1">IF(C25&lt;&gt;"FF",IF(""&lt;&gt;INDIRECT(ADDRESS(AU14,22)),"Straight",""),"")</f>
        <v/>
      </c>
    </row>
    <row r="15" spans="2:54" ht="15" customHeight="1" x14ac:dyDescent="0.25">
      <c r="B15" s="95"/>
      <c r="C15" s="117" t="s">
        <v>54</v>
      </c>
      <c r="D15" s="117"/>
      <c r="E15" s="117"/>
      <c r="F15" s="117"/>
      <c r="G15" s="117"/>
      <c r="H15" s="117"/>
      <c r="I15" s="111"/>
      <c r="J15" s="114"/>
      <c r="K15" s="101"/>
      <c r="M15" s="38" t="s">
        <v>23</v>
      </c>
      <c r="N15" s="44" t="s">
        <v>16</v>
      </c>
      <c r="O15" s="22" t="s">
        <v>23</v>
      </c>
      <c r="P15" s="23" t="str">
        <f>IF(N15="Straight","02",IF(N15="Straight+TrigOff","22",IF(N15="Ramp+TrigOff","A2",IF(N15="Ramp","82",IF(N15="Holding","42",IF(N15="None","00",IF(N15="","00")))))))</f>
        <v>02</v>
      </c>
      <c r="Q15" s="38"/>
      <c r="R15" s="53"/>
      <c r="S15" s="20"/>
      <c r="T15" s="20"/>
      <c r="U15" s="20"/>
      <c r="V15" s="17" t="str">
        <f t="shared" si="2"/>
        <v>02</v>
      </c>
      <c r="W15" s="17"/>
      <c r="X15" s="18" t="str">
        <f>IF(_xlfn.BITAND(HEX2DEC(P15),128)=128,"Ramp Option Active","")</f>
        <v/>
      </c>
      <c r="Y15" s="62" t="str">
        <f>IF(_xlfn.BITAND(HEX2DEC(P15),32)=32,"Trigger Off(Unlocking)","")</f>
        <v/>
      </c>
      <c r="Z15" s="19" t="str">
        <f>IF(_xlfn.BITAND(HEX2DEC(P15),64)=64,"Infinite Duration","")</f>
        <v/>
      </c>
      <c r="AT15" s="71"/>
      <c r="AU15" s="72"/>
      <c r="AV15" s="75">
        <f ca="1">IF(BA16="Straight",AV14,(AV16+AV14)/2)</f>
        <v>5089.5</v>
      </c>
      <c r="AW15" s="81">
        <f t="shared" ca="1" si="1"/>
        <v>27.693000000000001</v>
      </c>
      <c r="AX15" s="75">
        <f ca="1">IF(BA16="Straight",AX16,IF(AX14=AX16,AX14,(AX14+AX16)/2))</f>
        <v>276930</v>
      </c>
      <c r="AY15" s="75">
        <f ca="1">IF(BB16="Straight",AY16,IF(AY14=AY16,AY14,(AY14+AY16)/2))</f>
        <v>90</v>
      </c>
      <c r="AZ15" s="72"/>
      <c r="BA15" s="74"/>
    </row>
    <row r="16" spans="2:54" ht="15" customHeight="1" x14ac:dyDescent="0.25">
      <c r="B16" s="95"/>
      <c r="C16" s="116" t="s">
        <v>31</v>
      </c>
      <c r="D16" s="116"/>
      <c r="E16" s="116"/>
      <c r="F16" s="116"/>
      <c r="G16" s="116"/>
      <c r="H16" s="116"/>
      <c r="I16" s="111"/>
      <c r="J16" s="114"/>
      <c r="K16" s="101"/>
      <c r="X16" s="4"/>
      <c r="Y16" s="63"/>
      <c r="Z16" s="4"/>
      <c r="AO16" s="45" t="s">
        <v>32</v>
      </c>
      <c r="AP16" s="45" t="s">
        <v>33</v>
      </c>
      <c r="AQ16" s="45" t="s">
        <v>17</v>
      </c>
      <c r="AT16" s="76" t="str">
        <f>"Step "&amp;HEX2DEC(C26)</f>
        <v>Step 3</v>
      </c>
      <c r="AU16" s="72">
        <f>IF(C26&lt;&gt;"FF",MATCH(AT16,$P:$P,0),"")</f>
        <v>23</v>
      </c>
      <c r="AV16" s="75" cm="1">
        <f t="array" aca="1" ref="AV16" ca="1">IF(C26&lt;&gt;"FF",IF(AZ16&lt;&gt;"",AZ16,INDIRECT(ADDRESS(AU16,19)))+AV14,"")</f>
        <v>10089</v>
      </c>
      <c r="AW16" s="81">
        <f t="shared" ca="1" si="1"/>
        <v>27.693000000000001</v>
      </c>
      <c r="AX16" s="75" cm="1">
        <f t="array" aca="1" ref="AX16" ca="1">IF(C26&lt;&gt;"FF",INDIRECT(ADDRESS(AU16,20)),"")</f>
        <v>276930</v>
      </c>
      <c r="AY16" s="72" cm="1">
        <f t="array" aca="1" ref="AY16" ca="1">IF(C26&lt;&gt;"FF",INDIRECT(ADDRESS(AU16,23)),"")</f>
        <v>90</v>
      </c>
      <c r="AZ16" s="72" cm="1">
        <f t="array" aca="1" ref="AZ16" ca="1">IF(C26&lt;&gt;"FF",IF(""&lt;&gt;INDIRECT(ADDRESS(AU16,21)),9999,""),"")</f>
        <v>9999</v>
      </c>
      <c r="BA16" s="74" t="str" cm="1">
        <f t="array" aca="1" ref="BA16" ca="1">IF(C26&lt;&gt;"FF",IF(""&lt;&gt;INDIRECT(ADDRESS(AU16,22)),"Straight",""),"")</f>
        <v/>
      </c>
    </row>
    <row r="17" spans="2:61" ht="15.75" customHeight="1" thickBot="1" x14ac:dyDescent="0.3">
      <c r="B17" s="96"/>
      <c r="C17" s="118" t="s">
        <v>34</v>
      </c>
      <c r="D17" s="118"/>
      <c r="E17" s="118"/>
      <c r="F17" s="118"/>
      <c r="G17" s="118"/>
      <c r="H17" s="118"/>
      <c r="I17" s="112"/>
      <c r="J17" s="115"/>
      <c r="K17" s="102"/>
      <c r="N17" s="35"/>
      <c r="O17" s="26"/>
      <c r="P17" s="27" t="s">
        <v>35</v>
      </c>
      <c r="Q17" s="35"/>
      <c r="R17" s="27"/>
      <c r="S17" s="28">
        <f>HEX2DEC(R19)/2</f>
        <v>60</v>
      </c>
      <c r="T17" s="28">
        <f>HEX2DEC(P20)</f>
        <v>276930</v>
      </c>
      <c r="U17" s="28" t="str">
        <f>IF(_xlfn.BITAND(HEX2DEC(P21),64)=64,"Infinite Duration","")</f>
        <v/>
      </c>
      <c r="V17" s="28" t="str">
        <f>IF(N21="Straight","True","")</f>
        <v/>
      </c>
      <c r="W17" s="28">
        <f>N20</f>
        <v>90</v>
      </c>
      <c r="X17" s="27"/>
      <c r="Y17" s="59"/>
      <c r="Z17" s="29"/>
      <c r="AO17" s="45">
        <v>0</v>
      </c>
      <c r="AP17" s="45">
        <v>190</v>
      </c>
      <c r="AQ17" s="45">
        <v>75</v>
      </c>
      <c r="AT17" s="71"/>
      <c r="AU17" s="72"/>
      <c r="AV17" s="75" t="str">
        <f>IF(C27&lt;&gt;"FF",IF(BA18="Straight",AV16,(AV18+AV16)/2),"")</f>
        <v/>
      </c>
      <c r="AW17" s="75"/>
      <c r="AX17" s="75" t="str">
        <f>IF(C27&lt;&gt;"FF",IF(BA18="Straight",AX18,IF(AX16=AX18,AX16,(AX16+AX18)/2)),"")</f>
        <v/>
      </c>
      <c r="AY17" s="75" t="str">
        <f>IF(C27&lt;&gt;"FF",IF(BB18="Straight",AY18,IF(AY16=AY18,AY16,(AY16+AY18)/2)),"")</f>
        <v/>
      </c>
      <c r="AZ17" s="72"/>
      <c r="BA17" s="74"/>
    </row>
    <row r="18" spans="2:61" x14ac:dyDescent="0.25">
      <c r="M18" s="41"/>
      <c r="N18" s="37"/>
      <c r="O18" s="21" t="s">
        <v>11</v>
      </c>
      <c r="P18" s="24" t="str">
        <f>MID(DEC2HEX(N19*2,4),1,2)</f>
        <v>00</v>
      </c>
      <c r="Q18" s="36"/>
      <c r="R18" s="48"/>
      <c r="S18" s="31"/>
      <c r="T18" s="31"/>
      <c r="U18" s="31"/>
      <c r="V18" s="31" t="str">
        <f>DEC2HEX(HEX2DEC(P18),2)</f>
        <v>00</v>
      </c>
      <c r="W18" s="31"/>
      <c r="X18" s="32"/>
      <c r="Y18" s="64"/>
      <c r="Z18" s="33"/>
      <c r="AO18" s="45">
        <f>N7</f>
        <v>12</v>
      </c>
      <c r="AP18" s="45">
        <f>N8</f>
        <v>270</v>
      </c>
      <c r="AQ18" s="45">
        <f>Q8</f>
        <v>83.079000000000008</v>
      </c>
      <c r="AT18" s="76" t="str">
        <f>"Step "&amp;HEX2DEC(C27)</f>
        <v>Step 255</v>
      </c>
      <c r="AU18" s="72" t="str">
        <f>IF(C27&lt;&gt;"FF",MATCH(AT18,$P:$P,0),"")</f>
        <v/>
      </c>
      <c r="AV18" s="75" t="str" cm="1">
        <f t="array" aca="1" ref="AV18" ca="1">IF(C27&lt;&gt;"FF",IF(AZ18&lt;&gt;"",AZ18,INDIRECT(ADDRESS(AU18,19)))+AV16,"")</f>
        <v/>
      </c>
      <c r="AW18" s="75"/>
      <c r="AX18" s="75" t="str" cm="1">
        <f t="array" aca="1" ref="AX18" ca="1">IF(C27&lt;&gt;"FF",INDIRECT(ADDRESS(AU18,20)),"")</f>
        <v/>
      </c>
      <c r="AY18" s="72" t="str" cm="1">
        <f t="array" aca="1" ref="AY18" ca="1">IF(C27&lt;&gt;"FF",INDIRECT(ADDRESS(AU18,23)),"")</f>
        <v/>
      </c>
      <c r="AZ18" s="72" t="str" cm="1">
        <f t="array" aca="1" ref="AZ18" ca="1">IF(C27&lt;&gt;"FF",IF(""&lt;&gt;INDIRECT(ADDRESS(AU18,21)),9999,""),"")</f>
        <v/>
      </c>
      <c r="BA18" s="74" t="str" cm="1">
        <f t="array" aca="1" ref="BA18" ca="1">IF(C27&lt;&gt;"FF",IF(""&lt;&gt;INDIRECT(ADDRESS(AU18,22)),"Straight",""),"")</f>
        <v/>
      </c>
    </row>
    <row r="19" spans="2:61" x14ac:dyDescent="0.25">
      <c r="B19" s="8" t="s">
        <v>36</v>
      </c>
      <c r="C19" s="10" t="s">
        <v>37</v>
      </c>
      <c r="M19" s="38" t="s">
        <v>14</v>
      </c>
      <c r="N19" s="42">
        <v>60</v>
      </c>
      <c r="O19" s="21" t="s">
        <v>15</v>
      </c>
      <c r="P19" s="25" t="str">
        <f>MID(DEC2HEX(N19*2,4),3,2)</f>
        <v>78</v>
      </c>
      <c r="Q19" s="36"/>
      <c r="R19" s="49" t="str">
        <f>P18&amp;""&amp;P19</f>
        <v>0078</v>
      </c>
      <c r="S19" s="50"/>
      <c r="T19" s="50"/>
      <c r="U19" s="50"/>
      <c r="V19" s="50" t="str">
        <f t="shared" ref="V19:V21" si="3">DEC2HEX(HEX2DEC(P19),2)</f>
        <v>78</v>
      </c>
      <c r="W19" s="50"/>
      <c r="X19" s="51" t="str">
        <f>HEX2DEC(R19)/2 &amp;"ms"</f>
        <v>60ms</v>
      </c>
      <c r="Y19" s="65"/>
      <c r="Z19" s="15"/>
      <c r="AO19" s="45">
        <f>N13</f>
        <v>12</v>
      </c>
      <c r="AP19" s="45">
        <f>N14</f>
        <v>290</v>
      </c>
      <c r="AQ19" s="45">
        <f>Q14</f>
        <v>89.23299999999999</v>
      </c>
      <c r="AT19" s="71"/>
      <c r="AU19" s="72"/>
      <c r="AV19" s="75" t="str">
        <f>IF(C28&lt;&gt;"FF",IF(BA20="Straight",AV18,(AV20+AV18)/2),"")</f>
        <v/>
      </c>
      <c r="AW19" s="75"/>
      <c r="AX19" s="75" t="str">
        <f>IF(C28&lt;&gt;"FF",IF(BA20="Straight",AX20,IF(AX18=AX20,AX18,(AX18+AX20)/2)),"")</f>
        <v/>
      </c>
      <c r="AY19" s="75" t="str">
        <f>IF(C28&lt;&gt;"FF",IF(BB20="Straight",AY20,IF(AY18=AY20,AY18,(AY18+AY20)/2)),"")</f>
        <v/>
      </c>
      <c r="AZ19" s="72"/>
      <c r="BA19" s="74"/>
    </row>
    <row r="20" spans="2:61" x14ac:dyDescent="0.25">
      <c r="B20" s="8" t="s">
        <v>38</v>
      </c>
      <c r="C20" s="10" t="s">
        <v>37</v>
      </c>
      <c r="M20" s="38" t="s">
        <v>20</v>
      </c>
      <c r="N20" s="43">
        <v>90</v>
      </c>
      <c r="O20" s="21" t="s">
        <v>21</v>
      </c>
      <c r="P20" s="39" t="str">
        <f>DEC2HEX(Q20*10000,8)</f>
        <v>000439C2</v>
      </c>
      <c r="Q20" s="40">
        <f>IF(N20&lt;&gt;"",N20/1000*'UDS Commands'!$C$21,0)</f>
        <v>27.692999999999998</v>
      </c>
      <c r="R20" s="49">
        <f>HEX2DEC(P20)</f>
        <v>276930</v>
      </c>
      <c r="S20" s="50"/>
      <c r="T20" s="50"/>
      <c r="U20" s="50"/>
      <c r="V20" s="12">
        <f>ROUND(Q20,0)</f>
        <v>28</v>
      </c>
      <c r="W20" s="50"/>
      <c r="X20" s="16" t="str">
        <f>ROUND(Q20,4) &amp;"% PWM"</f>
        <v>27.693% PWM</v>
      </c>
      <c r="Y20" s="65"/>
      <c r="Z20" s="15" t="str">
        <f>IF(N20="","0 mA",N20 &amp; " mA")</f>
        <v>90 mA</v>
      </c>
      <c r="AO20" s="45">
        <f>N19</f>
        <v>60</v>
      </c>
      <c r="AP20" s="45">
        <f>N20</f>
        <v>90</v>
      </c>
      <c r="AQ20" s="45">
        <f>Q20</f>
        <v>27.692999999999998</v>
      </c>
      <c r="AT20" s="76" t="str">
        <f>"Step "&amp;HEX2DEC(C28)</f>
        <v>Step 255</v>
      </c>
      <c r="AU20" s="72" t="str">
        <f>IF(C28&lt;&gt;"FF",MATCH(AT20,$P:$P,0),"")</f>
        <v/>
      </c>
      <c r="AV20" s="75" t="str" cm="1">
        <f t="array" aca="1" ref="AV20" ca="1">IF(C28&lt;&gt;"FF",IF(AZ20&lt;&gt;"",AZ20,INDIRECT(ADDRESS(AU20,19)))+AV18,"")</f>
        <v/>
      </c>
      <c r="AW20" s="75"/>
      <c r="AX20" s="75" t="str" cm="1">
        <f t="array" aca="1" ref="AX20" ca="1">IF(C28&lt;&gt;"FF",INDIRECT(ADDRESS(AU20,20)),"")</f>
        <v/>
      </c>
      <c r="AY20" s="72" t="str" cm="1">
        <f t="array" aca="1" ref="AY20" ca="1">IF(C28&lt;&gt;"FF",INDIRECT(ADDRESS(AU20,23)),"")</f>
        <v/>
      </c>
      <c r="AZ20" s="72" t="str" cm="1">
        <f t="array" aca="1" ref="AZ20" ca="1">IF(C28&lt;&gt;"FF",IF(""&lt;&gt;INDIRECT(ADDRESS(AU20,21)),9999,""),"")</f>
        <v/>
      </c>
      <c r="BA20" s="74" t="str" cm="1">
        <f t="array" aca="1" ref="BA20" ca="1">IF(C28&lt;&gt;"FF",IF(""&lt;&gt;INDIRECT(ADDRESS(AU20,22)),"Straight",""),"")</f>
        <v/>
      </c>
    </row>
    <row r="21" spans="2:61" x14ac:dyDescent="0.25">
      <c r="B21" s="8" t="s">
        <v>23</v>
      </c>
      <c r="C21" s="9" t="s">
        <v>37</v>
      </c>
      <c r="M21" s="38" t="s">
        <v>23</v>
      </c>
      <c r="N21" s="44" t="s">
        <v>12</v>
      </c>
      <c r="O21" s="22" t="s">
        <v>23</v>
      </c>
      <c r="P21" s="23" t="str">
        <f>IF(N21="Straight","02",IF(N21="Straight+TrigOff","22",IF(N21="Ramp+TrigOff","A2",IF(N21="Ramp","82",IF(N21="Holding","42",IF(N21="None","00",IF(N21="","00")))))))</f>
        <v>82</v>
      </c>
      <c r="Q21" s="38"/>
      <c r="R21" s="52"/>
      <c r="S21" s="17"/>
      <c r="T21" s="17"/>
      <c r="U21" s="17"/>
      <c r="V21" s="17" t="str">
        <f t="shared" si="3"/>
        <v>82</v>
      </c>
      <c r="W21" s="17"/>
      <c r="X21" s="18" t="str">
        <f>IF(_xlfn.BITAND(HEX2DEC(P21),128)=128,"Ramp Option Active","")</f>
        <v>Ramp Option Active</v>
      </c>
      <c r="Y21" s="62" t="str">
        <f>IF(_xlfn.BITAND(HEX2DEC(P21),32)=32,"Trigger Off(Unlocking)","")</f>
        <v/>
      </c>
      <c r="Z21" s="19" t="str">
        <f>IF(_xlfn.BITAND(HEX2DEC(P21),64)=64,"Infinite Duration","")</f>
        <v/>
      </c>
      <c r="AO21" s="45">
        <f>N25</f>
        <v>102</v>
      </c>
      <c r="AP21" s="45">
        <f>N26</f>
        <v>90</v>
      </c>
      <c r="AQ21" s="45">
        <f>Q26</f>
        <v>27.692999999999998</v>
      </c>
      <c r="AT21" s="71"/>
      <c r="AU21" s="72"/>
      <c r="AV21" s="75" t="str">
        <f>IF(C29&lt;&gt;"FF",IF(BA22="Straight",AV20,(AV22+AV20)/2),"")</f>
        <v/>
      </c>
      <c r="AW21" s="75"/>
      <c r="AX21" s="75" t="str">
        <f>IF(C29&lt;&gt;"FF",IF(BA22="Straight",AX22,IF(AX20=AX22,AX20,(AX20+AX22)/2)),"")</f>
        <v/>
      </c>
      <c r="AY21" s="75" t="str">
        <f>IF(C29&lt;&gt;"FF",IF(BB22="Straight",AY22,IF(AY20=AY22,AY20,(AY20+AY22)/2)),"")</f>
        <v/>
      </c>
      <c r="AZ21" s="72"/>
      <c r="BA21" s="74"/>
      <c r="BH21" t="s">
        <v>60</v>
      </c>
      <c r="BI21" t="s">
        <v>60</v>
      </c>
    </row>
    <row r="22" spans="2:61" x14ac:dyDescent="0.25">
      <c r="B22" s="8" t="s">
        <v>39</v>
      </c>
      <c r="C22" s="10" t="s">
        <v>40</v>
      </c>
      <c r="X22" s="4"/>
      <c r="Y22" s="63"/>
      <c r="Z22" s="4"/>
      <c r="AO22" s="45">
        <f>N31</f>
        <v>300</v>
      </c>
      <c r="AP22" s="45">
        <f>N32</f>
        <v>70</v>
      </c>
      <c r="AQ22" s="45">
        <f>Q32</f>
        <v>21.539000000000001</v>
      </c>
      <c r="AT22" s="76" t="str">
        <f>"Step "&amp;HEX2DEC(C29)</f>
        <v>Step 255</v>
      </c>
      <c r="AU22" s="72" t="str">
        <f>IF(C29&lt;&gt;"FF",MATCH(AT22,$P:$P,0),"")</f>
        <v/>
      </c>
      <c r="AV22" s="75" t="str" cm="1">
        <f t="array" aca="1" ref="AV22" ca="1">IF(C29&lt;&gt;"FF",IF(AZ22&lt;&gt;"",AZ22,INDIRECT(ADDRESS(AU22,19)))+AV20,"")</f>
        <v/>
      </c>
      <c r="AW22" s="75"/>
      <c r="AX22" s="75" t="str" cm="1">
        <f t="array" aca="1" ref="AX22" ca="1">IF(C29&lt;&gt;"FF",INDIRECT(ADDRESS(AU22,20)),"")</f>
        <v/>
      </c>
      <c r="AY22" s="72" t="str" cm="1">
        <f t="array" aca="1" ref="AY22" ca="1">IF(C29&lt;&gt;"FF",INDIRECT(ADDRESS(AU22,23)),"")</f>
        <v/>
      </c>
      <c r="AZ22" s="72" t="str" cm="1">
        <f t="array" aca="1" ref="AZ22" ca="1">IF(C29&lt;&gt;"FF",IF(""&lt;&gt;INDIRECT(ADDRESS(AU22,21)),9999,""),"")</f>
        <v/>
      </c>
      <c r="BA22" s="74" t="str" cm="1">
        <f t="array" aca="1" ref="BA22" ca="1">IF(C29&lt;&gt;"FF",IF(""&lt;&gt;INDIRECT(ADDRESS(AU22,22)),"Straight",""),"")</f>
        <v/>
      </c>
    </row>
    <row r="23" spans="2:61" x14ac:dyDescent="0.25">
      <c r="B23" s="8" t="s">
        <v>8</v>
      </c>
      <c r="C23" s="55" t="s">
        <v>62</v>
      </c>
      <c r="N23" s="35"/>
      <c r="O23" s="26"/>
      <c r="P23" s="27" t="s">
        <v>42</v>
      </c>
      <c r="Q23" s="35"/>
      <c r="R23" s="27"/>
      <c r="S23" s="28">
        <f>HEX2DEC(R25)/2</f>
        <v>102</v>
      </c>
      <c r="T23" s="28">
        <f>HEX2DEC(P26)</f>
        <v>276930</v>
      </c>
      <c r="U23" s="28" t="str">
        <f>IF(_xlfn.BITAND(HEX2DEC(P27),64)=64,"Infinite Duration","")</f>
        <v>Infinite Duration</v>
      </c>
      <c r="V23" s="28" t="str">
        <f>IF(N27="Straight","True","")</f>
        <v/>
      </c>
      <c r="W23" s="28">
        <f>N26</f>
        <v>90</v>
      </c>
      <c r="X23" s="27"/>
      <c r="Y23" s="59"/>
      <c r="Z23" s="29"/>
      <c r="AO23" s="45">
        <f>N37</f>
        <v>18</v>
      </c>
      <c r="AP23" s="45">
        <f>N38</f>
        <v>20</v>
      </c>
      <c r="AQ23" s="45">
        <f>Q38</f>
        <v>6.1539999999999999</v>
      </c>
      <c r="AT23" s="71"/>
      <c r="AU23" s="72"/>
      <c r="AV23" s="75"/>
      <c r="AW23" s="75"/>
      <c r="AX23" s="75"/>
      <c r="AY23" s="72"/>
      <c r="AZ23" s="72"/>
      <c r="BA23" s="74"/>
      <c r="BH23" t="s">
        <v>60</v>
      </c>
      <c r="BI23" t="s">
        <v>60</v>
      </c>
    </row>
    <row r="24" spans="2:61" x14ac:dyDescent="0.25">
      <c r="B24" s="8" t="s">
        <v>27</v>
      </c>
      <c r="C24" s="55" t="s">
        <v>41</v>
      </c>
      <c r="M24" s="41"/>
      <c r="N24" s="37"/>
      <c r="O24" s="21" t="s">
        <v>11</v>
      </c>
      <c r="P24" s="24" t="str">
        <f>MID(DEC2HEX(N25*2,4),1,2)</f>
        <v>00</v>
      </c>
      <c r="Q24" s="36"/>
      <c r="R24" s="48"/>
      <c r="S24" s="31"/>
      <c r="T24" s="31"/>
      <c r="U24" s="31"/>
      <c r="V24" s="31" t="str">
        <f>DEC2HEX(HEX2DEC(P24),2)</f>
        <v>00</v>
      </c>
      <c r="W24" s="31"/>
      <c r="X24" s="32"/>
      <c r="Y24" s="64"/>
      <c r="Z24" s="33"/>
      <c r="AO24" s="45">
        <f>N43</f>
        <v>498</v>
      </c>
      <c r="AP24" s="45">
        <f>N44</f>
        <v>18</v>
      </c>
      <c r="AQ24" s="45">
        <f>Q44</f>
        <v>5.5385999999999997</v>
      </c>
      <c r="AT24" s="76" t="str">
        <f>"Step "&amp;HEX2DEC(C30)</f>
        <v>Step 255</v>
      </c>
      <c r="AU24" s="72" t="str">
        <f>IF(C30&lt;&gt;"FF",MATCH(AT22,$P:$P,0),"")</f>
        <v/>
      </c>
      <c r="AV24" s="75"/>
      <c r="AW24" s="75"/>
      <c r="AX24" s="75"/>
      <c r="AY24" s="72"/>
      <c r="AZ24" s="72"/>
      <c r="BA24" s="74"/>
    </row>
    <row r="25" spans="2:61" x14ac:dyDescent="0.25">
      <c r="B25" s="8" t="s">
        <v>35</v>
      </c>
      <c r="C25" s="55" t="s">
        <v>43</v>
      </c>
      <c r="M25" s="38" t="s">
        <v>14</v>
      </c>
      <c r="N25" s="42">
        <v>102</v>
      </c>
      <c r="O25" s="21" t="s">
        <v>15</v>
      </c>
      <c r="P25" s="25" t="str">
        <f>MID(DEC2HEX(N25*2,4),3,2)</f>
        <v>CC</v>
      </c>
      <c r="Q25" s="36"/>
      <c r="R25" s="49" t="str">
        <f>P24&amp;""&amp;P25</f>
        <v>00CC</v>
      </c>
      <c r="S25" s="50"/>
      <c r="T25" s="50"/>
      <c r="U25" s="50"/>
      <c r="V25" s="50" t="str">
        <f t="shared" ref="V25:V27" si="4">DEC2HEX(HEX2DEC(P25),2)</f>
        <v>CC</v>
      </c>
      <c r="W25" s="50"/>
      <c r="X25" s="51" t="str">
        <f>HEX2DEC(R25)/2 &amp;"ms"</f>
        <v>102ms</v>
      </c>
      <c r="Y25" s="65"/>
      <c r="Z25" s="15"/>
      <c r="AO25" s="45">
        <f>N49</f>
        <v>0</v>
      </c>
      <c r="AP25" s="45">
        <f>N50</f>
        <v>0</v>
      </c>
      <c r="AQ25" s="45">
        <f>Q50</f>
        <v>0</v>
      </c>
      <c r="AT25" s="71"/>
      <c r="AU25" s="72"/>
      <c r="AV25" s="75"/>
      <c r="AW25" s="75"/>
      <c r="AX25" s="75"/>
      <c r="AY25" s="72"/>
      <c r="AZ25" s="72"/>
      <c r="BA25" s="74"/>
    </row>
    <row r="26" spans="2:61" x14ac:dyDescent="0.25">
      <c r="B26" s="8" t="s">
        <v>42</v>
      </c>
      <c r="C26" s="55" t="s">
        <v>44</v>
      </c>
      <c r="M26" s="38" t="s">
        <v>20</v>
      </c>
      <c r="N26" s="43">
        <v>90</v>
      </c>
      <c r="O26" s="21" t="s">
        <v>21</v>
      </c>
      <c r="P26" s="39" t="str">
        <f>DEC2HEX(Q26*10000,8)</f>
        <v>000439C2</v>
      </c>
      <c r="Q26" s="40">
        <f>IF(N26&lt;&gt;"",N26/1000*'UDS Commands'!$C$21,0)</f>
        <v>27.692999999999998</v>
      </c>
      <c r="R26" s="49">
        <f>HEX2DEC(P26)</f>
        <v>276930</v>
      </c>
      <c r="S26" s="50"/>
      <c r="T26" s="50"/>
      <c r="U26" s="50"/>
      <c r="V26" s="12">
        <f>ROUND(Q26,0)</f>
        <v>28</v>
      </c>
      <c r="W26" s="50"/>
      <c r="X26" s="16" t="str">
        <f>ROUND(Q26,4) &amp;"% PWM"</f>
        <v>27.693% PWM</v>
      </c>
      <c r="Y26" s="65"/>
      <c r="Z26" s="15" t="str">
        <f>IF(N26="","0 mA",N26 &amp; " mA")</f>
        <v>90 mA</v>
      </c>
      <c r="AT26" s="71"/>
      <c r="AU26" s="72"/>
      <c r="AV26" s="75"/>
      <c r="AW26" s="75"/>
      <c r="AX26" s="75"/>
      <c r="AY26" s="72"/>
      <c r="AZ26" s="72"/>
      <c r="BA26" s="74"/>
    </row>
    <row r="27" spans="2:61" x14ac:dyDescent="0.25">
      <c r="B27" s="8" t="s">
        <v>45</v>
      </c>
      <c r="C27" s="55" t="s">
        <v>37</v>
      </c>
      <c r="M27" s="38" t="s">
        <v>23</v>
      </c>
      <c r="N27" s="44" t="s">
        <v>22</v>
      </c>
      <c r="O27" s="22" t="s">
        <v>23</v>
      </c>
      <c r="P27" s="23" t="str">
        <f>IF(N27="Straight","02",IF(N27="Straight+TrigOff","22",IF(N27="Ramp+TrigOff","A2",IF(N27="Ramp","82",IF(N27="Holding","42",IF(N27="None","00",IF(N27="","00")))))))</f>
        <v>42</v>
      </c>
      <c r="Q27" s="38"/>
      <c r="R27" s="52">
        <f>_xlfn.BITAND(P27,128)</f>
        <v>0</v>
      </c>
      <c r="S27" s="17"/>
      <c r="T27" s="17"/>
      <c r="U27" s="17"/>
      <c r="V27" s="17" t="str">
        <f t="shared" si="4"/>
        <v>42</v>
      </c>
      <c r="W27" s="17"/>
      <c r="X27" s="18" t="str">
        <f>IF(_xlfn.BITAND(HEX2DEC(P27),128)=128,"Ramp Option Active","")</f>
        <v/>
      </c>
      <c r="Y27" s="62" t="str">
        <f>IF(_xlfn.BITAND(HEX2DEC(P27),32)=32,"Trigger Off(Unlocking)","")</f>
        <v/>
      </c>
      <c r="Z27" s="19" t="str">
        <f>IF(_xlfn.BITAND(HEX2DEC(P27),64)=64,"Infinite Duration","")</f>
        <v>Infinite Duration</v>
      </c>
      <c r="AT27" s="71"/>
      <c r="AU27" s="72"/>
      <c r="AV27" s="75"/>
      <c r="AW27" s="75"/>
      <c r="AX27" s="75"/>
      <c r="AY27" s="72"/>
      <c r="AZ27" s="72"/>
      <c r="BA27" s="74"/>
    </row>
    <row r="28" spans="2:61" x14ac:dyDescent="0.25">
      <c r="B28" s="8" t="s">
        <v>46</v>
      </c>
      <c r="C28" s="55" t="s">
        <v>37</v>
      </c>
      <c r="X28" s="4"/>
      <c r="Y28" s="63"/>
      <c r="Z28" s="4"/>
      <c r="AT28" s="71"/>
      <c r="AU28" s="72"/>
      <c r="AV28" s="75"/>
      <c r="AW28" s="75"/>
      <c r="AX28" s="75"/>
      <c r="AY28" s="72"/>
      <c r="AZ28" s="72"/>
      <c r="BA28" s="74"/>
    </row>
    <row r="29" spans="2:61" x14ac:dyDescent="0.25">
      <c r="B29" s="8" t="s">
        <v>47</v>
      </c>
      <c r="C29" s="55" t="s">
        <v>37</v>
      </c>
      <c r="N29" s="35"/>
      <c r="O29" s="26"/>
      <c r="P29" s="27" t="s">
        <v>45</v>
      </c>
      <c r="Q29" s="35"/>
      <c r="R29" s="27"/>
      <c r="S29" s="28">
        <f>HEX2DEC(R31)/2</f>
        <v>300</v>
      </c>
      <c r="T29" s="28">
        <f>HEX2DEC(P32)</f>
        <v>215390</v>
      </c>
      <c r="U29" s="28" t="str">
        <f>IF(_xlfn.BITAND(HEX2DEC(P33),64)=64,"Infinite Duration","")</f>
        <v/>
      </c>
      <c r="V29" s="28" t="str">
        <f>IF(N33="Straight","True","")</f>
        <v>True</v>
      </c>
      <c r="W29" s="28">
        <f>N32</f>
        <v>70</v>
      </c>
      <c r="X29" s="27"/>
      <c r="Y29" s="59"/>
      <c r="Z29" s="29"/>
      <c r="AT29" s="71"/>
      <c r="AU29" s="72"/>
      <c r="AV29" s="75"/>
      <c r="AW29" s="75"/>
      <c r="AX29" s="75"/>
      <c r="AY29" s="72"/>
      <c r="AZ29" s="72"/>
      <c r="BA29" s="74"/>
    </row>
    <row r="30" spans="2:61" x14ac:dyDescent="0.25">
      <c r="B30" s="8" t="s">
        <v>48</v>
      </c>
      <c r="C30" s="56" t="s">
        <v>37</v>
      </c>
      <c r="M30" s="41"/>
      <c r="N30" s="37"/>
      <c r="O30" s="30" t="s">
        <v>11</v>
      </c>
      <c r="P30" s="24" t="str">
        <f>MID(DEC2HEX(N31*2,4),1,2)</f>
        <v>02</v>
      </c>
      <c r="Q30" s="36"/>
      <c r="R30" s="48"/>
      <c r="S30" s="31"/>
      <c r="T30" s="31"/>
      <c r="U30" s="31"/>
      <c r="V30" s="31" t="str">
        <f>DEC2HEX(HEX2DEC(P30),2)</f>
        <v>02</v>
      </c>
      <c r="W30" s="31"/>
      <c r="X30" s="32"/>
      <c r="Y30" s="64"/>
      <c r="Z30" s="33"/>
      <c r="AT30" s="71"/>
      <c r="AU30" s="72"/>
      <c r="AV30" s="75"/>
      <c r="AW30" s="75"/>
      <c r="AX30" s="75"/>
      <c r="AY30" s="72"/>
      <c r="AZ30" s="72"/>
      <c r="BA30" s="74"/>
    </row>
    <row r="31" spans="2:61" x14ac:dyDescent="0.25">
      <c r="D31" s="7"/>
      <c r="E31" s="7"/>
      <c r="M31" s="38" t="s">
        <v>14</v>
      </c>
      <c r="N31" s="42">
        <v>300</v>
      </c>
      <c r="O31" s="21" t="s">
        <v>15</v>
      </c>
      <c r="P31" s="25" t="str">
        <f>MID(DEC2HEX(N31*2,4),3,2)</f>
        <v>58</v>
      </c>
      <c r="Q31" s="36"/>
      <c r="R31" s="49" t="str">
        <f>P30&amp;""&amp;P31</f>
        <v>0258</v>
      </c>
      <c r="S31" s="50"/>
      <c r="T31" s="50"/>
      <c r="U31" s="50"/>
      <c r="V31" s="50" t="str">
        <f t="shared" ref="V31:V33" si="5">DEC2HEX(HEX2DEC(P31),2)</f>
        <v>58</v>
      </c>
      <c r="W31" s="50"/>
      <c r="X31" s="51" t="str">
        <f>HEX2DEC(R31)/2 &amp;"ms"</f>
        <v>300ms</v>
      </c>
      <c r="Y31" s="65"/>
      <c r="Z31" s="15"/>
      <c r="AT31" s="71"/>
      <c r="AU31" s="72"/>
      <c r="AV31" s="72"/>
      <c r="AW31" s="72"/>
      <c r="AX31" s="72"/>
      <c r="AY31" s="72"/>
      <c r="AZ31" s="72"/>
      <c r="BA31" s="74"/>
    </row>
    <row r="32" spans="2:61" x14ac:dyDescent="0.25">
      <c r="M32" s="38" t="s">
        <v>20</v>
      </c>
      <c r="N32" s="43">
        <v>70</v>
      </c>
      <c r="O32" s="21" t="s">
        <v>21</v>
      </c>
      <c r="P32" s="39" t="str">
        <f>DEC2HEX(Q32*10000,8)</f>
        <v>0003495E</v>
      </c>
      <c r="Q32" s="40">
        <f>IF(N32&lt;&gt;"",N32/1000*'UDS Commands'!$C$21,0)</f>
        <v>21.539000000000001</v>
      </c>
      <c r="R32" s="49">
        <f>HEX2DEC(P32)</f>
        <v>215390</v>
      </c>
      <c r="S32" s="50"/>
      <c r="T32" s="50"/>
      <c r="U32" s="50"/>
      <c r="V32" s="12">
        <f>ROUND(Q32,0)</f>
        <v>22</v>
      </c>
      <c r="W32" s="50"/>
      <c r="X32" s="16" t="str">
        <f>ROUND(Q32,4) &amp;"% PWM"</f>
        <v>21.539% PWM</v>
      </c>
      <c r="Y32" s="65"/>
      <c r="Z32" s="15" t="str">
        <f>IF(N32="","0 mA",N32 &amp; " mA")</f>
        <v>70 mA</v>
      </c>
      <c r="AT32" s="71"/>
      <c r="AU32" s="72"/>
      <c r="AV32" s="72"/>
      <c r="AW32" s="72"/>
      <c r="AX32" s="72"/>
      <c r="AY32" s="72"/>
      <c r="AZ32" s="72"/>
      <c r="BA32" s="74"/>
    </row>
    <row r="33" spans="2:53" x14ac:dyDescent="0.25">
      <c r="M33" s="38" t="s">
        <v>23</v>
      </c>
      <c r="N33" s="44" t="s">
        <v>16</v>
      </c>
      <c r="O33" s="22" t="s">
        <v>23</v>
      </c>
      <c r="P33" s="23" t="str">
        <f>IF(N33="Straight","02",IF(N33="Ramp","82",IF(N33="Holding","42",IF(N33="None","00",IF(N33="","00")))))</f>
        <v>02</v>
      </c>
      <c r="Q33" s="38"/>
      <c r="R33" s="52">
        <f>_xlfn.BITAND(P33,128)</f>
        <v>0</v>
      </c>
      <c r="S33" s="17"/>
      <c r="T33" s="17"/>
      <c r="U33" s="17"/>
      <c r="V33" s="17" t="str">
        <f t="shared" si="5"/>
        <v>02</v>
      </c>
      <c r="W33" s="17"/>
      <c r="X33" s="18" t="str">
        <f>IF(_xlfn.BITAND(HEX2DEC(P33),128)=128,"Ramp Option Active","")</f>
        <v/>
      </c>
      <c r="Y33" s="62" t="str">
        <f>IF(_xlfn.BITAND(HEX2DEC(P33),32)=32,"Trigger Off(Unlocking)","")</f>
        <v/>
      </c>
      <c r="Z33" s="19" t="str">
        <f>IF(_xlfn.BITAND(HEX2DEC(P33),64)=64,"Infinite Duration","")</f>
        <v/>
      </c>
      <c r="AT33" s="71"/>
      <c r="AU33" s="72"/>
      <c r="AV33" s="72"/>
      <c r="AW33" s="72"/>
      <c r="AX33" s="72"/>
      <c r="AY33" s="72"/>
      <c r="AZ33" s="72"/>
      <c r="BA33" s="74"/>
    </row>
    <row r="34" spans="2:53" x14ac:dyDescent="0.25">
      <c r="X34" s="4"/>
      <c r="Y34" s="63"/>
      <c r="Z34" s="4"/>
      <c r="AT34" s="71"/>
      <c r="AU34" s="72"/>
      <c r="AV34" s="72"/>
      <c r="AW34" s="72"/>
      <c r="AX34" s="72"/>
      <c r="AY34" s="72"/>
      <c r="AZ34" s="72"/>
      <c r="BA34" s="74"/>
    </row>
    <row r="35" spans="2:53" x14ac:dyDescent="0.25">
      <c r="N35" s="35"/>
      <c r="O35" s="26"/>
      <c r="P35" s="27" t="s">
        <v>46</v>
      </c>
      <c r="Q35" s="35"/>
      <c r="R35" s="27"/>
      <c r="S35" s="28">
        <f>HEX2DEC(R37)/2</f>
        <v>18</v>
      </c>
      <c r="T35" s="28">
        <f>HEX2DEC(P38)</f>
        <v>61540</v>
      </c>
      <c r="U35" s="28" t="str">
        <f>IF(_xlfn.BITAND(HEX2DEC(P39),64)=64,"Infinite Duration","")</f>
        <v/>
      </c>
      <c r="V35" s="28" t="str">
        <f>IF(N39="Straight","True","")</f>
        <v>True</v>
      </c>
      <c r="W35" s="28">
        <f>N38</f>
        <v>20</v>
      </c>
      <c r="X35" s="27"/>
      <c r="Y35" s="59"/>
      <c r="Z35" s="29"/>
      <c r="AT35" s="71"/>
      <c r="AU35" s="72"/>
      <c r="AV35" s="72"/>
      <c r="AW35" s="72"/>
      <c r="AX35" s="72"/>
      <c r="AY35" s="72"/>
      <c r="AZ35" s="72"/>
      <c r="BA35" s="74"/>
    </row>
    <row r="36" spans="2:53" ht="18" x14ac:dyDescent="0.25">
      <c r="B36" s="6"/>
      <c r="M36" s="41"/>
      <c r="N36" s="37"/>
      <c r="O36" s="30" t="s">
        <v>11</v>
      </c>
      <c r="P36" s="24" t="str">
        <f>MID(DEC2HEX(N37*2,4),1,2)</f>
        <v>00</v>
      </c>
      <c r="Q36" s="36"/>
      <c r="R36" s="48"/>
      <c r="S36" s="31"/>
      <c r="T36" s="31"/>
      <c r="U36" s="31"/>
      <c r="V36" s="31" t="str">
        <f>DEC2HEX(HEX2DEC(P36),2)</f>
        <v>00</v>
      </c>
      <c r="W36" s="31"/>
      <c r="X36" s="32"/>
      <c r="Y36" s="64"/>
      <c r="Z36" s="33"/>
      <c r="AT36" s="71"/>
      <c r="AU36" s="72"/>
      <c r="AV36" s="72"/>
      <c r="AW36" s="72"/>
      <c r="AX36" s="72"/>
      <c r="AY36" s="72"/>
      <c r="AZ36" s="72"/>
      <c r="BA36" s="74"/>
    </row>
    <row r="37" spans="2:53" x14ac:dyDescent="0.25">
      <c r="M37" s="38" t="s">
        <v>14</v>
      </c>
      <c r="N37" s="42">
        <v>18</v>
      </c>
      <c r="O37" s="21" t="s">
        <v>15</v>
      </c>
      <c r="P37" s="25" t="str">
        <f>MID(DEC2HEX(N37*2,4),3,2)</f>
        <v>24</v>
      </c>
      <c r="Q37" s="36"/>
      <c r="R37" s="49" t="str">
        <f>P36&amp;""&amp;P37</f>
        <v>0024</v>
      </c>
      <c r="S37" s="50"/>
      <c r="T37" s="50"/>
      <c r="U37" s="50"/>
      <c r="V37" s="50" t="str">
        <f t="shared" ref="V37:V39" si="6">DEC2HEX(HEX2DEC(P37),2)</f>
        <v>24</v>
      </c>
      <c r="W37" s="50"/>
      <c r="X37" s="51" t="str">
        <f>HEX2DEC(R37)/2 &amp;"ms"</f>
        <v>18ms</v>
      </c>
      <c r="Y37" s="65"/>
      <c r="Z37" s="15"/>
      <c r="AT37" s="71"/>
      <c r="AU37" s="72"/>
      <c r="AV37" s="72"/>
      <c r="AW37" s="72"/>
      <c r="AX37" s="72"/>
      <c r="AY37" s="72"/>
      <c r="AZ37" s="72"/>
      <c r="BA37" s="74"/>
    </row>
    <row r="38" spans="2:53" x14ac:dyDescent="0.25">
      <c r="M38" s="38" t="s">
        <v>20</v>
      </c>
      <c r="N38" s="43">
        <v>20</v>
      </c>
      <c r="O38" s="21" t="s">
        <v>21</v>
      </c>
      <c r="P38" s="23" t="str">
        <f>DEC2HEX(Q38*10000,8)</f>
        <v>0000F064</v>
      </c>
      <c r="Q38" s="40">
        <f>IF(N38&lt;&gt;"",N38/1000*'UDS Commands'!$C$21,0)</f>
        <v>6.1539999999999999</v>
      </c>
      <c r="R38" s="49">
        <f>HEX2DEC(P38)</f>
        <v>61540</v>
      </c>
      <c r="S38" s="50"/>
      <c r="T38" s="50"/>
      <c r="U38" s="50"/>
      <c r="V38" s="12">
        <f>ROUND(Q38,0)</f>
        <v>6</v>
      </c>
      <c r="W38" s="50"/>
      <c r="X38" s="16" t="str">
        <f>ROUND(Q38,4) &amp;"% PWM"</f>
        <v>6.154% PWM</v>
      </c>
      <c r="Y38" s="65"/>
      <c r="Z38" s="15" t="str">
        <f>IF(N38="","0 mA",N38 &amp; " mA")</f>
        <v>20 mA</v>
      </c>
      <c r="AT38" s="71"/>
      <c r="AU38" s="72"/>
      <c r="AV38" s="72"/>
      <c r="AW38" s="72"/>
      <c r="AX38" s="72"/>
      <c r="AY38" s="72"/>
      <c r="AZ38" s="72"/>
      <c r="BA38" s="74"/>
    </row>
    <row r="39" spans="2:53" x14ac:dyDescent="0.25">
      <c r="M39" s="38" t="s">
        <v>23</v>
      </c>
      <c r="N39" s="44" t="s">
        <v>16</v>
      </c>
      <c r="O39" s="22" t="s">
        <v>23</v>
      </c>
      <c r="P39" s="23" t="str">
        <f>IF(N39="Straight","02",IF(N39="Ramp","82",IF(N39="Holding","42",IF(N39="None","00",IF(N39="","00")))))</f>
        <v>02</v>
      </c>
      <c r="Q39" s="38"/>
      <c r="R39" s="52">
        <f>_xlfn.BITAND(P39,128)</f>
        <v>0</v>
      </c>
      <c r="S39" s="17"/>
      <c r="T39" s="17"/>
      <c r="U39" s="17"/>
      <c r="V39" s="17" t="str">
        <f t="shared" si="6"/>
        <v>02</v>
      </c>
      <c r="W39" s="17"/>
      <c r="X39" s="18" t="str">
        <f>IF(_xlfn.BITAND(HEX2DEC(P39),128)=128,"Ramp Option Active","")</f>
        <v/>
      </c>
      <c r="Y39" s="62" t="str">
        <f>IF(_xlfn.BITAND(HEX2DEC(P39),32)=32,"Trigger Off(Unlocking)","")</f>
        <v/>
      </c>
      <c r="Z39" s="19" t="str">
        <f>IF(_xlfn.BITAND(HEX2DEC(P39),64)=64,"Infinite Duration","")</f>
        <v/>
      </c>
      <c r="AT39" s="71"/>
      <c r="AU39" s="72"/>
      <c r="AV39" s="72"/>
      <c r="AW39" s="72"/>
      <c r="AX39" s="72"/>
      <c r="AY39" s="72"/>
      <c r="AZ39" s="72"/>
      <c r="BA39" s="74"/>
    </row>
    <row r="40" spans="2:53" x14ac:dyDescent="0.25">
      <c r="AT40" s="71"/>
      <c r="AU40" s="72"/>
      <c r="AV40" s="72"/>
      <c r="AW40" s="72"/>
      <c r="AX40" s="72"/>
      <c r="AY40" s="72"/>
      <c r="AZ40" s="72"/>
      <c r="BA40" s="74" t="str">
        <f t="shared" ref="BA40:BA51" si="7">DEC2HEX(HEX2DEC(C19),2)</f>
        <v>FF</v>
      </c>
    </row>
    <row r="41" spans="2:53" x14ac:dyDescent="0.25">
      <c r="N41" s="35"/>
      <c r="O41" s="26"/>
      <c r="P41" s="27" t="s">
        <v>47</v>
      </c>
      <c r="Q41" s="35"/>
      <c r="R41" s="27"/>
      <c r="S41" s="28">
        <f>HEX2DEC(R43)/2</f>
        <v>498</v>
      </c>
      <c r="T41" s="28">
        <f>HEX2DEC(P44)</f>
        <v>55386</v>
      </c>
      <c r="U41" s="28" t="str">
        <f>IF(_xlfn.BITAND(HEX2DEC(P45),64)=64,"Infinite Duration","")</f>
        <v/>
      </c>
      <c r="V41" s="28" t="str">
        <f>IF(N45="Straight","True","")</f>
        <v>True</v>
      </c>
      <c r="W41" s="28">
        <f>N44</f>
        <v>18</v>
      </c>
      <c r="X41" s="27"/>
      <c r="Y41" s="59"/>
      <c r="Z41" s="29"/>
      <c r="AT41" s="71"/>
      <c r="AU41" s="72"/>
      <c r="AV41" s="72"/>
      <c r="AW41" s="72"/>
      <c r="AX41" s="72"/>
      <c r="AY41" s="72"/>
      <c r="AZ41" s="72"/>
      <c r="BA41" s="74" t="str">
        <f t="shared" si="7"/>
        <v>FF</v>
      </c>
    </row>
    <row r="42" spans="2:53" x14ac:dyDescent="0.25">
      <c r="M42" s="41"/>
      <c r="N42" s="37"/>
      <c r="O42" s="30" t="s">
        <v>11</v>
      </c>
      <c r="P42" s="24" t="str">
        <f>MID(DEC2HEX(N43*2,4),1,2)</f>
        <v>03</v>
      </c>
      <c r="Q42" s="36"/>
      <c r="R42" s="48"/>
      <c r="S42" s="31"/>
      <c r="T42" s="31"/>
      <c r="U42" s="31"/>
      <c r="V42" s="31" t="str">
        <f>DEC2HEX(HEX2DEC(P42),2)</f>
        <v>03</v>
      </c>
      <c r="W42" s="31"/>
      <c r="X42" s="32"/>
      <c r="Y42" s="64"/>
      <c r="Z42" s="33"/>
      <c r="AT42" s="71"/>
      <c r="AU42" s="72"/>
      <c r="AV42" s="72"/>
      <c r="AW42" s="72"/>
      <c r="AX42" s="72"/>
      <c r="AY42" s="72"/>
      <c r="AZ42" s="72"/>
      <c r="BA42" s="74" t="str">
        <f t="shared" si="7"/>
        <v>FF</v>
      </c>
    </row>
    <row r="43" spans="2:53" x14ac:dyDescent="0.25">
      <c r="M43" s="38" t="s">
        <v>14</v>
      </c>
      <c r="N43" s="42">
        <v>498</v>
      </c>
      <c r="O43" s="21" t="s">
        <v>15</v>
      </c>
      <c r="P43" s="25" t="str">
        <f>MID(DEC2HEX(N43*2,4),3,2)</f>
        <v>E4</v>
      </c>
      <c r="Q43" s="36"/>
      <c r="R43" s="49" t="str">
        <f>P42&amp;""&amp;P43</f>
        <v>03E4</v>
      </c>
      <c r="S43" s="50"/>
      <c r="T43" s="50"/>
      <c r="U43" s="50"/>
      <c r="V43" s="50" t="str">
        <f t="shared" ref="V43:V45" si="8">DEC2HEX(HEX2DEC(P43),2)</f>
        <v>E4</v>
      </c>
      <c r="W43" s="50"/>
      <c r="X43" s="51" t="str">
        <f>HEX2DEC(R43)/2 &amp;"ms"</f>
        <v>498ms</v>
      </c>
      <c r="Y43" s="65"/>
      <c r="Z43" s="15"/>
      <c r="AT43" s="46"/>
      <c r="AU43" s="47"/>
      <c r="AV43" s="47"/>
      <c r="AW43" s="47"/>
      <c r="AX43" s="47"/>
      <c r="AY43" s="47"/>
      <c r="AZ43" s="72"/>
      <c r="BA43" s="74" t="str">
        <f t="shared" si="7"/>
        <v>01</v>
      </c>
    </row>
    <row r="44" spans="2:53" x14ac:dyDescent="0.25">
      <c r="M44" s="38" t="s">
        <v>20</v>
      </c>
      <c r="N44" s="43">
        <v>18</v>
      </c>
      <c r="O44" s="21" t="s">
        <v>21</v>
      </c>
      <c r="P44" s="39" t="str">
        <f>DEC2HEX(Q44*10000,8)</f>
        <v>0000D85A</v>
      </c>
      <c r="Q44" s="40">
        <f>IF(N44&lt;&gt;"",N44/1000*'UDS Commands'!$C$21,0)</f>
        <v>5.5385999999999997</v>
      </c>
      <c r="R44" s="49">
        <f>HEX2DEC(P44)</f>
        <v>55386</v>
      </c>
      <c r="S44" s="50"/>
      <c r="T44" s="50"/>
      <c r="U44" s="50"/>
      <c r="V44" s="12">
        <f>ROUND(Q44,0)</f>
        <v>6</v>
      </c>
      <c r="W44" s="50"/>
      <c r="X44" s="16" t="str">
        <f>ROUND(Q44,4) &amp;"% PWM"</f>
        <v>5.5386% PWM</v>
      </c>
      <c r="Y44" s="65"/>
      <c r="Z44" s="15" t="str">
        <f>IF(N44="","0 mA",N44 &amp; " mA")</f>
        <v>18 mA</v>
      </c>
      <c r="AT44" s="46"/>
      <c r="AU44" s="47"/>
      <c r="AV44" s="47"/>
      <c r="AW44" s="47"/>
      <c r="AX44" s="47"/>
      <c r="AY44" s="47"/>
      <c r="AZ44" s="72"/>
      <c r="BA44" s="74" t="str">
        <f t="shared" si="7"/>
        <v>05</v>
      </c>
    </row>
    <row r="45" spans="2:53" x14ac:dyDescent="0.25">
      <c r="M45" s="38" t="s">
        <v>23</v>
      </c>
      <c r="N45" s="44" t="s">
        <v>16</v>
      </c>
      <c r="O45" s="22" t="s">
        <v>23</v>
      </c>
      <c r="P45" s="23" t="str">
        <f>IF(N45="Straight","02",IF(N45="Ramp","82",IF(N45="Holding","42",IF(N45="None","00",IF(N45="","00")))))</f>
        <v>02</v>
      </c>
      <c r="Q45" s="38"/>
      <c r="R45" s="52">
        <f>_xlfn.BITAND(P45,128)</f>
        <v>0</v>
      </c>
      <c r="S45" s="17"/>
      <c r="T45" s="17"/>
      <c r="U45" s="17"/>
      <c r="V45" s="17" t="str">
        <f t="shared" si="8"/>
        <v>02</v>
      </c>
      <c r="W45" s="17"/>
      <c r="X45" s="18" t="str">
        <f>IF(_xlfn.BITAND(HEX2DEC(P45),128)=128,"Ramp Option Active","")</f>
        <v/>
      </c>
      <c r="Y45" s="62" t="str">
        <f>IF(_xlfn.BITAND(HEX2DEC(P45),32)=32,"Trigger Off(Unlocking)","")</f>
        <v/>
      </c>
      <c r="Z45" s="19" t="str">
        <f>IF(_xlfn.BITAND(HEX2DEC(P45),64)=64,"Infinite Duration","")</f>
        <v/>
      </c>
      <c r="AT45" s="46"/>
      <c r="AU45" s="47"/>
      <c r="AV45" s="47"/>
      <c r="AW45" s="47"/>
      <c r="AX45" s="47"/>
      <c r="AY45" s="47"/>
      <c r="AZ45" s="72"/>
      <c r="BA45" s="74" t="str">
        <f t="shared" si="7"/>
        <v>00</v>
      </c>
    </row>
    <row r="46" spans="2:53" x14ac:dyDescent="0.25">
      <c r="AT46" s="46"/>
      <c r="AU46" s="47"/>
      <c r="AV46" s="47"/>
      <c r="AW46" s="47"/>
      <c r="AX46" s="47"/>
      <c r="AY46" s="47"/>
      <c r="AZ46" s="72"/>
      <c r="BA46" s="74" t="str">
        <f t="shared" si="7"/>
        <v>02</v>
      </c>
    </row>
    <row r="47" spans="2:53" x14ac:dyDescent="0.25">
      <c r="N47" s="35"/>
      <c r="O47" s="26"/>
      <c r="P47" s="27" t="s">
        <v>48</v>
      </c>
      <c r="Q47" s="35"/>
      <c r="R47" s="27"/>
      <c r="S47" s="28">
        <f>HEX2DEC(R49)/2</f>
        <v>0</v>
      </c>
      <c r="T47" s="28">
        <f>HEX2DEC(P50)</f>
        <v>0</v>
      </c>
      <c r="U47" s="28" t="str">
        <f>IF(_xlfn.BITAND(HEX2DEC(P51),64)=64,"Infinite Duration","")</f>
        <v/>
      </c>
      <c r="V47" s="28" t="str">
        <f>IF(N51="Straight","True","")</f>
        <v/>
      </c>
      <c r="W47" s="28">
        <f>N49</f>
        <v>0</v>
      </c>
      <c r="X47" s="27"/>
      <c r="Y47" s="59"/>
      <c r="Z47" s="29"/>
      <c r="AT47" s="46"/>
      <c r="AU47" s="47"/>
      <c r="AV47" s="47"/>
      <c r="AW47" s="47"/>
      <c r="AX47" s="47"/>
      <c r="AY47" s="47"/>
      <c r="AZ47" s="72"/>
      <c r="BA47" s="74" t="str">
        <f t="shared" si="7"/>
        <v>03</v>
      </c>
    </row>
    <row r="48" spans="2:53" x14ac:dyDescent="0.25">
      <c r="M48" s="41"/>
      <c r="N48" s="37"/>
      <c r="O48" s="30" t="s">
        <v>11</v>
      </c>
      <c r="P48" s="24" t="str">
        <f>MID(DEC2HEX(N49*2,4),1,2)</f>
        <v>00</v>
      </c>
      <c r="Q48" s="36"/>
      <c r="R48" s="48"/>
      <c r="S48" s="31"/>
      <c r="T48" s="31"/>
      <c r="U48" s="31"/>
      <c r="V48" s="31" t="str">
        <f>DEC2HEX(HEX2DEC(P48),2)</f>
        <v>00</v>
      </c>
      <c r="W48" s="31"/>
      <c r="X48" s="32"/>
      <c r="Y48" s="64"/>
      <c r="Z48" s="33"/>
      <c r="AT48" s="46"/>
      <c r="AU48" s="47"/>
      <c r="AV48" s="47"/>
      <c r="AW48" s="47"/>
      <c r="AX48" s="47"/>
      <c r="AY48" s="47"/>
      <c r="AZ48" s="72"/>
      <c r="BA48" s="74" t="str">
        <f>DEC2HEX(HEX2DEC(C27),2)</f>
        <v>FF</v>
      </c>
    </row>
    <row r="49" spans="13:53" x14ac:dyDescent="0.25">
      <c r="M49" s="38" t="s">
        <v>14</v>
      </c>
      <c r="N49" s="42"/>
      <c r="O49" s="21" t="s">
        <v>15</v>
      </c>
      <c r="P49" s="25" t="str">
        <f>MID(DEC2HEX(N49*2,4),3,2)</f>
        <v>00</v>
      </c>
      <c r="Q49" s="36"/>
      <c r="R49" s="49" t="str">
        <f>P48&amp;""&amp;P49</f>
        <v>0000</v>
      </c>
      <c r="S49" s="50"/>
      <c r="T49" s="50"/>
      <c r="U49" s="50"/>
      <c r="V49" s="50" t="str">
        <f t="shared" ref="V49:V51" si="9">DEC2HEX(HEX2DEC(P49),2)</f>
        <v>00</v>
      </c>
      <c r="W49" s="50"/>
      <c r="X49" s="51" t="str">
        <f>HEX2DEC(R49)/2 &amp;"ms"</f>
        <v>0ms</v>
      </c>
      <c r="Y49" s="65"/>
      <c r="Z49" s="15"/>
      <c r="AT49" s="46"/>
      <c r="AU49" s="47"/>
      <c r="AV49" s="47"/>
      <c r="AW49" s="47"/>
      <c r="AX49" s="47"/>
      <c r="AY49" s="47"/>
      <c r="AZ49" s="72"/>
      <c r="BA49" s="74" t="str">
        <f t="shared" si="7"/>
        <v>FF</v>
      </c>
    </row>
    <row r="50" spans="13:53" x14ac:dyDescent="0.25">
      <c r="M50" s="38" t="s">
        <v>20</v>
      </c>
      <c r="N50" s="43"/>
      <c r="O50" s="21" t="s">
        <v>21</v>
      </c>
      <c r="P50" s="39" t="str">
        <f>DEC2HEX(Q50*10000,8)</f>
        <v>00000000</v>
      </c>
      <c r="Q50" s="40">
        <f>IF(N50&lt;&gt;"",N50/1000*'UDS Commands'!$C$21,0)</f>
        <v>0</v>
      </c>
      <c r="R50" s="49">
        <f>HEX2DEC(P50)</f>
        <v>0</v>
      </c>
      <c r="S50" s="50"/>
      <c r="T50" s="50"/>
      <c r="U50" s="50"/>
      <c r="V50" s="12">
        <f>ROUND(Q50,0)</f>
        <v>0</v>
      </c>
      <c r="W50" s="50"/>
      <c r="X50" s="16" t="str">
        <f>ROUND(Q50,4) &amp;"% PWM"</f>
        <v>0% PWM</v>
      </c>
      <c r="Y50" s="65"/>
      <c r="Z50" s="15" t="str">
        <f>IF(N50="","0 mA",N50 &amp; " mA")</f>
        <v>0 mA</v>
      </c>
      <c r="AT50" s="46"/>
      <c r="AU50" s="47"/>
      <c r="AV50" s="47"/>
      <c r="AW50" s="47"/>
      <c r="AX50" s="47"/>
      <c r="AY50" s="47"/>
      <c r="AZ50" s="72"/>
      <c r="BA50" s="74" t="str">
        <f t="shared" si="7"/>
        <v>FF</v>
      </c>
    </row>
    <row r="51" spans="13:53" x14ac:dyDescent="0.25">
      <c r="M51" s="38" t="s">
        <v>23</v>
      </c>
      <c r="N51" s="44"/>
      <c r="O51" s="22" t="s">
        <v>23</v>
      </c>
      <c r="P51" s="23" t="str">
        <f>IF(N51="Straight","02",IF(N51="Ramp","82",IF(N51="Holding","42",IF(N51="None","00",IF(N51="","00")))))</f>
        <v>00</v>
      </c>
      <c r="Q51" s="38"/>
      <c r="R51" s="52">
        <f>_xlfn.BITAND(P51,128)</f>
        <v>0</v>
      </c>
      <c r="S51" s="17"/>
      <c r="T51" s="17"/>
      <c r="U51" s="17"/>
      <c r="V51" s="17" t="str">
        <f t="shared" si="9"/>
        <v>00</v>
      </c>
      <c r="W51" s="17"/>
      <c r="X51" s="18" t="str">
        <f>IF(_xlfn.BITAND(HEX2DEC(P51),128)=128,"Ramp Option Active","")</f>
        <v/>
      </c>
      <c r="Y51" s="62" t="str">
        <f>IF(_xlfn.BITAND(HEX2DEC(P51),32)=32,"Trigger Off(Unlocking)","")</f>
        <v/>
      </c>
      <c r="Z51" s="19" t="str">
        <f>IF(_xlfn.BITAND(HEX2DEC(P51),64)=64,"Infinite Duration","")</f>
        <v/>
      </c>
      <c r="AT51" s="77"/>
      <c r="AU51" s="78"/>
      <c r="AV51" s="78"/>
      <c r="AW51" s="78"/>
      <c r="AX51" s="78"/>
      <c r="AY51" s="78"/>
      <c r="AZ51" s="78"/>
      <c r="BA51" s="79" t="str">
        <f t="shared" si="7"/>
        <v>FF</v>
      </c>
    </row>
  </sheetData>
  <mergeCells count="20">
    <mergeCell ref="G1:M2"/>
    <mergeCell ref="C4:J4"/>
    <mergeCell ref="B5:B7"/>
    <mergeCell ref="C5:J5"/>
    <mergeCell ref="C6:J6"/>
    <mergeCell ref="C7:J7"/>
    <mergeCell ref="K5:K7"/>
    <mergeCell ref="C8:J10"/>
    <mergeCell ref="B11:B17"/>
    <mergeCell ref="C11:J11"/>
    <mergeCell ref="K11:K17"/>
    <mergeCell ref="B8:B10"/>
    <mergeCell ref="K8:K10"/>
    <mergeCell ref="C13:H13"/>
    <mergeCell ref="I13:I17"/>
    <mergeCell ref="J13:J17"/>
    <mergeCell ref="C14:H14"/>
    <mergeCell ref="C15:H15"/>
    <mergeCell ref="C16:H16"/>
    <mergeCell ref="C17:H17"/>
  </mergeCells>
  <dataValidations count="2">
    <dataValidation type="list" allowBlank="1" showInputMessage="1" showErrorMessage="1" sqref="N51 N39 N45 N33" xr:uid="{E8F4BC1A-6870-4F05-9844-C6A570826470}">
      <formula1>$AQ$6:$AQ$8</formula1>
    </dataValidation>
    <dataValidation type="list" allowBlank="1" showInputMessage="1" showErrorMessage="1" sqref="N9 N27 N21 N15" xr:uid="{32730C7E-27AD-4172-950C-91B6F715E462}">
      <formula1>$AQ$6:$AQ$15</formula1>
    </dataValidation>
  </dataValidations>
  <pageMargins left="0.7" right="0.7" top="0.75" bottom="0.75" header="0.3" footer="0.3"/>
  <pageSetup orientation="portrait" horizontalDpi="1200" verticalDpi="1200" r:id="rId1"/>
  <ignoredErrors>
    <ignoredError sqref="C2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3355-5340-4864-B8F9-E26A989B0F84}">
  <dimension ref="B1:BI51"/>
  <sheetViews>
    <sheetView zoomScale="85" zoomScaleNormal="85" workbookViewId="0">
      <selection activeCell="N1" sqref="N1:N1048576"/>
    </sheetView>
  </sheetViews>
  <sheetFormatPr defaultRowHeight="15" x14ac:dyDescent="0.25"/>
  <cols>
    <col min="2" max="2" width="16.28515625" bestFit="1" customWidth="1"/>
    <col min="5" max="5" width="14.28515625" customWidth="1"/>
    <col min="6" max="6" width="13.140625" bestFit="1" customWidth="1"/>
    <col min="9" max="9" width="13.140625" bestFit="1" customWidth="1"/>
    <col min="11" max="11" width="26" customWidth="1"/>
    <col min="12" max="12" width="13.140625" bestFit="1" customWidth="1"/>
    <col min="13" max="13" width="17.140625" customWidth="1"/>
    <col min="14" max="14" width="16" style="34" bestFit="1" customWidth="1"/>
    <col min="15" max="16" width="13.28515625" bestFit="1" customWidth="1"/>
    <col min="17" max="17" width="13.28515625" style="34" hidden="1" customWidth="1"/>
    <col min="18" max="18" width="7.42578125" hidden="1" customWidth="1"/>
    <col min="19" max="23" width="12.7109375" hidden="1" customWidth="1"/>
    <col min="24" max="24" width="19.28515625" bestFit="1" customWidth="1"/>
    <col min="25" max="25" width="19.28515625" style="58" customWidth="1"/>
    <col min="26" max="26" width="15.85546875" bestFit="1" customWidth="1"/>
    <col min="27" max="27" width="12.42578125" customWidth="1"/>
    <col min="28" max="28" width="16.85546875" customWidth="1"/>
    <col min="29" max="29" width="68.7109375" bestFit="1" customWidth="1"/>
    <col min="30" max="30" width="9.28515625" bestFit="1" customWidth="1"/>
    <col min="41" max="41" width="8" customWidth="1"/>
    <col min="42" max="42" width="14.140625" customWidth="1"/>
    <col min="43" max="43" width="16.7109375" bestFit="1" customWidth="1"/>
    <col min="44" max="44" width="6.42578125" bestFit="1" customWidth="1"/>
    <col min="45" max="45" width="5" customWidth="1"/>
    <col min="46" max="46" width="43.140625" bestFit="1" customWidth="1"/>
    <col min="47" max="47" width="13.28515625" customWidth="1"/>
    <col min="48" max="48" width="8.7109375" bestFit="1" customWidth="1"/>
    <col min="49" max="49" width="8.7109375" customWidth="1"/>
    <col min="50" max="50" width="7.140625" bestFit="1" customWidth="1"/>
    <col min="51" max="51" width="22.85546875" bestFit="1" customWidth="1"/>
    <col min="52" max="52" width="16.7109375" bestFit="1" customWidth="1"/>
    <col min="53" max="53" width="18.85546875" customWidth="1"/>
  </cols>
  <sheetData>
    <row r="1" spans="2:54" x14ac:dyDescent="0.25">
      <c r="G1" s="119" t="s">
        <v>0</v>
      </c>
      <c r="H1" s="119"/>
      <c r="I1" s="119"/>
      <c r="J1" s="119"/>
      <c r="K1" s="119"/>
      <c r="L1" s="119"/>
      <c r="M1" s="119"/>
    </row>
    <row r="2" spans="2:54" x14ac:dyDescent="0.25">
      <c r="G2" s="119"/>
      <c r="H2" s="119"/>
      <c r="I2" s="119"/>
      <c r="J2" s="119"/>
      <c r="K2" s="119"/>
      <c r="L2" s="119"/>
      <c r="M2" s="119"/>
    </row>
    <row r="3" spans="2:54" ht="15.75" thickBot="1" x14ac:dyDescent="0.3"/>
    <row r="4" spans="2:54" ht="15.75" customHeight="1" thickBot="1" x14ac:dyDescent="0.3">
      <c r="B4" s="1" t="s">
        <v>1</v>
      </c>
      <c r="C4" s="120" t="s">
        <v>2</v>
      </c>
      <c r="D4" s="121"/>
      <c r="E4" s="121"/>
      <c r="F4" s="121"/>
      <c r="G4" s="121"/>
      <c r="H4" s="121"/>
      <c r="I4" s="121"/>
      <c r="J4" s="122"/>
      <c r="K4" s="80" t="s">
        <v>3</v>
      </c>
      <c r="N4"/>
      <c r="Q4" s="34" t="s">
        <v>4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</row>
    <row r="5" spans="2:54" ht="18" customHeight="1" x14ac:dyDescent="0.25">
      <c r="B5" s="103" t="s">
        <v>6</v>
      </c>
      <c r="C5" s="123" t="s">
        <v>52</v>
      </c>
      <c r="D5" s="109"/>
      <c r="E5" s="109"/>
      <c r="F5" s="109"/>
      <c r="G5" s="109"/>
      <c r="H5" s="109"/>
      <c r="I5" s="109"/>
      <c r="J5" s="124"/>
      <c r="K5" s="106" t="s">
        <v>7</v>
      </c>
      <c r="N5" s="35"/>
      <c r="O5" s="26"/>
      <c r="P5" s="27" t="s">
        <v>8</v>
      </c>
      <c r="Q5" s="35"/>
      <c r="R5" s="28"/>
      <c r="S5" s="28">
        <f>HEX2DEC(R7)/2</f>
        <v>12</v>
      </c>
      <c r="T5" s="28">
        <f>HEX2DEC(P8)</f>
        <v>830790</v>
      </c>
      <c r="U5" s="28" t="str">
        <f>IF(_xlfn.BITAND(HEX2DEC(P9),64)=64,"Infinite Duration","")</f>
        <v/>
      </c>
      <c r="V5" s="28" t="str">
        <f>IF(N9="Straight","True","")</f>
        <v>True</v>
      </c>
      <c r="W5" s="28">
        <f>N8</f>
        <v>270</v>
      </c>
      <c r="X5" s="27"/>
      <c r="Y5" s="59"/>
      <c r="Z5" s="29"/>
      <c r="AT5" s="68" t="s">
        <v>9</v>
      </c>
      <c r="AU5" s="69"/>
      <c r="AV5" s="69"/>
      <c r="AW5" s="69"/>
      <c r="AX5" s="69"/>
      <c r="AY5" s="69"/>
      <c r="AZ5" s="69"/>
      <c r="BA5" s="70"/>
    </row>
    <row r="6" spans="2:54" ht="15" customHeight="1" x14ac:dyDescent="0.25">
      <c r="B6" s="104"/>
      <c r="C6" s="125" t="s">
        <v>10</v>
      </c>
      <c r="D6" s="116"/>
      <c r="E6" s="116"/>
      <c r="F6" s="116"/>
      <c r="G6" s="116"/>
      <c r="H6" s="116"/>
      <c r="I6" s="116"/>
      <c r="J6" s="126"/>
      <c r="K6" s="107"/>
      <c r="M6" s="41"/>
      <c r="N6" s="37"/>
      <c r="O6" s="21" t="s">
        <v>11</v>
      </c>
      <c r="P6" s="24" t="str">
        <f>MID(DEC2HEX(N7*2,4),1,2)</f>
        <v>00</v>
      </c>
      <c r="Q6" s="36"/>
      <c r="R6" s="12"/>
      <c r="S6" s="12"/>
      <c r="T6" s="12"/>
      <c r="U6" s="12"/>
      <c r="V6" s="12" t="str">
        <f>DEC2HEX(HEX2DEC(P6),2)</f>
        <v>00</v>
      </c>
      <c r="W6" s="12"/>
      <c r="X6" s="12"/>
      <c r="Y6" s="60"/>
      <c r="Z6" s="13"/>
      <c r="AQ6" s="45" t="s">
        <v>12</v>
      </c>
      <c r="AT6" s="71"/>
      <c r="AU6" s="72"/>
      <c r="AV6" s="73" t="s">
        <v>6</v>
      </c>
      <c r="AW6" s="73"/>
      <c r="AX6" s="73" t="s">
        <v>17</v>
      </c>
      <c r="AY6" s="73" t="s">
        <v>33</v>
      </c>
      <c r="AZ6" s="72" t="s">
        <v>18</v>
      </c>
      <c r="BA6" s="74" t="s">
        <v>64</v>
      </c>
    </row>
    <row r="7" spans="2:54" ht="15.75" customHeight="1" thickBot="1" x14ac:dyDescent="0.3">
      <c r="B7" s="105"/>
      <c r="C7" s="127" t="s">
        <v>13</v>
      </c>
      <c r="D7" s="128"/>
      <c r="E7" s="128"/>
      <c r="F7" s="128"/>
      <c r="G7" s="128"/>
      <c r="H7" s="128"/>
      <c r="I7" s="128"/>
      <c r="J7" s="129"/>
      <c r="K7" s="108"/>
      <c r="M7" s="38" t="s">
        <v>14</v>
      </c>
      <c r="N7" s="42">
        <v>12</v>
      </c>
      <c r="O7" s="21" t="s">
        <v>15</v>
      </c>
      <c r="P7" s="25" t="str">
        <f>MID(DEC2HEX(N7*2,4),3,2)</f>
        <v>18</v>
      </c>
      <c r="Q7" s="36"/>
      <c r="R7" s="12" t="str">
        <f>P6&amp;""&amp;P7</f>
        <v>0018</v>
      </c>
      <c r="S7" s="12"/>
      <c r="T7" s="12"/>
      <c r="U7" s="12"/>
      <c r="V7" s="12" t="str">
        <f t="shared" ref="V7:V9" si="0">DEC2HEX(HEX2DEC(P7),2)</f>
        <v>18</v>
      </c>
      <c r="W7" s="12"/>
      <c r="X7" s="14" t="str">
        <f>HEX2DEC(R7)/2 &amp;"ms"</f>
        <v>12ms</v>
      </c>
      <c r="Y7" s="61"/>
      <c r="Z7" s="15"/>
      <c r="AQ7" s="45" t="s">
        <v>16</v>
      </c>
      <c r="AT7" s="71"/>
      <c r="AU7" s="72"/>
      <c r="AV7" s="75"/>
      <c r="AW7" s="75"/>
      <c r="AX7" s="75"/>
      <c r="AY7" s="72"/>
      <c r="AZ7" s="72"/>
      <c r="BA7" s="74"/>
    </row>
    <row r="8" spans="2:54" ht="15" customHeight="1" x14ac:dyDescent="0.25">
      <c r="B8" s="103" t="s">
        <v>19</v>
      </c>
      <c r="C8" s="85" t="s">
        <v>66</v>
      </c>
      <c r="D8" s="86"/>
      <c r="E8" s="86"/>
      <c r="F8" s="86"/>
      <c r="G8" s="86"/>
      <c r="H8" s="86"/>
      <c r="I8" s="86"/>
      <c r="J8" s="87"/>
      <c r="K8" s="106" t="s">
        <v>65</v>
      </c>
      <c r="M8" s="38" t="s">
        <v>20</v>
      </c>
      <c r="N8" s="43">
        <v>270</v>
      </c>
      <c r="O8" s="21" t="s">
        <v>21</v>
      </c>
      <c r="P8" s="39" t="str">
        <f>DEC2HEX(Q8*10000,8)</f>
        <v>000CAD46</v>
      </c>
      <c r="Q8" s="40">
        <f>IF(N8&lt;&gt;"",N8/1000*'UDS Commands'!$C$21,0)</f>
        <v>83.079000000000008</v>
      </c>
      <c r="R8" s="12">
        <f>HEX2DEC(P8)</f>
        <v>830790</v>
      </c>
      <c r="S8" s="12"/>
      <c r="T8" s="12"/>
      <c r="U8" s="12"/>
      <c r="V8" s="12">
        <f>ROUND(Q8,0)</f>
        <v>83</v>
      </c>
      <c r="W8" s="12"/>
      <c r="X8" s="16" t="str">
        <f>ROUND(Q8,4) &amp;"% PWM"</f>
        <v>83.079% PWM</v>
      </c>
      <c r="Y8" s="61"/>
      <c r="Z8" s="15" t="str">
        <f>IF(N8="","0 mA",N8 &amp; " mA")</f>
        <v>270 mA</v>
      </c>
      <c r="AQ8" s="45" t="s">
        <v>22</v>
      </c>
      <c r="AT8" s="71" t="s">
        <v>63</v>
      </c>
      <c r="AU8" s="72"/>
      <c r="AV8" s="75">
        <v>0</v>
      </c>
      <c r="AW8" s="81">
        <f ca="1">AX8/10000</f>
        <v>6.1539999999999999</v>
      </c>
      <c r="AX8" s="75">
        <f ca="1">AX10</f>
        <v>61540</v>
      </c>
      <c r="AY8" s="72">
        <f ca="1">AY10</f>
        <v>20</v>
      </c>
      <c r="AZ8" s="72"/>
      <c r="BA8" s="74"/>
    </row>
    <row r="9" spans="2:54" x14ac:dyDescent="0.25">
      <c r="B9" s="104"/>
      <c r="C9" s="88"/>
      <c r="D9" s="89"/>
      <c r="E9" s="89"/>
      <c r="F9" s="89"/>
      <c r="G9" s="89"/>
      <c r="H9" s="89"/>
      <c r="I9" s="89"/>
      <c r="J9" s="90"/>
      <c r="K9" s="107"/>
      <c r="M9" s="38" t="s">
        <v>23</v>
      </c>
      <c r="N9" s="44" t="s">
        <v>16</v>
      </c>
      <c r="O9" s="22" t="s">
        <v>23</v>
      </c>
      <c r="P9" s="23" t="str">
        <f>IF(N9="Straight","02",IF(N9="Straight+TrigOff","22",IF(N9="Ramp+TrigOff","A2",IF(N9="Ramp","82",IF(N9="Holding","42",IF(N9="None","00",IF(N9="","00")))))))</f>
        <v>02</v>
      </c>
      <c r="Q9" s="38"/>
      <c r="R9" s="17"/>
      <c r="S9" s="17"/>
      <c r="T9" s="17"/>
      <c r="U9" s="17"/>
      <c r="V9" s="12" t="str">
        <f t="shared" si="0"/>
        <v>02</v>
      </c>
      <c r="W9" s="12"/>
      <c r="X9" s="18" t="str">
        <f>IF(_xlfn.BITAND(HEX2DEC(P9),128)=128,"Ramp Option Active","")</f>
        <v/>
      </c>
      <c r="Y9" s="62" t="str">
        <f>IF(_xlfn.BITAND(HEX2DEC(P9),32)=32,"Trigger Off(Unlocking)","")</f>
        <v/>
      </c>
      <c r="Z9" s="19" t="str">
        <f>IF(_xlfn.BITAND(HEX2DEC(P9),64)=64,"Infinite Duration","")</f>
        <v/>
      </c>
      <c r="AQ9" s="66" t="s">
        <v>57</v>
      </c>
      <c r="AT9" s="71"/>
      <c r="AU9" s="72"/>
      <c r="AV9" s="75">
        <f ca="1">IF(BA10="Straight",AV8,(AV10+AV8)/2)</f>
        <v>0</v>
      </c>
      <c r="AW9" s="81">
        <f t="shared" ref="AW9:AW16" ca="1" si="1">AX9/10000</f>
        <v>6.1539999999999999</v>
      </c>
      <c r="AX9" s="75">
        <f ca="1">IF(BA10="Straight",AX10,IF(AX8=AX10,AX8,(AX8+AX10)/2))</f>
        <v>61540</v>
      </c>
      <c r="AY9" s="75">
        <f ca="1">IF(BA10="Straight",AY10,IF(AY8=AY10,AY8,(AY8+AY10)/2))</f>
        <v>20</v>
      </c>
      <c r="AZ9" s="72"/>
      <c r="BA9" s="74"/>
    </row>
    <row r="10" spans="2:54" ht="15.75" customHeight="1" thickBot="1" x14ac:dyDescent="0.3">
      <c r="B10" s="105"/>
      <c r="C10" s="91"/>
      <c r="D10" s="92"/>
      <c r="E10" s="92"/>
      <c r="F10" s="92"/>
      <c r="G10" s="92"/>
      <c r="H10" s="92"/>
      <c r="I10" s="92"/>
      <c r="J10" s="93"/>
      <c r="K10" s="108"/>
      <c r="X10" s="4"/>
      <c r="Y10" s="63"/>
      <c r="Z10" s="11" t="str">
        <f>IF(_xlfn.BITAND(HEX2DEC(P9),64)=64,"Infinite Duration","")</f>
        <v/>
      </c>
      <c r="AO10" s="5" t="str">
        <f>IF(_xlfn.BITAND(HEX2DEC(P21),64)=64,"Infinite Duration","")</f>
        <v/>
      </c>
      <c r="AQ10" s="66" t="s">
        <v>58</v>
      </c>
      <c r="AT10" s="76" t="str">
        <f>"Step "&amp;HEX2DEC(C23)</f>
        <v>Step 5</v>
      </c>
      <c r="AU10" s="72">
        <f>IF(C23&lt;&gt;"FF",MATCH(AT10,$P:$P,0),"")</f>
        <v>35</v>
      </c>
      <c r="AV10" s="75" cm="1">
        <f t="array" aca="1" ref="AV10" ca="1">IF(C23&lt;&gt;"FF",IF(AZ10&lt;&gt;"",AZ10,INDIRECT(ADDRESS(AU10,19))),"")</f>
        <v>18</v>
      </c>
      <c r="AW10" s="81">
        <f t="shared" ca="1" si="1"/>
        <v>6.1539999999999999</v>
      </c>
      <c r="AX10" s="75" cm="1">
        <f t="array" aca="1" ref="AX10" ca="1">IF(C23&lt;&gt;"FF",INDIRECT(ADDRESS(AU10,20)),"")</f>
        <v>61540</v>
      </c>
      <c r="AY10" s="72" cm="1">
        <f t="array" aca="1" ref="AY10" ca="1">IF(C23&lt;&gt;"FF",INDIRECT(ADDRESS(AU10,23)),"")</f>
        <v>20</v>
      </c>
      <c r="AZ10" s="72" t="str" cm="1">
        <f t="array" aca="1" ref="AZ10" ca="1">IF(C23&lt;&gt;"FF",IF(""&lt;&gt;INDIRECT(ADDRESS(AU10,21)),9999,""),"")</f>
        <v/>
      </c>
      <c r="BA10" s="74" t="str" cm="1">
        <f t="array" aca="1" ref="BA10" ca="1">IF(C23&lt;&gt;"FF",IF(""&lt;&gt;INDIRECT(ADDRESS(AU10,22)),"Straight",""),"")</f>
        <v>Straight</v>
      </c>
    </row>
    <row r="11" spans="2:54" ht="15.75" customHeight="1" thickBot="1" x14ac:dyDescent="0.3">
      <c r="B11" s="94" t="s">
        <v>23</v>
      </c>
      <c r="C11" s="97" t="s">
        <v>25</v>
      </c>
      <c r="D11" s="98"/>
      <c r="E11" s="98"/>
      <c r="F11" s="98"/>
      <c r="G11" s="98"/>
      <c r="H11" s="98"/>
      <c r="I11" s="98"/>
      <c r="J11" s="99"/>
      <c r="K11" s="100" t="s">
        <v>26</v>
      </c>
      <c r="N11" s="35"/>
      <c r="O11" s="26"/>
      <c r="P11" s="27" t="s">
        <v>27</v>
      </c>
      <c r="Q11" s="35"/>
      <c r="R11" s="27"/>
      <c r="S11" s="28">
        <f>HEX2DEC(R13)/2</f>
        <v>12</v>
      </c>
      <c r="T11" s="28">
        <f>HEX2DEC(P14)</f>
        <v>892329</v>
      </c>
      <c r="U11" s="28" t="str">
        <f>IF(_xlfn.BITAND(HEX2DEC(P15),64)=64,"Infinite Duration","")</f>
        <v/>
      </c>
      <c r="V11" s="28" t="str">
        <f>IF(N15="Straight","True","")</f>
        <v>True</v>
      </c>
      <c r="W11" s="28">
        <f>N14</f>
        <v>290</v>
      </c>
      <c r="X11" s="27"/>
      <c r="Y11" s="59"/>
      <c r="Z11" s="29"/>
      <c r="AQ11" s="66" t="s">
        <v>24</v>
      </c>
      <c r="AT11" s="71"/>
      <c r="AU11" s="72"/>
      <c r="AV11" s="75">
        <f ca="1">IF(BA12="Straight",AV10,(AV12+AV10)/2)</f>
        <v>18</v>
      </c>
      <c r="AW11" s="81">
        <f t="shared" ca="1" si="1"/>
        <v>89.232900000000001</v>
      </c>
      <c r="AX11" s="75">
        <f ca="1">IF(BA12="Straight",AX12,IF(AX10=AX12,AX10,(AX10+AX12)/2))</f>
        <v>892329</v>
      </c>
      <c r="AY11" s="75">
        <f ca="1">IF(BA12="Straight",AY12,IF(AY10=AY12,AY10,(AY10+AY12)/2))</f>
        <v>290</v>
      </c>
      <c r="AZ11" s="72"/>
      <c r="BA11" s="74"/>
      <c r="BB11" s="67"/>
    </row>
    <row r="12" spans="2:54" ht="15.75" thickBot="1" x14ac:dyDescent="0.3">
      <c r="B12" s="95"/>
      <c r="C12" s="2" t="s">
        <v>28</v>
      </c>
      <c r="D12" s="2" t="s">
        <v>29</v>
      </c>
      <c r="E12" s="2" t="s">
        <v>53</v>
      </c>
      <c r="F12" s="3"/>
      <c r="G12" s="3"/>
      <c r="H12" s="2" t="s">
        <v>30</v>
      </c>
      <c r="I12" s="2" t="s">
        <v>30</v>
      </c>
      <c r="J12" s="2" t="s">
        <v>30</v>
      </c>
      <c r="K12" s="101"/>
      <c r="M12" s="41"/>
      <c r="N12" s="37"/>
      <c r="O12" s="21" t="s">
        <v>11</v>
      </c>
      <c r="P12" s="24" t="str">
        <f>MID(DEC2HEX(N13*2,4),1,2)</f>
        <v>00</v>
      </c>
      <c r="Q12" s="36"/>
      <c r="R12" s="48"/>
      <c r="S12" s="31"/>
      <c r="T12" s="31"/>
      <c r="U12" s="31"/>
      <c r="V12" s="31" t="str">
        <f>DEC2HEX(HEX2DEC(P12),2)</f>
        <v>00</v>
      </c>
      <c r="W12" s="31"/>
      <c r="X12" s="32"/>
      <c r="Y12" s="64"/>
      <c r="Z12" s="33"/>
      <c r="AT12" s="76" t="str">
        <f>"Step "&amp;HEX2DEC(C24)</f>
        <v>Step 1</v>
      </c>
      <c r="AU12" s="72">
        <f>IF(C24&lt;&gt;"FF",MATCH(AT12,$P:$P,0),"")</f>
        <v>11</v>
      </c>
      <c r="AV12" s="75" cm="1">
        <f t="array" aca="1" ref="AV12" ca="1">IF(C24&lt;&gt;"FF",IF(AZ12&lt;&gt;"",AZ12,INDIRECT(ADDRESS(AU12,19)))+AV10,"")</f>
        <v>30</v>
      </c>
      <c r="AW12" s="81">
        <f t="shared" ca="1" si="1"/>
        <v>89.232900000000001</v>
      </c>
      <c r="AX12" s="75" cm="1">
        <f t="array" aca="1" ref="AX12" ca="1">IF(C24&lt;&gt;"FF",INDIRECT(ADDRESS(AU12,20)),"")</f>
        <v>892329</v>
      </c>
      <c r="AY12" s="72" cm="1">
        <f t="array" aca="1" ref="AY12" ca="1">IF(C24&lt;&gt;"FF",INDIRECT(ADDRESS(AU12,23)),"")</f>
        <v>290</v>
      </c>
      <c r="AZ12" s="72" t="str" cm="1">
        <f t="array" aca="1" ref="AZ12" ca="1">IF(C24&lt;&gt;"FF",IF(""&lt;&gt;INDIRECT(ADDRESS(AU12,21)),9999,""),"")</f>
        <v/>
      </c>
      <c r="BA12" s="74" t="str" cm="1">
        <f t="array" aca="1" ref="BA12" ca="1">IF(C24&lt;&gt;"FF",IF(""&lt;&gt;INDIRECT(ADDRESS(AU12,22)),"Straight",""),"")</f>
        <v>Straight</v>
      </c>
    </row>
    <row r="13" spans="2:54" ht="15" customHeight="1" x14ac:dyDescent="0.25">
      <c r="B13" s="95"/>
      <c r="C13" s="109" t="s">
        <v>56</v>
      </c>
      <c r="D13" s="109"/>
      <c r="E13" s="109"/>
      <c r="F13" s="109"/>
      <c r="G13" s="109"/>
      <c r="H13" s="109"/>
      <c r="I13" s="110"/>
      <c r="J13" s="113"/>
      <c r="K13" s="101"/>
      <c r="M13" s="38" t="s">
        <v>14</v>
      </c>
      <c r="N13" s="42">
        <v>12</v>
      </c>
      <c r="O13" s="21" t="s">
        <v>15</v>
      </c>
      <c r="P13" s="25" t="str">
        <f>MID(DEC2HEX(N13*2,4),3,2)</f>
        <v>18</v>
      </c>
      <c r="Q13" s="36"/>
      <c r="R13" s="49" t="str">
        <f>P12&amp;""&amp;P13</f>
        <v>0018</v>
      </c>
      <c r="S13" s="50"/>
      <c r="T13" s="50"/>
      <c r="U13" s="50"/>
      <c r="V13" s="50" t="str">
        <f t="shared" ref="V13" si="2">DEC2HEX(HEX2DEC(P13),2)</f>
        <v>18</v>
      </c>
      <c r="W13" s="50"/>
      <c r="X13" s="51" t="str">
        <f>HEX2DEC(R13)/2 &amp;"ms"</f>
        <v>12ms</v>
      </c>
      <c r="Y13" s="65"/>
      <c r="Z13" s="15"/>
      <c r="AT13" s="71"/>
      <c r="AU13" s="72"/>
      <c r="AV13" s="75">
        <f ca="1">IF(BA14="Straight",AV12,(AV14+AV12)/2)</f>
        <v>60</v>
      </c>
      <c r="AW13" s="81">
        <f t="shared" ca="1" si="1"/>
        <v>58.462949999999999</v>
      </c>
      <c r="AX13" s="75">
        <f ca="1">IF(BA14="Straight",AX14,IF(AX12=AX14,AX12,(AX12+AX14)/2))</f>
        <v>584629.5</v>
      </c>
      <c r="AY13" s="75">
        <f ca="1">IF(BA14="Straight",AY14,IF(AY12=AY14,AY12,(AY12+AY14)/2))</f>
        <v>190</v>
      </c>
      <c r="AZ13" s="72"/>
      <c r="BA13" s="74"/>
    </row>
    <row r="14" spans="2:54" ht="15" customHeight="1" x14ac:dyDescent="0.25">
      <c r="B14" s="95"/>
      <c r="C14" s="116" t="s">
        <v>55</v>
      </c>
      <c r="D14" s="116"/>
      <c r="E14" s="116"/>
      <c r="F14" s="116"/>
      <c r="G14" s="116"/>
      <c r="H14" s="116"/>
      <c r="I14" s="111"/>
      <c r="J14" s="114"/>
      <c r="K14" s="101"/>
      <c r="M14" s="38" t="s">
        <v>20</v>
      </c>
      <c r="N14" s="43">
        <v>290</v>
      </c>
      <c r="O14" s="21" t="s">
        <v>21</v>
      </c>
      <c r="P14" s="39" t="str">
        <f>DEC2HEX(Q14*10000,8)</f>
        <v>000D9DA9</v>
      </c>
      <c r="Q14" s="40">
        <f>IF(N14&lt;&gt;"",N14/1000*'UDS Commands'!$C$21,0)</f>
        <v>89.23299999999999</v>
      </c>
      <c r="R14" s="49">
        <f>HEX2DEC(P14)</f>
        <v>892329</v>
      </c>
      <c r="S14" s="50"/>
      <c r="T14" s="50"/>
      <c r="U14" s="50"/>
      <c r="V14" s="12">
        <f>ROUND(Q14,0)</f>
        <v>89</v>
      </c>
      <c r="W14" s="50"/>
      <c r="X14" s="16" t="str">
        <f>ROUND(Q14,4) &amp;"% PWM"</f>
        <v>89.233% PWM</v>
      </c>
      <c r="Y14" s="65"/>
      <c r="Z14" s="15" t="str">
        <f>IF(N14="","0 mA",N14 &amp; " mA")</f>
        <v>290 mA</v>
      </c>
      <c r="AT14" s="76" t="str">
        <f>"Step "&amp;HEX2DEC(C25)</f>
        <v>Step 2</v>
      </c>
      <c r="AU14" s="72">
        <f>IF(C25&lt;&gt;"FF",MATCH(AT14,$P:$P,0),"")</f>
        <v>17</v>
      </c>
      <c r="AV14" s="75" cm="1">
        <f t="array" aca="1" ref="AV14" ca="1">IF(C25&lt;&gt;"FF",IF(AZ14&lt;&gt;"",AZ14,INDIRECT(ADDRESS(AU14,19)))+AV12,"")</f>
        <v>90</v>
      </c>
      <c r="AW14" s="81">
        <f t="shared" ca="1" si="1"/>
        <v>27.693000000000001</v>
      </c>
      <c r="AX14" s="75" cm="1">
        <f t="array" aca="1" ref="AX14" ca="1">IF(C25&lt;&gt;"FF",INDIRECT(ADDRESS(AU14,20)),"")</f>
        <v>276930</v>
      </c>
      <c r="AY14" s="72" cm="1">
        <f t="array" aca="1" ref="AY14" ca="1">IF(C25&lt;&gt;"FF",INDIRECT(ADDRESS(AU14,23)),"")</f>
        <v>90</v>
      </c>
      <c r="AZ14" s="72" t="str" cm="1">
        <f t="array" aca="1" ref="AZ14" ca="1">IF(C25&lt;&gt;"FF",IF(""&lt;&gt;INDIRECT(ADDRESS(AU14,21)),9999,""),"")</f>
        <v/>
      </c>
      <c r="BA14" s="74" t="str" cm="1">
        <f t="array" aca="1" ref="BA14" ca="1">IF(C25&lt;&gt;"FF",IF(""&lt;&gt;INDIRECT(ADDRESS(AU14,22)),"Straight",""),"")</f>
        <v/>
      </c>
    </row>
    <row r="15" spans="2:54" ht="15" customHeight="1" x14ac:dyDescent="0.25">
      <c r="B15" s="95"/>
      <c r="C15" s="117" t="s">
        <v>54</v>
      </c>
      <c r="D15" s="117"/>
      <c r="E15" s="117"/>
      <c r="F15" s="117"/>
      <c r="G15" s="117"/>
      <c r="H15" s="117"/>
      <c r="I15" s="111"/>
      <c r="J15" s="114"/>
      <c r="K15" s="101"/>
      <c r="M15" s="38" t="s">
        <v>23</v>
      </c>
      <c r="N15" s="44" t="s">
        <v>16</v>
      </c>
      <c r="O15" s="22" t="s">
        <v>23</v>
      </c>
      <c r="P15" s="23" t="str">
        <f>IF(N15="Straight","02",IF(N15="Straight+TrigOff","22",IF(N15="Ramp+TrigOff","A2",IF(N15="Ramp","82",IF(N15="Holding","42",IF(N15="None","00",IF(N15="","00")))))))</f>
        <v>02</v>
      </c>
      <c r="Q15" s="38"/>
      <c r="R15" s="53"/>
      <c r="S15" s="20"/>
      <c r="T15" s="20"/>
      <c r="U15" s="20"/>
      <c r="V15" s="17" t="str">
        <f t="shared" ref="V15" si="3">DEC2HEX(HEX2DEC(P15),2)</f>
        <v>02</v>
      </c>
      <c r="W15" s="17"/>
      <c r="X15" s="18" t="str">
        <f>IF(_xlfn.BITAND(HEX2DEC(P15),128)=128,"Ramp Option Active","")</f>
        <v/>
      </c>
      <c r="Y15" s="62" t="str">
        <f>IF(_xlfn.BITAND(HEX2DEC(P15),32)=32,"Trigger Off(Unlocking)","")</f>
        <v/>
      </c>
      <c r="Z15" s="19" t="str">
        <f>IF(_xlfn.BITAND(HEX2DEC(P15),64)=64,"Infinite Duration","")</f>
        <v/>
      </c>
      <c r="AT15" s="71"/>
      <c r="AU15" s="72"/>
      <c r="AV15" s="75">
        <f ca="1">IF(BA16="Straight",AV14,(AV16+AV14)/2)</f>
        <v>5089.5</v>
      </c>
      <c r="AW15" s="81">
        <f t="shared" ca="1" si="1"/>
        <v>27.693000000000001</v>
      </c>
      <c r="AX15" s="75">
        <f ca="1">IF(BA16="Straight",AX16,IF(AX14=AX16,AX14,(AX14+AX16)/2))</f>
        <v>276930</v>
      </c>
      <c r="AY15" s="75">
        <f ca="1">IF(BB16="Straight",AY16,IF(AY14=AY16,AY14,(AY14+AY16)/2))</f>
        <v>90</v>
      </c>
      <c r="AZ15" s="72"/>
      <c r="BA15" s="74"/>
    </row>
    <row r="16" spans="2:54" ht="15" customHeight="1" x14ac:dyDescent="0.25">
      <c r="B16" s="95"/>
      <c r="C16" s="116" t="s">
        <v>31</v>
      </c>
      <c r="D16" s="116"/>
      <c r="E16" s="116"/>
      <c r="F16" s="116"/>
      <c r="G16" s="116"/>
      <c r="H16" s="116"/>
      <c r="I16" s="111"/>
      <c r="J16" s="114"/>
      <c r="K16" s="101"/>
      <c r="X16" s="4"/>
      <c r="Y16" s="63"/>
      <c r="Z16" s="4"/>
      <c r="AO16" s="45" t="s">
        <v>32</v>
      </c>
      <c r="AP16" s="45" t="s">
        <v>33</v>
      </c>
      <c r="AQ16" s="45" t="s">
        <v>17</v>
      </c>
      <c r="AT16" s="76" t="str">
        <f>"Step "&amp;HEX2DEC(C26)</f>
        <v>Step 3</v>
      </c>
      <c r="AU16" s="72">
        <f>IF(C26&lt;&gt;"FF",MATCH(AT16,$P:$P,0),"")</f>
        <v>23</v>
      </c>
      <c r="AV16" s="75" cm="1">
        <f t="array" aca="1" ref="AV16" ca="1">IF(C26&lt;&gt;"FF",IF(AZ16&lt;&gt;"",AZ16,INDIRECT(ADDRESS(AU16,19)))+AV14,"")</f>
        <v>10089</v>
      </c>
      <c r="AW16" s="81">
        <f t="shared" ca="1" si="1"/>
        <v>27.693000000000001</v>
      </c>
      <c r="AX16" s="75" cm="1">
        <f t="array" aca="1" ref="AX16" ca="1">IF(C26&lt;&gt;"FF",INDIRECT(ADDRESS(AU16,20)),"")</f>
        <v>276930</v>
      </c>
      <c r="AY16" s="72" cm="1">
        <f t="array" aca="1" ref="AY16" ca="1">IF(C26&lt;&gt;"FF",INDIRECT(ADDRESS(AU16,23)),"")</f>
        <v>90</v>
      </c>
      <c r="AZ16" s="72" cm="1">
        <f t="array" aca="1" ref="AZ16" ca="1">IF(C26&lt;&gt;"FF",IF(""&lt;&gt;INDIRECT(ADDRESS(AU16,21)),9999,""),"")</f>
        <v>9999</v>
      </c>
      <c r="BA16" s="74" t="str" cm="1">
        <f t="array" aca="1" ref="BA16" ca="1">IF(C26&lt;&gt;"FF",IF(""&lt;&gt;INDIRECT(ADDRESS(AU16,22)),"Straight",""),"")</f>
        <v/>
      </c>
    </row>
    <row r="17" spans="2:61" ht="15.75" customHeight="1" thickBot="1" x14ac:dyDescent="0.3">
      <c r="B17" s="96"/>
      <c r="C17" s="118" t="s">
        <v>34</v>
      </c>
      <c r="D17" s="118"/>
      <c r="E17" s="118"/>
      <c r="F17" s="118"/>
      <c r="G17" s="118"/>
      <c r="H17" s="118"/>
      <c r="I17" s="112"/>
      <c r="J17" s="115"/>
      <c r="K17" s="102"/>
      <c r="N17" s="35"/>
      <c r="O17" s="26"/>
      <c r="P17" s="27" t="s">
        <v>35</v>
      </c>
      <c r="Q17" s="35"/>
      <c r="R17" s="27"/>
      <c r="S17" s="28">
        <f>HEX2DEC(R19)/2</f>
        <v>60</v>
      </c>
      <c r="T17" s="28">
        <f>HEX2DEC(P20)</f>
        <v>276930</v>
      </c>
      <c r="U17" s="28" t="str">
        <f>IF(_xlfn.BITAND(HEX2DEC(P21),64)=64,"Infinite Duration","")</f>
        <v/>
      </c>
      <c r="V17" s="28" t="str">
        <f>IF(N21="Straight","True","")</f>
        <v/>
      </c>
      <c r="W17" s="28">
        <f>N20</f>
        <v>90</v>
      </c>
      <c r="X17" s="27"/>
      <c r="Y17" s="59"/>
      <c r="Z17" s="29"/>
      <c r="AO17" s="45">
        <v>0</v>
      </c>
      <c r="AP17" s="45">
        <v>190</v>
      </c>
      <c r="AQ17" s="45">
        <v>75</v>
      </c>
      <c r="AT17" s="71"/>
      <c r="AU17" s="72"/>
      <c r="AV17" s="75" t="str">
        <f>IF(C27&lt;&gt;"FF",IF(BA18="Straight",AV16,(AV18+AV16)/2),"")</f>
        <v/>
      </c>
      <c r="AW17" s="75"/>
      <c r="AX17" s="75" t="str">
        <f>IF(C27&lt;&gt;"FF",IF(BA18="Straight",AX18,IF(AX16=AX18,AX16,(AX16+AX18)/2)),"")</f>
        <v/>
      </c>
      <c r="AY17" s="75" t="str">
        <f>IF(C27&lt;&gt;"FF",IF(BB18="Straight",AY18,IF(AY16=AY18,AY16,(AY16+AY18)/2)),"")</f>
        <v/>
      </c>
      <c r="AZ17" s="72"/>
      <c r="BA17" s="74"/>
    </row>
    <row r="18" spans="2:61" x14ac:dyDescent="0.25">
      <c r="M18" s="41"/>
      <c r="N18" s="37"/>
      <c r="O18" s="21" t="s">
        <v>11</v>
      </c>
      <c r="P18" s="24" t="str">
        <f>MID(DEC2HEX(N19*2,4),1,2)</f>
        <v>00</v>
      </c>
      <c r="Q18" s="36"/>
      <c r="R18" s="48"/>
      <c r="S18" s="31"/>
      <c r="T18" s="31"/>
      <c r="U18" s="31"/>
      <c r="V18" s="31" t="str">
        <f>DEC2HEX(HEX2DEC(P18),2)</f>
        <v>00</v>
      </c>
      <c r="W18" s="31"/>
      <c r="X18" s="32"/>
      <c r="Y18" s="64"/>
      <c r="Z18" s="33"/>
      <c r="AO18" s="45">
        <f>N7</f>
        <v>12</v>
      </c>
      <c r="AP18" s="45">
        <f>N8</f>
        <v>270</v>
      </c>
      <c r="AQ18" s="45">
        <f>Q8</f>
        <v>83.079000000000008</v>
      </c>
      <c r="AT18" s="76" t="str">
        <f>"Step "&amp;HEX2DEC(C27)</f>
        <v>Step 255</v>
      </c>
      <c r="AU18" s="72" t="str">
        <f>IF(C27&lt;&gt;"FF",MATCH(AT18,$P:$P,0),"")</f>
        <v/>
      </c>
      <c r="AV18" s="75" t="str" cm="1">
        <f t="array" aca="1" ref="AV18" ca="1">IF(C27&lt;&gt;"FF",IF(AZ18&lt;&gt;"",AZ18,INDIRECT(ADDRESS(AU18,19)))+AV16,"")</f>
        <v/>
      </c>
      <c r="AW18" s="75"/>
      <c r="AX18" s="75" t="str" cm="1">
        <f t="array" aca="1" ref="AX18" ca="1">IF(C27&lt;&gt;"FF",INDIRECT(ADDRESS(AU18,20)),"")</f>
        <v/>
      </c>
      <c r="AY18" s="72" t="str" cm="1">
        <f t="array" aca="1" ref="AY18" ca="1">IF(C27&lt;&gt;"FF",INDIRECT(ADDRESS(AU18,23)),"")</f>
        <v/>
      </c>
      <c r="AZ18" s="72" t="str" cm="1">
        <f t="array" aca="1" ref="AZ18" ca="1">IF(C27&lt;&gt;"FF",IF(""&lt;&gt;INDIRECT(ADDRESS(AU18,21)),9999,""),"")</f>
        <v/>
      </c>
      <c r="BA18" s="74" t="str" cm="1">
        <f t="array" aca="1" ref="BA18" ca="1">IF(C27&lt;&gt;"FF",IF(""&lt;&gt;INDIRECT(ADDRESS(AU18,22)),"Straight",""),"")</f>
        <v/>
      </c>
    </row>
    <row r="19" spans="2:61" x14ac:dyDescent="0.25">
      <c r="B19" s="8" t="s">
        <v>36</v>
      </c>
      <c r="C19" s="10" t="s">
        <v>37</v>
      </c>
      <c r="M19" s="38" t="s">
        <v>14</v>
      </c>
      <c r="N19" s="42">
        <v>60</v>
      </c>
      <c r="O19" s="21" t="s">
        <v>15</v>
      </c>
      <c r="P19" s="25" t="str">
        <f>MID(DEC2HEX(N19*2,4),3,2)</f>
        <v>78</v>
      </c>
      <c r="Q19" s="36"/>
      <c r="R19" s="49" t="str">
        <f>P18&amp;""&amp;P19</f>
        <v>0078</v>
      </c>
      <c r="S19" s="50"/>
      <c r="T19" s="50"/>
      <c r="U19" s="50"/>
      <c r="V19" s="50" t="str">
        <f t="shared" ref="V19" si="4">DEC2HEX(HEX2DEC(P19),2)</f>
        <v>78</v>
      </c>
      <c r="W19" s="50"/>
      <c r="X19" s="51" t="str">
        <f>HEX2DEC(R19)/2 &amp;"ms"</f>
        <v>60ms</v>
      </c>
      <c r="Y19" s="65"/>
      <c r="Z19" s="15"/>
      <c r="AO19" s="45">
        <f>N13</f>
        <v>12</v>
      </c>
      <c r="AP19" s="45">
        <f>N14</f>
        <v>290</v>
      </c>
      <c r="AQ19" s="45">
        <f>Q14</f>
        <v>89.23299999999999</v>
      </c>
      <c r="AT19" s="71"/>
      <c r="AU19" s="72"/>
      <c r="AV19" s="75" t="str">
        <f>IF(C28&lt;&gt;"FF",IF(BA20="Straight",AV18,(AV20+AV18)/2),"")</f>
        <v/>
      </c>
      <c r="AW19" s="75"/>
      <c r="AX19" s="75" t="str">
        <f>IF(C28&lt;&gt;"FF",IF(BA20="Straight",AX20,IF(AX18=AX20,AX18,(AX18+AX20)/2)),"")</f>
        <v/>
      </c>
      <c r="AY19" s="75" t="str">
        <f>IF(C28&lt;&gt;"FF",IF(BB20="Straight",AY20,IF(AY18=AY20,AY18,(AY18+AY20)/2)),"")</f>
        <v/>
      </c>
      <c r="AZ19" s="72"/>
      <c r="BA19" s="74"/>
    </row>
    <row r="20" spans="2:61" x14ac:dyDescent="0.25">
      <c r="B20" s="8" t="s">
        <v>38</v>
      </c>
      <c r="C20" s="10" t="s">
        <v>37</v>
      </c>
      <c r="M20" s="38" t="s">
        <v>20</v>
      </c>
      <c r="N20" s="43">
        <v>90</v>
      </c>
      <c r="O20" s="21" t="s">
        <v>21</v>
      </c>
      <c r="P20" s="39" t="str">
        <f>DEC2HEX(Q20*10000,8)</f>
        <v>000439C2</v>
      </c>
      <c r="Q20" s="40">
        <f>IF(N20&lt;&gt;"",N20/1000*'UDS Commands'!$C$21,0)</f>
        <v>27.692999999999998</v>
      </c>
      <c r="R20" s="49">
        <f>HEX2DEC(P20)</f>
        <v>276930</v>
      </c>
      <c r="S20" s="50"/>
      <c r="T20" s="50"/>
      <c r="U20" s="50"/>
      <c r="V20" s="12">
        <f>ROUND(Q20,0)</f>
        <v>28</v>
      </c>
      <c r="W20" s="50"/>
      <c r="X20" s="16" t="str">
        <f>ROUND(Q20,4) &amp;"% PWM"</f>
        <v>27.693% PWM</v>
      </c>
      <c r="Y20" s="65"/>
      <c r="Z20" s="15" t="str">
        <f>IF(N20="","0 mA",N20 &amp; " mA")</f>
        <v>90 mA</v>
      </c>
      <c r="AO20" s="45">
        <f>N19</f>
        <v>60</v>
      </c>
      <c r="AP20" s="45">
        <f>N20</f>
        <v>90</v>
      </c>
      <c r="AQ20" s="45">
        <f>Q20</f>
        <v>27.692999999999998</v>
      </c>
      <c r="AT20" s="76" t="str">
        <f>"Step "&amp;HEX2DEC(C28)</f>
        <v>Step 255</v>
      </c>
      <c r="AU20" s="72" t="str">
        <f>IF(C28&lt;&gt;"FF",MATCH(AT20,$P:$P,0),"")</f>
        <v/>
      </c>
      <c r="AV20" s="75" t="str" cm="1">
        <f t="array" aca="1" ref="AV20" ca="1">IF(C28&lt;&gt;"FF",IF(AZ20&lt;&gt;"",AZ20,INDIRECT(ADDRESS(AU20,19)))+AV18,"")</f>
        <v/>
      </c>
      <c r="AW20" s="75"/>
      <c r="AX20" s="75" t="str" cm="1">
        <f t="array" aca="1" ref="AX20" ca="1">IF(C28&lt;&gt;"FF",INDIRECT(ADDRESS(AU20,20)),"")</f>
        <v/>
      </c>
      <c r="AY20" s="72" t="str" cm="1">
        <f t="array" aca="1" ref="AY20" ca="1">IF(C28&lt;&gt;"FF",INDIRECT(ADDRESS(AU20,23)),"")</f>
        <v/>
      </c>
      <c r="AZ20" s="72" t="str" cm="1">
        <f t="array" aca="1" ref="AZ20" ca="1">IF(C28&lt;&gt;"FF",IF(""&lt;&gt;INDIRECT(ADDRESS(AU20,21)),9999,""),"")</f>
        <v/>
      </c>
      <c r="BA20" s="74" t="str" cm="1">
        <f t="array" aca="1" ref="BA20" ca="1">IF(C28&lt;&gt;"FF",IF(""&lt;&gt;INDIRECT(ADDRESS(AU20,22)),"Straight",""),"")</f>
        <v/>
      </c>
    </row>
    <row r="21" spans="2:61" x14ac:dyDescent="0.25">
      <c r="B21" s="8" t="s">
        <v>23</v>
      </c>
      <c r="C21" s="9" t="s">
        <v>37</v>
      </c>
      <c r="M21" s="38" t="s">
        <v>23</v>
      </c>
      <c r="N21" s="44" t="s">
        <v>12</v>
      </c>
      <c r="O21" s="22" t="s">
        <v>23</v>
      </c>
      <c r="P21" s="23" t="str">
        <f>IF(N21="Straight","02",IF(N21="Straight+TrigOff","22",IF(N21="Ramp+TrigOff","A2",IF(N21="Ramp","82",IF(N21="Holding","42",IF(N21="None","00",IF(N21="","00")))))))</f>
        <v>82</v>
      </c>
      <c r="Q21" s="38"/>
      <c r="R21" s="52"/>
      <c r="S21" s="17"/>
      <c r="T21" s="17"/>
      <c r="U21" s="17"/>
      <c r="V21" s="17" t="str">
        <f t="shared" ref="V21" si="5">DEC2HEX(HEX2DEC(P21),2)</f>
        <v>82</v>
      </c>
      <c r="W21" s="17"/>
      <c r="X21" s="18" t="str">
        <f>IF(_xlfn.BITAND(HEX2DEC(P21),128)=128,"Ramp Option Active","")</f>
        <v>Ramp Option Active</v>
      </c>
      <c r="Y21" s="62" t="str">
        <f>IF(_xlfn.BITAND(HEX2DEC(P21),32)=32,"Trigger Off(Unlocking)","")</f>
        <v/>
      </c>
      <c r="Z21" s="19" t="str">
        <f>IF(_xlfn.BITAND(HEX2DEC(P21),64)=64,"Infinite Duration","")</f>
        <v/>
      </c>
      <c r="AO21" s="45">
        <f>N25</f>
        <v>102</v>
      </c>
      <c r="AP21" s="45">
        <f>N26</f>
        <v>90</v>
      </c>
      <c r="AQ21" s="45">
        <f>Q26</f>
        <v>27.692999999999998</v>
      </c>
      <c r="AT21" s="71"/>
      <c r="AU21" s="72"/>
      <c r="AV21" s="75" t="str">
        <f>IF(C29&lt;&gt;"FF",IF(BA22="Straight",AV20,(AV22+AV20)/2),"")</f>
        <v/>
      </c>
      <c r="AW21" s="75"/>
      <c r="AX21" s="75" t="str">
        <f>IF(C29&lt;&gt;"FF",IF(BA22="Straight",AX22,IF(AX20=AX22,AX20,(AX20+AX22)/2)),"")</f>
        <v/>
      </c>
      <c r="AY21" s="75" t="str">
        <f>IF(C29&lt;&gt;"FF",IF(BB22="Straight",AY22,IF(AY20=AY22,AY20,(AY20+AY22)/2)),"")</f>
        <v/>
      </c>
      <c r="AZ21" s="72"/>
      <c r="BA21" s="74"/>
      <c r="BH21" t="s">
        <v>60</v>
      </c>
      <c r="BI21" t="s">
        <v>60</v>
      </c>
    </row>
    <row r="22" spans="2:61" x14ac:dyDescent="0.25">
      <c r="B22" s="8" t="s">
        <v>39</v>
      </c>
      <c r="C22" s="10" t="s">
        <v>40</v>
      </c>
      <c r="X22" s="4"/>
      <c r="Y22" s="63"/>
      <c r="Z22" s="4"/>
      <c r="AO22" s="45">
        <f>N31</f>
        <v>300</v>
      </c>
      <c r="AP22" s="45">
        <f>N32</f>
        <v>70</v>
      </c>
      <c r="AQ22" s="45">
        <f>Q32</f>
        <v>21.539000000000001</v>
      </c>
      <c r="AT22" s="76" t="str">
        <f>"Step "&amp;HEX2DEC(C29)</f>
        <v>Step 255</v>
      </c>
      <c r="AU22" s="72" t="str">
        <f>IF(C29&lt;&gt;"FF",MATCH(AT22,$P:$P,0),"")</f>
        <v/>
      </c>
      <c r="AV22" s="75" t="str" cm="1">
        <f t="array" aca="1" ref="AV22" ca="1">IF(C29&lt;&gt;"FF",IF(AZ22&lt;&gt;"",AZ22,INDIRECT(ADDRESS(AU22,19)))+AV20,"")</f>
        <v/>
      </c>
      <c r="AW22" s="75"/>
      <c r="AX22" s="75" t="str" cm="1">
        <f t="array" aca="1" ref="AX22" ca="1">IF(C29&lt;&gt;"FF",INDIRECT(ADDRESS(AU22,20)),"")</f>
        <v/>
      </c>
      <c r="AY22" s="72" t="str" cm="1">
        <f t="array" aca="1" ref="AY22" ca="1">IF(C29&lt;&gt;"FF",INDIRECT(ADDRESS(AU22,23)),"")</f>
        <v/>
      </c>
      <c r="AZ22" s="72" t="str" cm="1">
        <f t="array" aca="1" ref="AZ22" ca="1">IF(C29&lt;&gt;"FF",IF(""&lt;&gt;INDIRECT(ADDRESS(AU22,21)),9999,""),"")</f>
        <v/>
      </c>
      <c r="BA22" s="74" t="str" cm="1">
        <f t="array" aca="1" ref="BA22" ca="1">IF(C29&lt;&gt;"FF",IF(""&lt;&gt;INDIRECT(ADDRESS(AU22,22)),"Straight",""),"")</f>
        <v/>
      </c>
    </row>
    <row r="23" spans="2:61" x14ac:dyDescent="0.25">
      <c r="B23" s="8" t="s">
        <v>8</v>
      </c>
      <c r="C23" s="55" t="s">
        <v>62</v>
      </c>
      <c r="N23" s="35"/>
      <c r="O23" s="26"/>
      <c r="P23" s="27" t="s">
        <v>42</v>
      </c>
      <c r="Q23" s="35"/>
      <c r="R23" s="27"/>
      <c r="S23" s="28">
        <f>HEX2DEC(R25)/2</f>
        <v>102</v>
      </c>
      <c r="T23" s="28">
        <f>HEX2DEC(P26)</f>
        <v>276930</v>
      </c>
      <c r="U23" s="28" t="str">
        <f>IF(_xlfn.BITAND(HEX2DEC(P27),64)=64,"Infinite Duration","")</f>
        <v>Infinite Duration</v>
      </c>
      <c r="V23" s="28" t="str">
        <f>IF(N27="Straight","True","")</f>
        <v/>
      </c>
      <c r="W23" s="28">
        <f>N26</f>
        <v>90</v>
      </c>
      <c r="X23" s="27"/>
      <c r="Y23" s="59"/>
      <c r="Z23" s="29"/>
      <c r="AO23" s="45">
        <f>N37</f>
        <v>18</v>
      </c>
      <c r="AP23" s="45">
        <f>N38</f>
        <v>20</v>
      </c>
      <c r="AQ23" s="45">
        <f>Q38</f>
        <v>6.1539999999999999</v>
      </c>
      <c r="AT23" s="71"/>
      <c r="AU23" s="72"/>
      <c r="AV23" s="75"/>
      <c r="AW23" s="75"/>
      <c r="AX23" s="75"/>
      <c r="AY23" s="72"/>
      <c r="AZ23" s="72"/>
      <c r="BA23" s="74"/>
      <c r="BH23" t="s">
        <v>60</v>
      </c>
      <c r="BI23" t="s">
        <v>60</v>
      </c>
    </row>
    <row r="24" spans="2:61" x14ac:dyDescent="0.25">
      <c r="B24" s="8" t="s">
        <v>27</v>
      </c>
      <c r="C24" s="55" t="s">
        <v>40</v>
      </c>
      <c r="M24" s="41"/>
      <c r="N24" s="37"/>
      <c r="O24" s="21" t="s">
        <v>11</v>
      </c>
      <c r="P24" s="24" t="str">
        <f>MID(DEC2HEX(N25*2,4),1,2)</f>
        <v>00</v>
      </c>
      <c r="Q24" s="36"/>
      <c r="R24" s="48"/>
      <c r="S24" s="31"/>
      <c r="T24" s="31"/>
      <c r="U24" s="31"/>
      <c r="V24" s="31" t="str">
        <f>DEC2HEX(HEX2DEC(P24),2)</f>
        <v>00</v>
      </c>
      <c r="W24" s="31"/>
      <c r="X24" s="32"/>
      <c r="Y24" s="64"/>
      <c r="Z24" s="33"/>
      <c r="AO24" s="45">
        <f>N43</f>
        <v>498</v>
      </c>
      <c r="AP24" s="45">
        <f>N44</f>
        <v>18</v>
      </c>
      <c r="AQ24" s="45">
        <f>Q44</f>
        <v>5.5385999999999997</v>
      </c>
      <c r="AT24" s="76" t="str">
        <f>"Step "&amp;HEX2DEC(C30)</f>
        <v>Step 255</v>
      </c>
      <c r="AU24" s="72" t="str">
        <f>IF(C30&lt;&gt;"FF",MATCH(AT22,$P:$P,0),"")</f>
        <v/>
      </c>
      <c r="AV24" s="75"/>
      <c r="AW24" s="75"/>
      <c r="AX24" s="75"/>
      <c r="AY24" s="72"/>
      <c r="AZ24" s="72"/>
      <c r="BA24" s="74"/>
    </row>
    <row r="25" spans="2:61" x14ac:dyDescent="0.25">
      <c r="B25" s="8" t="s">
        <v>35</v>
      </c>
      <c r="C25" s="55" t="s">
        <v>43</v>
      </c>
      <c r="M25" s="38" t="s">
        <v>14</v>
      </c>
      <c r="N25" s="42">
        <v>102</v>
      </c>
      <c r="O25" s="21" t="s">
        <v>15</v>
      </c>
      <c r="P25" s="25" t="str">
        <f>MID(DEC2HEX(N25*2,4),3,2)</f>
        <v>CC</v>
      </c>
      <c r="Q25" s="36"/>
      <c r="R25" s="49" t="str">
        <f>P24&amp;""&amp;P25</f>
        <v>00CC</v>
      </c>
      <c r="S25" s="50"/>
      <c r="T25" s="50"/>
      <c r="U25" s="50"/>
      <c r="V25" s="50" t="str">
        <f t="shared" ref="V25:V27" si="6">DEC2HEX(HEX2DEC(P25),2)</f>
        <v>CC</v>
      </c>
      <c r="W25" s="50"/>
      <c r="X25" s="51" t="str">
        <f>HEX2DEC(R25)/2 &amp;"ms"</f>
        <v>102ms</v>
      </c>
      <c r="Y25" s="65"/>
      <c r="Z25" s="15"/>
      <c r="AO25" s="45">
        <f>N49</f>
        <v>0</v>
      </c>
      <c r="AP25" s="45">
        <f>N50</f>
        <v>0</v>
      </c>
      <c r="AQ25" s="45">
        <f>Q50</f>
        <v>0</v>
      </c>
      <c r="AT25" s="71"/>
      <c r="AU25" s="72"/>
      <c r="AV25" s="75"/>
      <c r="AW25" s="75"/>
      <c r="AX25" s="75"/>
      <c r="AY25" s="72"/>
      <c r="AZ25" s="72"/>
      <c r="BA25" s="74"/>
    </row>
    <row r="26" spans="2:61" x14ac:dyDescent="0.25">
      <c r="B26" s="8" t="s">
        <v>42</v>
      </c>
      <c r="C26" s="55" t="s">
        <v>44</v>
      </c>
      <c r="M26" s="38" t="s">
        <v>20</v>
      </c>
      <c r="N26" s="43">
        <v>90</v>
      </c>
      <c r="O26" s="21" t="s">
        <v>21</v>
      </c>
      <c r="P26" s="39" t="str">
        <f>DEC2HEX(Q26*10000,8)</f>
        <v>000439C2</v>
      </c>
      <c r="Q26" s="40">
        <f>IF(N26&lt;&gt;"",N26/1000*'UDS Commands'!$C$21,0)</f>
        <v>27.692999999999998</v>
      </c>
      <c r="R26" s="49">
        <f>HEX2DEC(P26)</f>
        <v>276930</v>
      </c>
      <c r="S26" s="50"/>
      <c r="T26" s="50"/>
      <c r="U26" s="50"/>
      <c r="V26" s="12">
        <f>ROUND(Q26,0)</f>
        <v>28</v>
      </c>
      <c r="W26" s="50"/>
      <c r="X26" s="16" t="str">
        <f>ROUND(Q26,4) &amp;"% PWM"</f>
        <v>27.693% PWM</v>
      </c>
      <c r="Y26" s="65"/>
      <c r="Z26" s="15" t="str">
        <f>IF(N26="","0 mA",N26 &amp; " mA")</f>
        <v>90 mA</v>
      </c>
      <c r="AT26" s="71"/>
      <c r="AU26" s="72"/>
      <c r="AV26" s="75"/>
      <c r="AW26" s="75"/>
      <c r="AX26" s="75"/>
      <c r="AY26" s="72"/>
      <c r="AZ26" s="72"/>
      <c r="BA26" s="74"/>
    </row>
    <row r="27" spans="2:61" x14ac:dyDescent="0.25">
      <c r="B27" s="8" t="s">
        <v>45</v>
      </c>
      <c r="C27" s="55" t="s">
        <v>37</v>
      </c>
      <c r="M27" s="38" t="s">
        <v>23</v>
      </c>
      <c r="N27" s="44" t="s">
        <v>22</v>
      </c>
      <c r="O27" s="22" t="s">
        <v>23</v>
      </c>
      <c r="P27" s="23" t="str">
        <f>IF(N27="Straight","02",IF(N27="Straight+TrigOff","22",IF(N27="Ramp+TrigOff","A2",IF(N27="Ramp","82",IF(N27="Holding","42",IF(N27="None","00",IF(N27="","00")))))))</f>
        <v>42</v>
      </c>
      <c r="Q27" s="38"/>
      <c r="R27" s="52">
        <f>_xlfn.BITAND(P27,128)</f>
        <v>0</v>
      </c>
      <c r="S27" s="17"/>
      <c r="T27" s="17"/>
      <c r="U27" s="17"/>
      <c r="V27" s="17" t="str">
        <f t="shared" si="6"/>
        <v>42</v>
      </c>
      <c r="W27" s="17"/>
      <c r="X27" s="18" t="str">
        <f>IF(_xlfn.BITAND(HEX2DEC(P27),128)=128,"Ramp Option Active","")</f>
        <v/>
      </c>
      <c r="Y27" s="62" t="str">
        <f>IF(_xlfn.BITAND(HEX2DEC(P27),32)=32,"Trigger Off(Unlocking)","")</f>
        <v/>
      </c>
      <c r="Z27" s="19" t="str">
        <f>IF(_xlfn.BITAND(HEX2DEC(P27),64)=64,"Infinite Duration","")</f>
        <v>Infinite Duration</v>
      </c>
      <c r="AT27" s="71"/>
      <c r="AU27" s="72"/>
      <c r="AV27" s="75"/>
      <c r="AW27" s="75"/>
      <c r="AX27" s="75"/>
      <c r="AY27" s="72"/>
      <c r="AZ27" s="72"/>
      <c r="BA27" s="74"/>
    </row>
    <row r="28" spans="2:61" x14ac:dyDescent="0.25">
      <c r="B28" s="8" t="s">
        <v>46</v>
      </c>
      <c r="C28" s="55" t="s">
        <v>37</v>
      </c>
      <c r="X28" s="4"/>
      <c r="Y28" s="63"/>
      <c r="Z28" s="4"/>
      <c r="AT28" s="71"/>
      <c r="AU28" s="72"/>
      <c r="AV28" s="75"/>
      <c r="AW28" s="75"/>
      <c r="AX28" s="75"/>
      <c r="AY28" s="72"/>
      <c r="AZ28" s="72"/>
      <c r="BA28" s="74"/>
    </row>
    <row r="29" spans="2:61" x14ac:dyDescent="0.25">
      <c r="B29" s="8" t="s">
        <v>47</v>
      </c>
      <c r="C29" s="55" t="s">
        <v>37</v>
      </c>
      <c r="N29" s="35"/>
      <c r="O29" s="26"/>
      <c r="P29" s="27" t="s">
        <v>45</v>
      </c>
      <c r="Q29" s="35"/>
      <c r="R29" s="27"/>
      <c r="S29" s="28">
        <f>HEX2DEC(R31)/2</f>
        <v>300</v>
      </c>
      <c r="T29" s="28">
        <f>HEX2DEC(P32)</f>
        <v>215390</v>
      </c>
      <c r="U29" s="28" t="str">
        <f>IF(_xlfn.BITAND(HEX2DEC(P33),64)=64,"Infinite Duration","")</f>
        <v/>
      </c>
      <c r="V29" s="28" t="str">
        <f>IF(N33="Straight","True","")</f>
        <v>True</v>
      </c>
      <c r="W29" s="28">
        <f>N32</f>
        <v>70</v>
      </c>
      <c r="X29" s="27"/>
      <c r="Y29" s="59"/>
      <c r="Z29" s="29"/>
      <c r="AT29" s="71"/>
      <c r="AU29" s="72"/>
      <c r="AV29" s="75"/>
      <c r="AW29" s="75"/>
      <c r="AX29" s="75"/>
      <c r="AY29" s="72"/>
      <c r="AZ29" s="72"/>
      <c r="BA29" s="74"/>
    </row>
    <row r="30" spans="2:61" x14ac:dyDescent="0.25">
      <c r="B30" s="8" t="s">
        <v>48</v>
      </c>
      <c r="C30" s="56" t="s">
        <v>37</v>
      </c>
      <c r="M30" s="41"/>
      <c r="N30" s="37"/>
      <c r="O30" s="30" t="s">
        <v>11</v>
      </c>
      <c r="P30" s="24" t="str">
        <f>MID(DEC2HEX(N31*2,4),1,2)</f>
        <v>02</v>
      </c>
      <c r="Q30" s="36"/>
      <c r="R30" s="48"/>
      <c r="S30" s="31"/>
      <c r="T30" s="31"/>
      <c r="U30" s="31"/>
      <c r="V30" s="31" t="str">
        <f>DEC2HEX(HEX2DEC(P30),2)</f>
        <v>02</v>
      </c>
      <c r="W30" s="31"/>
      <c r="X30" s="32"/>
      <c r="Y30" s="64"/>
      <c r="Z30" s="33"/>
      <c r="AT30" s="71"/>
      <c r="AU30" s="72"/>
      <c r="AV30" s="75"/>
      <c r="AW30" s="75"/>
      <c r="AX30" s="75"/>
      <c r="AY30" s="72"/>
      <c r="AZ30" s="72"/>
      <c r="BA30" s="74"/>
    </row>
    <row r="31" spans="2:61" x14ac:dyDescent="0.25">
      <c r="D31" s="7"/>
      <c r="E31" s="7"/>
      <c r="M31" s="38" t="s">
        <v>14</v>
      </c>
      <c r="N31" s="42">
        <v>300</v>
      </c>
      <c r="O31" s="21" t="s">
        <v>15</v>
      </c>
      <c r="P31" s="25" t="str">
        <f>MID(DEC2HEX(N31*2,4),3,2)</f>
        <v>58</v>
      </c>
      <c r="Q31" s="36"/>
      <c r="R31" s="49" t="str">
        <f>P30&amp;""&amp;P31</f>
        <v>0258</v>
      </c>
      <c r="S31" s="50"/>
      <c r="T31" s="50"/>
      <c r="U31" s="50"/>
      <c r="V31" s="50" t="str">
        <f t="shared" ref="V31:V33" si="7">DEC2HEX(HEX2DEC(P31),2)</f>
        <v>58</v>
      </c>
      <c r="W31" s="50"/>
      <c r="X31" s="51" t="str">
        <f>HEX2DEC(R31)/2 &amp;"ms"</f>
        <v>300ms</v>
      </c>
      <c r="Y31" s="65"/>
      <c r="Z31" s="15"/>
      <c r="AT31" s="71"/>
      <c r="AU31" s="72"/>
      <c r="AV31" s="72"/>
      <c r="AW31" s="72"/>
      <c r="AX31" s="72"/>
      <c r="AY31" s="72"/>
      <c r="AZ31" s="72"/>
      <c r="BA31" s="74"/>
    </row>
    <row r="32" spans="2:61" x14ac:dyDescent="0.25">
      <c r="M32" s="38" t="s">
        <v>20</v>
      </c>
      <c r="N32" s="43">
        <v>70</v>
      </c>
      <c r="O32" s="21" t="s">
        <v>21</v>
      </c>
      <c r="P32" s="39" t="str">
        <f>DEC2HEX(Q32*10000,8)</f>
        <v>0003495E</v>
      </c>
      <c r="Q32" s="40">
        <f>IF(N32&lt;&gt;"",N32/1000*'UDS Commands'!$C$21,0)</f>
        <v>21.539000000000001</v>
      </c>
      <c r="R32" s="49">
        <f>HEX2DEC(P32)</f>
        <v>215390</v>
      </c>
      <c r="S32" s="50"/>
      <c r="T32" s="50"/>
      <c r="U32" s="50"/>
      <c r="V32" s="12">
        <f>ROUND(Q32,0)</f>
        <v>22</v>
      </c>
      <c r="W32" s="50"/>
      <c r="X32" s="16" t="str">
        <f>ROUND(Q32,4) &amp;"% PWM"</f>
        <v>21.539% PWM</v>
      </c>
      <c r="Y32" s="65"/>
      <c r="Z32" s="15" t="str">
        <f>IF(N32="","0 mA",N32 &amp; " mA")</f>
        <v>70 mA</v>
      </c>
      <c r="AT32" s="71"/>
      <c r="AU32" s="72"/>
      <c r="AV32" s="72"/>
      <c r="AW32" s="72"/>
      <c r="AX32" s="72"/>
      <c r="AY32" s="72"/>
      <c r="AZ32" s="72"/>
      <c r="BA32" s="74"/>
    </row>
    <row r="33" spans="2:53" x14ac:dyDescent="0.25">
      <c r="M33" s="38" t="s">
        <v>23</v>
      </c>
      <c r="N33" s="44" t="s">
        <v>16</v>
      </c>
      <c r="O33" s="22" t="s">
        <v>23</v>
      </c>
      <c r="P33" s="23" t="str">
        <f>IF(N33="Straight","02",IF(N33="Ramp","82",IF(N33="Holding","42",IF(N33="None","00",IF(N33="","00")))))</f>
        <v>02</v>
      </c>
      <c r="Q33" s="38"/>
      <c r="R33" s="52">
        <f>_xlfn.BITAND(P33,128)</f>
        <v>0</v>
      </c>
      <c r="S33" s="17"/>
      <c r="T33" s="17"/>
      <c r="U33" s="17"/>
      <c r="V33" s="17" t="str">
        <f t="shared" si="7"/>
        <v>02</v>
      </c>
      <c r="W33" s="17"/>
      <c r="X33" s="18" t="str">
        <f>IF(_xlfn.BITAND(HEX2DEC(P33),128)=128,"Ramp Option Active","")</f>
        <v/>
      </c>
      <c r="Y33" s="62" t="str">
        <f>IF(_xlfn.BITAND(HEX2DEC(P33),32)=32,"Trigger Off(Unlocking)","")</f>
        <v/>
      </c>
      <c r="Z33" s="19" t="str">
        <f>IF(_xlfn.BITAND(HEX2DEC(P33),64)=64,"Infinite Duration","")</f>
        <v/>
      </c>
      <c r="AT33" s="71"/>
      <c r="AU33" s="72"/>
      <c r="AV33" s="72"/>
      <c r="AW33" s="72"/>
      <c r="AX33" s="72"/>
      <c r="AY33" s="72"/>
      <c r="AZ33" s="72"/>
      <c r="BA33" s="74"/>
    </row>
    <row r="34" spans="2:53" x14ac:dyDescent="0.25">
      <c r="X34" s="4"/>
      <c r="Y34" s="63"/>
      <c r="Z34" s="4"/>
      <c r="AT34" s="71"/>
      <c r="AU34" s="72"/>
      <c r="AV34" s="72"/>
      <c r="AW34" s="72"/>
      <c r="AX34" s="72"/>
      <c r="AY34" s="72"/>
      <c r="AZ34" s="72"/>
      <c r="BA34" s="74"/>
    </row>
    <row r="35" spans="2:53" x14ac:dyDescent="0.25">
      <c r="N35" s="35"/>
      <c r="O35" s="26"/>
      <c r="P35" s="27" t="s">
        <v>46</v>
      </c>
      <c r="Q35" s="35"/>
      <c r="R35" s="27"/>
      <c r="S35" s="28">
        <f>HEX2DEC(R37)/2</f>
        <v>18</v>
      </c>
      <c r="T35" s="28">
        <f>HEX2DEC(P38)</f>
        <v>61540</v>
      </c>
      <c r="U35" s="28" t="str">
        <f>IF(_xlfn.BITAND(HEX2DEC(P39),64)=64,"Infinite Duration","")</f>
        <v/>
      </c>
      <c r="V35" s="28" t="str">
        <f>IF(N39="Straight","True","")</f>
        <v>True</v>
      </c>
      <c r="W35" s="28">
        <f>N38</f>
        <v>20</v>
      </c>
      <c r="X35" s="27"/>
      <c r="Y35" s="59"/>
      <c r="Z35" s="29"/>
      <c r="AT35" s="71"/>
      <c r="AU35" s="72"/>
      <c r="AV35" s="72"/>
      <c r="AW35" s="72"/>
      <c r="AX35" s="72"/>
      <c r="AY35" s="72"/>
      <c r="AZ35" s="72"/>
      <c r="BA35" s="74"/>
    </row>
    <row r="36" spans="2:53" ht="18" x14ac:dyDescent="0.25">
      <c r="B36" s="6"/>
      <c r="M36" s="41"/>
      <c r="N36" s="37"/>
      <c r="O36" s="30" t="s">
        <v>11</v>
      </c>
      <c r="P36" s="24" t="str">
        <f>MID(DEC2HEX(N37*2,4),1,2)</f>
        <v>00</v>
      </c>
      <c r="Q36" s="36"/>
      <c r="R36" s="48"/>
      <c r="S36" s="31"/>
      <c r="T36" s="31"/>
      <c r="U36" s="31"/>
      <c r="V36" s="31" t="str">
        <f>DEC2HEX(HEX2DEC(P36),2)</f>
        <v>00</v>
      </c>
      <c r="W36" s="31"/>
      <c r="X36" s="32"/>
      <c r="Y36" s="64"/>
      <c r="Z36" s="33"/>
      <c r="AT36" s="71"/>
      <c r="AU36" s="72"/>
      <c r="AV36" s="72"/>
      <c r="AW36" s="72"/>
      <c r="AX36" s="72"/>
      <c r="AY36" s="72"/>
      <c r="AZ36" s="72"/>
      <c r="BA36" s="74"/>
    </row>
    <row r="37" spans="2:53" x14ac:dyDescent="0.25">
      <c r="M37" s="38" t="s">
        <v>14</v>
      </c>
      <c r="N37" s="42">
        <v>18</v>
      </c>
      <c r="O37" s="21" t="s">
        <v>15</v>
      </c>
      <c r="P37" s="25" t="str">
        <f>MID(DEC2HEX(N37*2,4),3,2)</f>
        <v>24</v>
      </c>
      <c r="Q37" s="36"/>
      <c r="R37" s="49" t="str">
        <f>P36&amp;""&amp;P37</f>
        <v>0024</v>
      </c>
      <c r="S37" s="50"/>
      <c r="T37" s="50"/>
      <c r="U37" s="50"/>
      <c r="V37" s="50" t="str">
        <f t="shared" ref="V37:V39" si="8">DEC2HEX(HEX2DEC(P37),2)</f>
        <v>24</v>
      </c>
      <c r="W37" s="50"/>
      <c r="X37" s="51" t="str">
        <f>HEX2DEC(R37)/2 &amp;"ms"</f>
        <v>18ms</v>
      </c>
      <c r="Y37" s="65"/>
      <c r="Z37" s="15"/>
      <c r="AT37" s="71"/>
      <c r="AU37" s="72"/>
      <c r="AV37" s="72"/>
      <c r="AW37" s="72"/>
      <c r="AX37" s="72"/>
      <c r="AY37" s="72"/>
      <c r="AZ37" s="72"/>
      <c r="BA37" s="74"/>
    </row>
    <row r="38" spans="2:53" x14ac:dyDescent="0.25">
      <c r="M38" s="38" t="s">
        <v>20</v>
      </c>
      <c r="N38" s="43">
        <v>20</v>
      </c>
      <c r="O38" s="21" t="s">
        <v>21</v>
      </c>
      <c r="P38" s="39" t="str">
        <f>DEC2HEX(Q38*10000,8)</f>
        <v>0000F064</v>
      </c>
      <c r="Q38" s="40">
        <f>IF(N38&lt;&gt;"",N38/1000*'UDS Commands'!$C$21,0)</f>
        <v>6.1539999999999999</v>
      </c>
      <c r="R38" s="49">
        <f>HEX2DEC(P38)</f>
        <v>61540</v>
      </c>
      <c r="S38" s="50"/>
      <c r="T38" s="50"/>
      <c r="U38" s="50"/>
      <c r="V38" s="12">
        <f>ROUND(Q38,0)</f>
        <v>6</v>
      </c>
      <c r="W38" s="50"/>
      <c r="X38" s="16" t="str">
        <f>ROUND(Q38,4) &amp;"% PWM"</f>
        <v>6.154% PWM</v>
      </c>
      <c r="Y38" s="65"/>
      <c r="Z38" s="15" t="str">
        <f>IF(N38="","0 mA",N38 &amp; " mA")</f>
        <v>20 mA</v>
      </c>
      <c r="AT38" s="71"/>
      <c r="AU38" s="72"/>
      <c r="AV38" s="72"/>
      <c r="AW38" s="72"/>
      <c r="AX38" s="72"/>
      <c r="AY38" s="72"/>
      <c r="AZ38" s="72"/>
      <c r="BA38" s="74"/>
    </row>
    <row r="39" spans="2:53" x14ac:dyDescent="0.25">
      <c r="M39" s="38" t="s">
        <v>23</v>
      </c>
      <c r="N39" s="44" t="s">
        <v>16</v>
      </c>
      <c r="O39" s="22" t="s">
        <v>23</v>
      </c>
      <c r="P39" s="23" t="str">
        <f>IF(N39="Straight","02",IF(N39="Ramp","82",IF(N39="Holding","42",IF(N39="None","00",IF(N39="","00")))))</f>
        <v>02</v>
      </c>
      <c r="Q39" s="38"/>
      <c r="R39" s="52">
        <f>_xlfn.BITAND(P39,128)</f>
        <v>0</v>
      </c>
      <c r="S39" s="17"/>
      <c r="T39" s="17"/>
      <c r="U39" s="17"/>
      <c r="V39" s="17" t="str">
        <f t="shared" si="8"/>
        <v>02</v>
      </c>
      <c r="W39" s="17"/>
      <c r="X39" s="18" t="str">
        <f>IF(_xlfn.BITAND(HEX2DEC(P39),128)=128,"Ramp Option Active","")</f>
        <v/>
      </c>
      <c r="Y39" s="62" t="str">
        <f>IF(_xlfn.BITAND(HEX2DEC(P39),32)=32,"Trigger Off(Unlocking)","")</f>
        <v/>
      </c>
      <c r="Z39" s="19" t="str">
        <f>IF(_xlfn.BITAND(HEX2DEC(P39),64)=64,"Infinite Duration","")</f>
        <v/>
      </c>
      <c r="AT39" s="71"/>
      <c r="AU39" s="72"/>
      <c r="AV39" s="72"/>
      <c r="AW39" s="72"/>
      <c r="AX39" s="72"/>
      <c r="AY39" s="72"/>
      <c r="AZ39" s="72"/>
      <c r="BA39" s="74"/>
    </row>
    <row r="40" spans="2:53" x14ac:dyDescent="0.25">
      <c r="AT40" s="71"/>
      <c r="AU40" s="72"/>
      <c r="AV40" s="72"/>
      <c r="AW40" s="72"/>
      <c r="AX40" s="72"/>
      <c r="AY40" s="72"/>
      <c r="AZ40" s="72"/>
      <c r="BA40" s="74" t="str">
        <f t="shared" ref="BA40:BA51" si="9">DEC2HEX(HEX2DEC(C19),2)</f>
        <v>FF</v>
      </c>
    </row>
    <row r="41" spans="2:53" x14ac:dyDescent="0.25">
      <c r="N41" s="35"/>
      <c r="O41" s="26"/>
      <c r="P41" s="27" t="s">
        <v>47</v>
      </c>
      <c r="Q41" s="35"/>
      <c r="R41" s="27"/>
      <c r="S41" s="28">
        <f>HEX2DEC(R43)/2</f>
        <v>498</v>
      </c>
      <c r="T41" s="28">
        <f>HEX2DEC(P44)</f>
        <v>55386</v>
      </c>
      <c r="U41" s="28" t="str">
        <f>IF(_xlfn.BITAND(HEX2DEC(P45),64)=64,"Infinite Duration","")</f>
        <v/>
      </c>
      <c r="V41" s="28" t="str">
        <f>IF(N45="Straight","True","")</f>
        <v>True</v>
      </c>
      <c r="W41" s="28">
        <f>N44</f>
        <v>18</v>
      </c>
      <c r="X41" s="27"/>
      <c r="Y41" s="59"/>
      <c r="Z41" s="29"/>
      <c r="AT41" s="71"/>
      <c r="AU41" s="72"/>
      <c r="AV41" s="72"/>
      <c r="AW41" s="72"/>
      <c r="AX41" s="72"/>
      <c r="AY41" s="72"/>
      <c r="AZ41" s="72"/>
      <c r="BA41" s="74" t="str">
        <f t="shared" si="9"/>
        <v>FF</v>
      </c>
    </row>
    <row r="42" spans="2:53" x14ac:dyDescent="0.25">
      <c r="M42" s="41"/>
      <c r="N42" s="37"/>
      <c r="O42" s="30" t="s">
        <v>11</v>
      </c>
      <c r="P42" s="24" t="str">
        <f>MID(DEC2HEX(N43*2,4),1,2)</f>
        <v>03</v>
      </c>
      <c r="Q42" s="36"/>
      <c r="R42" s="48"/>
      <c r="S42" s="31"/>
      <c r="T42" s="31"/>
      <c r="U42" s="31"/>
      <c r="V42" s="31" t="str">
        <f>DEC2HEX(HEX2DEC(P42),2)</f>
        <v>03</v>
      </c>
      <c r="W42" s="31"/>
      <c r="X42" s="32"/>
      <c r="Y42" s="64"/>
      <c r="Z42" s="33"/>
      <c r="AT42" s="71"/>
      <c r="AU42" s="72"/>
      <c r="AV42" s="72"/>
      <c r="AW42" s="72"/>
      <c r="AX42" s="72"/>
      <c r="AY42" s="72"/>
      <c r="AZ42" s="72"/>
      <c r="BA42" s="74" t="str">
        <f t="shared" si="9"/>
        <v>FF</v>
      </c>
    </row>
    <row r="43" spans="2:53" x14ac:dyDescent="0.25">
      <c r="M43" s="38" t="s">
        <v>14</v>
      </c>
      <c r="N43" s="42">
        <v>498</v>
      </c>
      <c r="O43" s="21" t="s">
        <v>15</v>
      </c>
      <c r="P43" s="25" t="str">
        <f>MID(DEC2HEX(N43*2,4),3,2)</f>
        <v>E4</v>
      </c>
      <c r="Q43" s="36"/>
      <c r="R43" s="49" t="str">
        <f>P42&amp;""&amp;P43</f>
        <v>03E4</v>
      </c>
      <c r="S43" s="50"/>
      <c r="T43" s="50"/>
      <c r="U43" s="50"/>
      <c r="V43" s="50" t="str">
        <f t="shared" ref="V43:V45" si="10">DEC2HEX(HEX2DEC(P43),2)</f>
        <v>E4</v>
      </c>
      <c r="W43" s="50"/>
      <c r="X43" s="51" t="str">
        <f>HEX2DEC(R43)/2 &amp;"ms"</f>
        <v>498ms</v>
      </c>
      <c r="Y43" s="65"/>
      <c r="Z43" s="15"/>
      <c r="AT43" s="46"/>
      <c r="AU43" s="47"/>
      <c r="AV43" s="47"/>
      <c r="AW43" s="47"/>
      <c r="AX43" s="47"/>
      <c r="AY43" s="47"/>
      <c r="AZ43" s="72"/>
      <c r="BA43" s="74" t="str">
        <f t="shared" si="9"/>
        <v>01</v>
      </c>
    </row>
    <row r="44" spans="2:53" x14ac:dyDescent="0.25">
      <c r="M44" s="38" t="s">
        <v>20</v>
      </c>
      <c r="N44" s="43">
        <v>18</v>
      </c>
      <c r="O44" s="21" t="s">
        <v>21</v>
      </c>
      <c r="P44" s="39" t="str">
        <f>DEC2HEX(Q44*10000,8)</f>
        <v>0000D85A</v>
      </c>
      <c r="Q44" s="40">
        <f>IF(N44&lt;&gt;"",N44/1000*'UDS Commands'!$C$21,0)</f>
        <v>5.5385999999999997</v>
      </c>
      <c r="R44" s="49">
        <f>HEX2DEC(P44)</f>
        <v>55386</v>
      </c>
      <c r="S44" s="50"/>
      <c r="T44" s="50"/>
      <c r="U44" s="50"/>
      <c r="V44" s="12">
        <f>ROUND(Q44,0)</f>
        <v>6</v>
      </c>
      <c r="W44" s="50"/>
      <c r="X44" s="16" t="str">
        <f>ROUND(Q44,4) &amp;"% PWM"</f>
        <v>5.5386% PWM</v>
      </c>
      <c r="Y44" s="65"/>
      <c r="Z44" s="15" t="str">
        <f>IF(N44="","0 mA",N44 &amp; " mA")</f>
        <v>18 mA</v>
      </c>
      <c r="AT44" s="46"/>
      <c r="AU44" s="47"/>
      <c r="AV44" s="47"/>
      <c r="AW44" s="47"/>
      <c r="AX44" s="47"/>
      <c r="AY44" s="47"/>
      <c r="AZ44" s="72"/>
      <c r="BA44" s="74" t="str">
        <f t="shared" si="9"/>
        <v>05</v>
      </c>
    </row>
    <row r="45" spans="2:53" x14ac:dyDescent="0.25">
      <c r="M45" s="38" t="s">
        <v>23</v>
      </c>
      <c r="N45" s="44" t="s">
        <v>16</v>
      </c>
      <c r="O45" s="22" t="s">
        <v>23</v>
      </c>
      <c r="P45" s="23" t="str">
        <f>IF(N45="Straight","02",IF(N45="Ramp","82",IF(N45="Holding","42",IF(N45="None","00",IF(N45="","00")))))</f>
        <v>02</v>
      </c>
      <c r="Q45" s="38"/>
      <c r="R45" s="52">
        <f>_xlfn.BITAND(P45,128)</f>
        <v>0</v>
      </c>
      <c r="S45" s="17"/>
      <c r="T45" s="17"/>
      <c r="U45" s="17"/>
      <c r="V45" s="17" t="str">
        <f t="shared" si="10"/>
        <v>02</v>
      </c>
      <c r="W45" s="17"/>
      <c r="X45" s="18" t="str">
        <f>IF(_xlfn.BITAND(HEX2DEC(P45),128)=128,"Ramp Option Active","")</f>
        <v/>
      </c>
      <c r="Y45" s="62" t="str">
        <f>IF(_xlfn.BITAND(HEX2DEC(P45),32)=32,"Trigger Off(Unlocking)","")</f>
        <v/>
      </c>
      <c r="Z45" s="19" t="str">
        <f>IF(_xlfn.BITAND(HEX2DEC(P45),64)=64,"Infinite Duration","")</f>
        <v/>
      </c>
      <c r="AT45" s="46"/>
      <c r="AU45" s="47"/>
      <c r="AV45" s="47"/>
      <c r="AW45" s="47"/>
      <c r="AX45" s="47"/>
      <c r="AY45" s="47"/>
      <c r="AZ45" s="72"/>
      <c r="BA45" s="74" t="str">
        <f t="shared" si="9"/>
        <v>01</v>
      </c>
    </row>
    <row r="46" spans="2:53" x14ac:dyDescent="0.25">
      <c r="AT46" s="46"/>
      <c r="AU46" s="47"/>
      <c r="AV46" s="47"/>
      <c r="AW46" s="47"/>
      <c r="AX46" s="47"/>
      <c r="AY46" s="47"/>
      <c r="AZ46" s="72"/>
      <c r="BA46" s="74" t="str">
        <f t="shared" si="9"/>
        <v>02</v>
      </c>
    </row>
    <row r="47" spans="2:53" x14ac:dyDescent="0.25">
      <c r="N47" s="35"/>
      <c r="O47" s="26"/>
      <c r="P47" s="27" t="s">
        <v>48</v>
      </c>
      <c r="Q47" s="35"/>
      <c r="R47" s="27"/>
      <c r="S47" s="28">
        <f>HEX2DEC(R49)/2</f>
        <v>0</v>
      </c>
      <c r="T47" s="28">
        <f>HEX2DEC(P50)</f>
        <v>0</v>
      </c>
      <c r="U47" s="28" t="str">
        <f>IF(_xlfn.BITAND(HEX2DEC(P51),64)=64,"Infinite Duration","")</f>
        <v/>
      </c>
      <c r="V47" s="28" t="str">
        <f>IF(N51="Straight","True","")</f>
        <v/>
      </c>
      <c r="W47" s="28">
        <f>N49</f>
        <v>0</v>
      </c>
      <c r="X47" s="27"/>
      <c r="Y47" s="59"/>
      <c r="Z47" s="29"/>
      <c r="AT47" s="46"/>
      <c r="AU47" s="47"/>
      <c r="AV47" s="47"/>
      <c r="AW47" s="47"/>
      <c r="AX47" s="47"/>
      <c r="AY47" s="47"/>
      <c r="AZ47" s="72"/>
      <c r="BA47" s="74" t="str">
        <f t="shared" si="9"/>
        <v>03</v>
      </c>
    </row>
    <row r="48" spans="2:53" x14ac:dyDescent="0.25">
      <c r="M48" s="41"/>
      <c r="N48" s="37"/>
      <c r="O48" s="30" t="s">
        <v>11</v>
      </c>
      <c r="P48" s="24" t="str">
        <f>MID(DEC2HEX(N49*2,4),1,2)</f>
        <v>00</v>
      </c>
      <c r="Q48" s="36"/>
      <c r="R48" s="48"/>
      <c r="S48" s="31"/>
      <c r="T48" s="31"/>
      <c r="U48" s="31"/>
      <c r="V48" s="31" t="str">
        <f>DEC2HEX(HEX2DEC(P48),2)</f>
        <v>00</v>
      </c>
      <c r="W48" s="31"/>
      <c r="X48" s="32"/>
      <c r="Y48" s="64"/>
      <c r="Z48" s="33"/>
      <c r="AT48" s="46"/>
      <c r="AU48" s="47"/>
      <c r="AV48" s="47"/>
      <c r="AW48" s="47"/>
      <c r="AX48" s="47"/>
      <c r="AY48" s="47"/>
      <c r="AZ48" s="72"/>
      <c r="BA48" s="74" t="str">
        <f t="shared" si="9"/>
        <v>FF</v>
      </c>
    </row>
    <row r="49" spans="13:53" x14ac:dyDescent="0.25">
      <c r="M49" s="38" t="s">
        <v>14</v>
      </c>
      <c r="N49" s="42"/>
      <c r="O49" s="21" t="s">
        <v>15</v>
      </c>
      <c r="P49" s="25" t="str">
        <f>MID(DEC2HEX(N49*2,4),3,2)</f>
        <v>00</v>
      </c>
      <c r="Q49" s="36"/>
      <c r="R49" s="49" t="str">
        <f>P48&amp;""&amp;P49</f>
        <v>0000</v>
      </c>
      <c r="S49" s="50"/>
      <c r="T49" s="50"/>
      <c r="U49" s="50"/>
      <c r="V49" s="50" t="str">
        <f t="shared" ref="V49:V51" si="11">DEC2HEX(HEX2DEC(P49),2)</f>
        <v>00</v>
      </c>
      <c r="W49" s="50"/>
      <c r="X49" s="51" t="str">
        <f>HEX2DEC(R49)/2 &amp;"ms"</f>
        <v>0ms</v>
      </c>
      <c r="Y49" s="65"/>
      <c r="Z49" s="15"/>
      <c r="AT49" s="46"/>
      <c r="AU49" s="47"/>
      <c r="AV49" s="47"/>
      <c r="AW49" s="47"/>
      <c r="AX49" s="47"/>
      <c r="AY49" s="47"/>
      <c r="AZ49" s="72"/>
      <c r="BA49" s="74" t="str">
        <f t="shared" si="9"/>
        <v>FF</v>
      </c>
    </row>
    <row r="50" spans="13:53" x14ac:dyDescent="0.25">
      <c r="M50" s="38" t="s">
        <v>20</v>
      </c>
      <c r="N50" s="43"/>
      <c r="O50" s="21" t="s">
        <v>21</v>
      </c>
      <c r="P50" s="39" t="str">
        <f>DEC2HEX(Q50*10000,8)</f>
        <v>00000000</v>
      </c>
      <c r="Q50" s="40">
        <f>IF(N50&lt;&gt;"",N50/1000*'UDS Commands'!$C$21,0)</f>
        <v>0</v>
      </c>
      <c r="R50" s="49">
        <f>HEX2DEC(P50)</f>
        <v>0</v>
      </c>
      <c r="S50" s="50"/>
      <c r="T50" s="50"/>
      <c r="U50" s="50"/>
      <c r="V50" s="12">
        <f>ROUND(Q50,0)</f>
        <v>0</v>
      </c>
      <c r="W50" s="50"/>
      <c r="X50" s="16" t="str">
        <f>ROUND(Q50,4) &amp;"% PWM"</f>
        <v>0% PWM</v>
      </c>
      <c r="Y50" s="65"/>
      <c r="Z50" s="15" t="str">
        <f>IF(N50="","0 mA",N50 &amp; " mA")</f>
        <v>0 mA</v>
      </c>
      <c r="AT50" s="46"/>
      <c r="AU50" s="47"/>
      <c r="AV50" s="47"/>
      <c r="AW50" s="47"/>
      <c r="AX50" s="47"/>
      <c r="AY50" s="47"/>
      <c r="AZ50" s="72"/>
      <c r="BA50" s="74" t="str">
        <f t="shared" si="9"/>
        <v>FF</v>
      </c>
    </row>
    <row r="51" spans="13:53" x14ac:dyDescent="0.25">
      <c r="M51" s="38" t="s">
        <v>23</v>
      </c>
      <c r="N51" s="44"/>
      <c r="O51" s="22" t="s">
        <v>23</v>
      </c>
      <c r="P51" s="23" t="str">
        <f>IF(N51="Straight","02",IF(N51="Ramp","82",IF(N51="Holding","42",IF(N51="None","00",IF(N51="","00")))))</f>
        <v>00</v>
      </c>
      <c r="Q51" s="38"/>
      <c r="R51" s="52">
        <f>_xlfn.BITAND(P51,128)</f>
        <v>0</v>
      </c>
      <c r="S51" s="17"/>
      <c r="T51" s="17"/>
      <c r="U51" s="17"/>
      <c r="V51" s="17" t="str">
        <f t="shared" si="11"/>
        <v>00</v>
      </c>
      <c r="W51" s="17"/>
      <c r="X51" s="18" t="str">
        <f>IF(_xlfn.BITAND(HEX2DEC(P51),128)=128,"Ramp Option Active","")</f>
        <v/>
      </c>
      <c r="Y51" s="62" t="str">
        <f>IF(_xlfn.BITAND(HEX2DEC(P51),32)=32,"Trigger Off(Unlocking)","")</f>
        <v/>
      </c>
      <c r="Z51" s="19" t="str">
        <f>IF(_xlfn.BITAND(HEX2DEC(P51),64)=64,"Infinite Duration","")</f>
        <v/>
      </c>
      <c r="AT51" s="77"/>
      <c r="AU51" s="78"/>
      <c r="AV51" s="78"/>
      <c r="AW51" s="78"/>
      <c r="AX51" s="78"/>
      <c r="AY51" s="78"/>
      <c r="AZ51" s="78"/>
      <c r="BA51" s="79" t="str">
        <f t="shared" si="9"/>
        <v>FF</v>
      </c>
    </row>
  </sheetData>
  <mergeCells count="20">
    <mergeCell ref="G1:M2"/>
    <mergeCell ref="C4:J4"/>
    <mergeCell ref="B5:B7"/>
    <mergeCell ref="C5:J5"/>
    <mergeCell ref="K5:K7"/>
    <mergeCell ref="C6:J6"/>
    <mergeCell ref="C7:J7"/>
    <mergeCell ref="K8:K10"/>
    <mergeCell ref="B11:B17"/>
    <mergeCell ref="C11:J11"/>
    <mergeCell ref="K11:K17"/>
    <mergeCell ref="C13:H13"/>
    <mergeCell ref="I13:I17"/>
    <mergeCell ref="J13:J17"/>
    <mergeCell ref="C14:H14"/>
    <mergeCell ref="C15:H15"/>
    <mergeCell ref="C16:H16"/>
    <mergeCell ref="C17:H17"/>
    <mergeCell ref="B8:B10"/>
    <mergeCell ref="C8:J10"/>
  </mergeCells>
  <dataValidations count="2">
    <dataValidation type="list" allowBlank="1" showInputMessage="1" showErrorMessage="1" sqref="N9 N27 N21 N15" xr:uid="{70632E2E-29B7-42A9-AFEB-3A4F1D8FAD48}">
      <formula1>$AQ$6:$AQ$15</formula1>
    </dataValidation>
    <dataValidation type="list" allowBlank="1" showInputMessage="1" showErrorMessage="1" sqref="N51 N39 N45 N33" xr:uid="{3C35AB6E-11EE-4D01-863B-632760F5B3A1}">
      <formula1>$AQ$6:$AQ$8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1E9E-E9F4-4082-BF66-206106248DBB}">
  <dimension ref="B1:BI51"/>
  <sheetViews>
    <sheetView tabSelected="1" zoomScale="85" zoomScaleNormal="85" workbookViewId="0">
      <selection activeCell="C30" sqref="C30"/>
    </sheetView>
  </sheetViews>
  <sheetFormatPr defaultRowHeight="15" x14ac:dyDescent="0.25"/>
  <cols>
    <col min="2" max="2" width="16.28515625" bestFit="1" customWidth="1"/>
    <col min="5" max="5" width="14.28515625" customWidth="1"/>
    <col min="6" max="6" width="13.140625" bestFit="1" customWidth="1"/>
    <col min="9" max="9" width="13.140625" bestFit="1" customWidth="1"/>
    <col min="11" max="11" width="26" customWidth="1"/>
    <col min="12" max="12" width="13.140625" bestFit="1" customWidth="1"/>
    <col min="13" max="13" width="17.140625" customWidth="1"/>
    <col min="14" max="14" width="16" style="34" bestFit="1" customWidth="1"/>
    <col min="15" max="16" width="13.28515625" bestFit="1" customWidth="1"/>
    <col min="17" max="17" width="13.28515625" style="34" hidden="1" customWidth="1"/>
    <col min="18" max="18" width="7.42578125" hidden="1" customWidth="1"/>
    <col min="19" max="23" width="12.7109375" hidden="1" customWidth="1"/>
    <col min="24" max="24" width="19.28515625" bestFit="1" customWidth="1"/>
    <col min="25" max="25" width="19.28515625" style="58" customWidth="1"/>
    <col min="26" max="26" width="15.85546875" bestFit="1" customWidth="1"/>
    <col min="27" max="27" width="12.42578125" customWidth="1"/>
    <col min="28" max="28" width="16.85546875" customWidth="1"/>
    <col min="29" max="29" width="68.7109375" bestFit="1" customWidth="1"/>
    <col min="30" max="30" width="9.28515625" bestFit="1" customWidth="1"/>
    <col min="41" max="41" width="8" customWidth="1"/>
    <col min="42" max="42" width="14.140625" customWidth="1"/>
    <col min="43" max="43" width="16.7109375" bestFit="1" customWidth="1"/>
    <col min="44" max="44" width="6.42578125" bestFit="1" customWidth="1"/>
    <col min="45" max="45" width="5" customWidth="1"/>
    <col min="46" max="46" width="43.140625" bestFit="1" customWidth="1"/>
    <col min="47" max="47" width="13.28515625" customWidth="1"/>
    <col min="48" max="48" width="8.7109375" bestFit="1" customWidth="1"/>
    <col min="49" max="49" width="8.7109375" customWidth="1"/>
    <col min="50" max="50" width="8.42578125" bestFit="1" customWidth="1"/>
    <col min="51" max="51" width="22.85546875" bestFit="1" customWidth="1"/>
    <col min="52" max="52" width="16.7109375" bestFit="1" customWidth="1"/>
    <col min="53" max="53" width="18.85546875" customWidth="1"/>
  </cols>
  <sheetData>
    <row r="1" spans="2:54" x14ac:dyDescent="0.25">
      <c r="G1" s="119" t="s">
        <v>0</v>
      </c>
      <c r="H1" s="119"/>
      <c r="I1" s="119"/>
      <c r="J1" s="119"/>
      <c r="K1" s="119"/>
      <c r="L1" s="119"/>
      <c r="M1" s="119"/>
    </row>
    <row r="2" spans="2:54" x14ac:dyDescent="0.25">
      <c r="G2" s="119"/>
      <c r="H2" s="119"/>
      <c r="I2" s="119"/>
      <c r="J2" s="119"/>
      <c r="K2" s="119"/>
      <c r="L2" s="119"/>
      <c r="M2" s="119"/>
    </row>
    <row r="3" spans="2:54" ht="15.75" thickBot="1" x14ac:dyDescent="0.3"/>
    <row r="4" spans="2:54" ht="15.75" customHeight="1" thickBot="1" x14ac:dyDescent="0.3">
      <c r="B4" s="1" t="s">
        <v>1</v>
      </c>
      <c r="C4" s="120" t="s">
        <v>2</v>
      </c>
      <c r="D4" s="121"/>
      <c r="E4" s="121"/>
      <c r="F4" s="121"/>
      <c r="G4" s="121"/>
      <c r="H4" s="121"/>
      <c r="I4" s="121"/>
      <c r="J4" s="122"/>
      <c r="K4" s="80" t="s">
        <v>3</v>
      </c>
      <c r="N4"/>
      <c r="Q4" s="34" t="s">
        <v>4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</row>
    <row r="5" spans="2:54" ht="18" customHeight="1" x14ac:dyDescent="0.25">
      <c r="B5" s="103" t="s">
        <v>6</v>
      </c>
      <c r="C5" s="123" t="s">
        <v>52</v>
      </c>
      <c r="D5" s="109"/>
      <c r="E5" s="109"/>
      <c r="F5" s="109"/>
      <c r="G5" s="109"/>
      <c r="H5" s="109"/>
      <c r="I5" s="109"/>
      <c r="J5" s="124"/>
      <c r="K5" s="106" t="s">
        <v>7</v>
      </c>
      <c r="N5" s="35"/>
      <c r="O5" s="26"/>
      <c r="P5" s="27" t="s">
        <v>8</v>
      </c>
      <c r="Q5" s="35"/>
      <c r="R5" s="28"/>
      <c r="S5" s="28">
        <f>HEX2DEC(R7)/2</f>
        <v>12</v>
      </c>
      <c r="T5" s="28">
        <f>HEX2DEC(P8)</f>
        <v>830790</v>
      </c>
      <c r="U5" s="28" t="str">
        <f>IF(_xlfn.BITAND(HEX2DEC(P9),64)=64,"Infinite Duration","")</f>
        <v/>
      </c>
      <c r="V5" s="28" t="str">
        <f>IF(N9="Straight","True","")</f>
        <v>True</v>
      </c>
      <c r="W5" s="28">
        <f>N8</f>
        <v>270</v>
      </c>
      <c r="X5" s="27"/>
      <c r="Y5" s="59"/>
      <c r="Z5" s="29"/>
      <c r="AT5" s="68" t="s">
        <v>9</v>
      </c>
      <c r="AU5" s="69"/>
      <c r="AV5" s="69"/>
      <c r="AW5" s="69"/>
      <c r="AX5" s="69"/>
      <c r="AY5" s="69"/>
      <c r="AZ5" s="69"/>
      <c r="BA5" s="70"/>
    </row>
    <row r="6" spans="2:54" ht="15" customHeight="1" x14ac:dyDescent="0.25">
      <c r="B6" s="104"/>
      <c r="C6" s="125" t="s">
        <v>10</v>
      </c>
      <c r="D6" s="116"/>
      <c r="E6" s="116"/>
      <c r="F6" s="116"/>
      <c r="G6" s="116"/>
      <c r="H6" s="116"/>
      <c r="I6" s="116"/>
      <c r="J6" s="126"/>
      <c r="K6" s="107"/>
      <c r="M6" s="41"/>
      <c r="N6" s="37"/>
      <c r="O6" s="21" t="s">
        <v>11</v>
      </c>
      <c r="P6" s="24" t="str">
        <f>MID(DEC2HEX(N7*2,4),1,2)</f>
        <v>00</v>
      </c>
      <c r="Q6" s="36"/>
      <c r="R6" s="12"/>
      <c r="S6" s="12"/>
      <c r="T6" s="12"/>
      <c r="U6" s="12"/>
      <c r="V6" s="12" t="str">
        <f>DEC2HEX(HEX2DEC(P6),2)</f>
        <v>00</v>
      </c>
      <c r="W6" s="12"/>
      <c r="X6" s="12"/>
      <c r="Y6" s="60"/>
      <c r="Z6" s="13"/>
      <c r="AQ6" s="45" t="s">
        <v>12</v>
      </c>
      <c r="AT6" s="71"/>
      <c r="AU6" s="72"/>
      <c r="AV6" s="73" t="s">
        <v>6</v>
      </c>
      <c r="AW6" s="73"/>
      <c r="AX6" s="73" t="s">
        <v>17</v>
      </c>
      <c r="AY6" s="73" t="s">
        <v>33</v>
      </c>
      <c r="AZ6" s="72" t="s">
        <v>18</v>
      </c>
      <c r="BA6" s="74" t="s">
        <v>64</v>
      </c>
    </row>
    <row r="7" spans="2:54" ht="15.75" customHeight="1" thickBot="1" x14ac:dyDescent="0.3">
      <c r="B7" s="105"/>
      <c r="C7" s="127" t="s">
        <v>13</v>
      </c>
      <c r="D7" s="128"/>
      <c r="E7" s="128"/>
      <c r="F7" s="128"/>
      <c r="G7" s="128"/>
      <c r="H7" s="128"/>
      <c r="I7" s="128"/>
      <c r="J7" s="129"/>
      <c r="K7" s="108"/>
      <c r="M7" s="38" t="s">
        <v>14</v>
      </c>
      <c r="N7" s="42">
        <v>12</v>
      </c>
      <c r="O7" s="21" t="s">
        <v>15</v>
      </c>
      <c r="P7" s="25" t="str">
        <f>MID(DEC2HEX(N7*2,4),3,2)</f>
        <v>18</v>
      </c>
      <c r="Q7" s="36"/>
      <c r="R7" s="12" t="str">
        <f>P6&amp;""&amp;P7</f>
        <v>0018</v>
      </c>
      <c r="S7" s="12"/>
      <c r="T7" s="12"/>
      <c r="U7" s="12"/>
      <c r="V7" s="12" t="str">
        <f t="shared" ref="V7:V9" si="0">DEC2HEX(HEX2DEC(P7),2)</f>
        <v>18</v>
      </c>
      <c r="W7" s="12"/>
      <c r="X7" s="14" t="str">
        <f>HEX2DEC(R7)/2 &amp;"ms"</f>
        <v>12ms</v>
      </c>
      <c r="Y7" s="61"/>
      <c r="Z7" s="15"/>
      <c r="AQ7" s="45" t="s">
        <v>16</v>
      </c>
      <c r="AT7" s="71"/>
      <c r="AU7" s="72"/>
      <c r="AV7" s="75"/>
      <c r="AW7" s="75"/>
      <c r="AX7" s="75"/>
      <c r="AY7" s="72"/>
      <c r="AZ7" s="72"/>
      <c r="BA7" s="74"/>
    </row>
    <row r="8" spans="2:54" ht="15" customHeight="1" x14ac:dyDescent="0.25">
      <c r="B8" s="103" t="s">
        <v>19</v>
      </c>
      <c r="C8" s="85" t="s">
        <v>66</v>
      </c>
      <c r="D8" s="86"/>
      <c r="E8" s="86"/>
      <c r="F8" s="86"/>
      <c r="G8" s="86"/>
      <c r="H8" s="86"/>
      <c r="I8" s="86"/>
      <c r="J8" s="87"/>
      <c r="K8" s="106" t="s">
        <v>65</v>
      </c>
      <c r="M8" s="38" t="s">
        <v>20</v>
      </c>
      <c r="N8" s="43">
        <v>270</v>
      </c>
      <c r="O8" s="21" t="s">
        <v>21</v>
      </c>
      <c r="P8" s="39" t="str">
        <f>DEC2HEX(Q8*10000,8)</f>
        <v>000CAD46</v>
      </c>
      <c r="Q8" s="40">
        <f>IF(N8&lt;&gt;"",N8/1000*'UDS Commands'!$C$21,0)</f>
        <v>83.079000000000008</v>
      </c>
      <c r="R8" s="12">
        <f>HEX2DEC(P8)</f>
        <v>830790</v>
      </c>
      <c r="S8" s="12"/>
      <c r="T8" s="12"/>
      <c r="U8" s="12"/>
      <c r="V8" s="12">
        <f>ROUND(Q8,0)</f>
        <v>83</v>
      </c>
      <c r="W8" s="12"/>
      <c r="X8" s="16" t="str">
        <f>ROUND(Q8,4) &amp;"% PWM"</f>
        <v>83.079% PWM</v>
      </c>
      <c r="Y8" s="61"/>
      <c r="Z8" s="15" t="str">
        <f>IF(N8="","0 mA",N8 &amp; " mA")</f>
        <v>270 mA</v>
      </c>
      <c r="AQ8" s="45" t="s">
        <v>22</v>
      </c>
      <c r="AT8" s="71" t="s">
        <v>63</v>
      </c>
      <c r="AU8" s="72"/>
      <c r="AV8" s="75">
        <v>0</v>
      </c>
      <c r="AW8" s="81">
        <f ca="1">AX8/10000</f>
        <v>5.5385999999999997</v>
      </c>
      <c r="AX8" s="75">
        <f ca="1">AX10</f>
        <v>55386</v>
      </c>
      <c r="AY8" s="72">
        <f ca="1">AY10</f>
        <v>18</v>
      </c>
      <c r="AZ8" s="72"/>
      <c r="BA8" s="74"/>
    </row>
    <row r="9" spans="2:54" x14ac:dyDescent="0.25">
      <c r="B9" s="104"/>
      <c r="C9" s="88"/>
      <c r="D9" s="89"/>
      <c r="E9" s="89"/>
      <c r="F9" s="89"/>
      <c r="G9" s="89"/>
      <c r="H9" s="89"/>
      <c r="I9" s="89"/>
      <c r="J9" s="90"/>
      <c r="K9" s="107"/>
      <c r="M9" s="38" t="s">
        <v>23</v>
      </c>
      <c r="N9" s="44" t="s">
        <v>16</v>
      </c>
      <c r="O9" s="22" t="s">
        <v>23</v>
      </c>
      <c r="P9" s="23" t="str">
        <f>IF(N9="Straight","02",IF(N9="Straight+TrigOff","22",IF(N9="Ramp+TrigOff","A2",IF(N9="Ramp","82",IF(N9="Holding","42",IF(N9="None","00",IF(N9="","00")))))))</f>
        <v>02</v>
      </c>
      <c r="Q9" s="38"/>
      <c r="R9" s="17"/>
      <c r="S9" s="17"/>
      <c r="T9" s="17"/>
      <c r="U9" s="17"/>
      <c r="V9" s="12" t="str">
        <f t="shared" si="0"/>
        <v>02</v>
      </c>
      <c r="W9" s="12"/>
      <c r="X9" s="18" t="str">
        <f>IF(_xlfn.BITAND(HEX2DEC(P9),128)=128,"Ramp Option Active","")</f>
        <v/>
      </c>
      <c r="Y9" s="62" t="str">
        <f>IF(_xlfn.BITAND(HEX2DEC(P9),32)=32,"Trigger Off(Unlocking)","")</f>
        <v/>
      </c>
      <c r="Z9" s="19" t="str">
        <f>IF(_xlfn.BITAND(HEX2DEC(P9),64)=64,"Infinite Duration","")</f>
        <v/>
      </c>
      <c r="AQ9" s="66" t="s">
        <v>57</v>
      </c>
      <c r="AT9" s="71"/>
      <c r="AU9" s="72"/>
      <c r="AV9" s="75">
        <f ca="1">IF(BA10="Straight",AV8,(AV10+AV8)/2)</f>
        <v>0</v>
      </c>
      <c r="AW9" s="81">
        <f t="shared" ref="AW9:AW10" ca="1" si="1">AX9/10000</f>
        <v>5.5385999999999997</v>
      </c>
      <c r="AX9" s="75">
        <f ca="1">IF(BA10="Straight",AX10,IF(AX8=AX10,AX8,(AX8+AX10)/2))</f>
        <v>55386</v>
      </c>
      <c r="AY9" s="75">
        <f ca="1">IF(BA10="Straight",AY10,IF(AY8=AY10,AY8,(AY8+AY10)/2))</f>
        <v>18</v>
      </c>
      <c r="AZ9" s="72"/>
      <c r="BA9" s="74"/>
    </row>
    <row r="10" spans="2:54" ht="15.75" customHeight="1" thickBot="1" x14ac:dyDescent="0.3">
      <c r="B10" s="105"/>
      <c r="C10" s="91"/>
      <c r="D10" s="92"/>
      <c r="E10" s="92"/>
      <c r="F10" s="92"/>
      <c r="G10" s="92"/>
      <c r="H10" s="92"/>
      <c r="I10" s="92"/>
      <c r="J10" s="93"/>
      <c r="K10" s="108"/>
      <c r="X10" s="4"/>
      <c r="Y10" s="63"/>
      <c r="Z10" s="11" t="str">
        <f>IF(_xlfn.BITAND(HEX2DEC(P9),64)=64,"Infinite Duration","")</f>
        <v/>
      </c>
      <c r="AO10" s="5" t="str">
        <f>IF(_xlfn.BITAND(HEX2DEC(P21),64)=64,"Infinite Duration","")</f>
        <v/>
      </c>
      <c r="AQ10" s="66" t="s">
        <v>58</v>
      </c>
      <c r="AT10" s="76" t="str">
        <f>"Step "&amp;HEX2DEC(C23)</f>
        <v>Step 6</v>
      </c>
      <c r="AU10" s="72">
        <f>IF(C23&lt;&gt;"FF",MATCH(AT10,$P:$P,0),"")</f>
        <v>41</v>
      </c>
      <c r="AV10" s="75" cm="1">
        <f t="array" aca="1" ref="AV10" ca="1">IF(C23&lt;&gt;"FF",IF(AZ10&lt;&gt;"",AZ10,INDIRECT(ADDRESS(AU10,19))),"")</f>
        <v>498</v>
      </c>
      <c r="AW10" s="81">
        <f t="shared" ca="1" si="1"/>
        <v>5.5385999999999997</v>
      </c>
      <c r="AX10" s="75" cm="1">
        <f t="array" aca="1" ref="AX10" ca="1">IF(C23&lt;&gt;"FF",INDIRECT(ADDRESS(AU10,20)),"")</f>
        <v>55386</v>
      </c>
      <c r="AY10" s="72" cm="1">
        <f t="array" aca="1" ref="AY10" ca="1">IF(C23&lt;&gt;"FF",INDIRECT(ADDRESS(AU10,23)),"")</f>
        <v>18</v>
      </c>
      <c r="AZ10" s="72" t="str" cm="1">
        <f t="array" aca="1" ref="AZ10" ca="1">IF(C23&lt;&gt;"FF",IF(""&lt;&gt;INDIRECT(ADDRESS(AU10,21)),9999,""),"")</f>
        <v/>
      </c>
      <c r="BA10" s="74" t="str" cm="1">
        <f t="array" aca="1" ref="BA10" ca="1">IF(C23&lt;&gt;"FF",IF(""&lt;&gt;INDIRECT(ADDRESS(AU10,22)),"Straight",""),"")</f>
        <v>Straight</v>
      </c>
    </row>
    <row r="11" spans="2:54" ht="15.75" customHeight="1" thickBot="1" x14ac:dyDescent="0.3">
      <c r="B11" s="94" t="s">
        <v>23</v>
      </c>
      <c r="C11" s="97" t="s">
        <v>25</v>
      </c>
      <c r="D11" s="98"/>
      <c r="E11" s="98"/>
      <c r="F11" s="98"/>
      <c r="G11" s="98"/>
      <c r="H11" s="98"/>
      <c r="I11" s="98"/>
      <c r="J11" s="99"/>
      <c r="K11" s="100" t="s">
        <v>26</v>
      </c>
      <c r="N11" s="35"/>
      <c r="O11" s="26"/>
      <c r="P11" s="27" t="s">
        <v>27</v>
      </c>
      <c r="Q11" s="35"/>
      <c r="R11" s="27"/>
      <c r="S11" s="28">
        <f>HEX2DEC(R13)/2</f>
        <v>12</v>
      </c>
      <c r="T11" s="28">
        <f>HEX2DEC(P14)</f>
        <v>892329</v>
      </c>
      <c r="U11" s="28" t="str">
        <f>IF(_xlfn.BITAND(HEX2DEC(P15),64)=64,"Infinite Duration","")</f>
        <v/>
      </c>
      <c r="V11" s="28" t="str">
        <f>IF(N15="Straight","True","")</f>
        <v>True</v>
      </c>
      <c r="W11" s="28">
        <f>N14</f>
        <v>290</v>
      </c>
      <c r="X11" s="27"/>
      <c r="Y11" s="59"/>
      <c r="Z11" s="29"/>
      <c r="AQ11" s="66" t="s">
        <v>24</v>
      </c>
      <c r="AT11" s="71"/>
      <c r="AU11" s="72"/>
      <c r="AV11" s="75"/>
      <c r="AW11" s="81"/>
      <c r="AX11" s="75"/>
      <c r="AY11" s="75"/>
      <c r="AZ11" s="72"/>
      <c r="BA11" s="74"/>
      <c r="BB11" s="67"/>
    </row>
    <row r="12" spans="2:54" ht="15.75" thickBot="1" x14ac:dyDescent="0.3">
      <c r="B12" s="95"/>
      <c r="C12" s="2" t="s">
        <v>28</v>
      </c>
      <c r="D12" s="2" t="s">
        <v>29</v>
      </c>
      <c r="E12" s="2" t="s">
        <v>53</v>
      </c>
      <c r="F12" s="3"/>
      <c r="G12" s="3"/>
      <c r="H12" s="2" t="s">
        <v>30</v>
      </c>
      <c r="I12" s="2" t="s">
        <v>30</v>
      </c>
      <c r="J12" s="2" t="s">
        <v>30</v>
      </c>
      <c r="K12" s="101"/>
      <c r="M12" s="41"/>
      <c r="N12" s="37"/>
      <c r="O12" s="21" t="s">
        <v>11</v>
      </c>
      <c r="P12" s="24" t="str">
        <f>MID(DEC2HEX(N13*2,4),1,2)</f>
        <v>00</v>
      </c>
      <c r="Q12" s="36"/>
      <c r="R12" s="48"/>
      <c r="S12" s="31"/>
      <c r="T12" s="31"/>
      <c r="U12" s="31"/>
      <c r="V12" s="31" t="str">
        <f>DEC2HEX(HEX2DEC(P12),2)</f>
        <v>00</v>
      </c>
      <c r="W12" s="31"/>
      <c r="X12" s="32"/>
      <c r="Y12" s="64"/>
      <c r="Z12" s="33"/>
      <c r="AT12" s="76" t="str">
        <f>"Step "&amp;HEX2DEC(C24)</f>
        <v>Step 4</v>
      </c>
      <c r="AU12" s="72">
        <f>IF(C24&lt;&gt;"FF",MATCH(AT12,$P:$P,0),"")</f>
        <v>29</v>
      </c>
      <c r="AV12" s="75"/>
      <c r="AW12" s="81"/>
      <c r="AX12" s="75"/>
      <c r="AY12" s="72"/>
      <c r="AZ12" s="72" t="str" cm="1">
        <f t="array" aca="1" ref="AZ12" ca="1">IF(C24&lt;&gt;"FF",IF(""&lt;&gt;INDIRECT(ADDRESS(AU12,21)),9999,""),"")</f>
        <v/>
      </c>
      <c r="BA12" s="74" t="str" cm="1">
        <f t="array" aca="1" ref="BA12" ca="1">IF(C24&lt;&gt;"FF",IF(""&lt;&gt;INDIRECT(ADDRESS(AU12,22)),"Straight",""),"")</f>
        <v>Straight</v>
      </c>
    </row>
    <row r="13" spans="2:54" ht="15" customHeight="1" x14ac:dyDescent="0.25">
      <c r="B13" s="95"/>
      <c r="C13" s="109" t="s">
        <v>56</v>
      </c>
      <c r="D13" s="109"/>
      <c r="E13" s="109"/>
      <c r="F13" s="109"/>
      <c r="G13" s="109"/>
      <c r="H13" s="109"/>
      <c r="I13" s="110"/>
      <c r="J13" s="113"/>
      <c r="K13" s="101"/>
      <c r="M13" s="38" t="s">
        <v>14</v>
      </c>
      <c r="N13" s="42">
        <v>12</v>
      </c>
      <c r="O13" s="21" t="s">
        <v>15</v>
      </c>
      <c r="P13" s="25" t="str">
        <f>MID(DEC2HEX(N13*2,4),3,2)</f>
        <v>18</v>
      </c>
      <c r="Q13" s="36"/>
      <c r="R13" s="49" t="str">
        <f>P12&amp;""&amp;P13</f>
        <v>0018</v>
      </c>
      <c r="S13" s="50"/>
      <c r="T13" s="50"/>
      <c r="U13" s="50"/>
      <c r="V13" s="50" t="str">
        <f t="shared" ref="V13" si="2">DEC2HEX(HEX2DEC(P13),2)</f>
        <v>18</v>
      </c>
      <c r="W13" s="50"/>
      <c r="X13" s="51" t="str">
        <f>HEX2DEC(R13)/2 &amp;"ms"</f>
        <v>12ms</v>
      </c>
      <c r="Y13" s="65"/>
      <c r="Z13" s="15"/>
      <c r="AT13" s="71"/>
      <c r="AU13" s="72"/>
      <c r="AV13" s="75"/>
      <c r="AW13" s="81"/>
      <c r="AX13" s="75"/>
      <c r="AY13" s="75"/>
      <c r="AZ13" s="72"/>
      <c r="BA13" s="74"/>
    </row>
    <row r="14" spans="2:54" ht="15" customHeight="1" x14ac:dyDescent="0.25">
      <c r="B14" s="95"/>
      <c r="C14" s="116" t="s">
        <v>55</v>
      </c>
      <c r="D14" s="116"/>
      <c r="E14" s="116"/>
      <c r="F14" s="116"/>
      <c r="G14" s="116"/>
      <c r="H14" s="116"/>
      <c r="I14" s="111"/>
      <c r="J14" s="114"/>
      <c r="K14" s="101"/>
      <c r="M14" s="38" t="s">
        <v>20</v>
      </c>
      <c r="N14" s="43">
        <v>290</v>
      </c>
      <c r="O14" s="21" t="s">
        <v>21</v>
      </c>
      <c r="P14" s="39" t="str">
        <f>DEC2HEX(Q14*10000,8)</f>
        <v>000D9DA9</v>
      </c>
      <c r="Q14" s="40">
        <f>IF(N14&lt;&gt;"",N14/1000*'UDS Commands'!$C$21,0)</f>
        <v>89.23299999999999</v>
      </c>
      <c r="R14" s="49">
        <f>HEX2DEC(P14)</f>
        <v>892329</v>
      </c>
      <c r="S14" s="50"/>
      <c r="T14" s="50"/>
      <c r="U14" s="50"/>
      <c r="V14" s="12">
        <f>ROUND(Q14,0)</f>
        <v>89</v>
      </c>
      <c r="W14" s="50"/>
      <c r="X14" s="16" t="str">
        <f>ROUND(Q14,4) &amp;"% PWM"</f>
        <v>89.233% PWM</v>
      </c>
      <c r="Y14" s="65"/>
      <c r="Z14" s="15" t="str">
        <f>IF(N14="","0 mA",N14 &amp; " mA")</f>
        <v>290 mA</v>
      </c>
      <c r="AT14" s="76" t="str">
        <f>"Step "&amp;HEX2DEC(C25)</f>
        <v>Step 255</v>
      </c>
      <c r="AU14" s="72" t="str">
        <f>IF(C25&lt;&gt;"FF",MATCH(AT14,$P:$P,0),"")</f>
        <v/>
      </c>
      <c r="AV14" s="75"/>
      <c r="AW14" s="81"/>
      <c r="AX14" s="75"/>
      <c r="AY14" s="72"/>
      <c r="AZ14" s="72" t="str" cm="1">
        <f t="array" aca="1" ref="AZ14" ca="1">IF(C25&lt;&gt;"FF",IF(""&lt;&gt;INDIRECT(ADDRESS(AU14,21)),9999,""),"")</f>
        <v/>
      </c>
      <c r="BA14" s="74" t="str" cm="1">
        <f t="array" aca="1" ref="BA14" ca="1">IF(C25&lt;&gt;"FF",IF(""&lt;&gt;INDIRECT(ADDRESS(AU14,22)),"Straight",""),"")</f>
        <v/>
      </c>
    </row>
    <row r="15" spans="2:54" ht="15" customHeight="1" x14ac:dyDescent="0.25">
      <c r="B15" s="95"/>
      <c r="C15" s="117" t="s">
        <v>54</v>
      </c>
      <c r="D15" s="117"/>
      <c r="E15" s="117"/>
      <c r="F15" s="117"/>
      <c r="G15" s="117"/>
      <c r="H15" s="117"/>
      <c r="I15" s="111"/>
      <c r="J15" s="114"/>
      <c r="K15" s="101"/>
      <c r="M15" s="38" t="s">
        <v>23</v>
      </c>
      <c r="N15" s="44" t="s">
        <v>16</v>
      </c>
      <c r="O15" s="22" t="s">
        <v>23</v>
      </c>
      <c r="P15" s="23" t="str">
        <f>IF(N15="Straight","02",IF(N15="Straight+TrigOff","22",IF(N15="Ramp+TrigOff","A2",IF(N15="Ramp","82",IF(N15="Holding","42",IF(N15="None","00",IF(N15="","00")))))))</f>
        <v>02</v>
      </c>
      <c r="Q15" s="38"/>
      <c r="R15" s="53"/>
      <c r="S15" s="20"/>
      <c r="T15" s="20"/>
      <c r="U15" s="20"/>
      <c r="V15" s="17" t="str">
        <f t="shared" ref="V15" si="3">DEC2HEX(HEX2DEC(P15),2)</f>
        <v>02</v>
      </c>
      <c r="W15" s="17"/>
      <c r="X15" s="18" t="str">
        <f>IF(_xlfn.BITAND(HEX2DEC(P15),128)=128,"Ramp Option Active","")</f>
        <v/>
      </c>
      <c r="Y15" s="62" t="str">
        <f>IF(_xlfn.BITAND(HEX2DEC(P15),32)=32,"Trigger Off(Unlocking)","")</f>
        <v/>
      </c>
      <c r="Z15" s="19" t="str">
        <f>IF(_xlfn.BITAND(HEX2DEC(P15),64)=64,"Infinite Duration","")</f>
        <v/>
      </c>
      <c r="AT15" s="71"/>
      <c r="AU15" s="72"/>
      <c r="AV15" s="75"/>
      <c r="AW15" s="81"/>
      <c r="AX15" s="75"/>
      <c r="AY15" s="75"/>
      <c r="AZ15" s="72"/>
      <c r="BA15" s="74"/>
    </row>
    <row r="16" spans="2:54" ht="15" customHeight="1" x14ac:dyDescent="0.25">
      <c r="B16" s="95"/>
      <c r="C16" s="116" t="s">
        <v>31</v>
      </c>
      <c r="D16" s="116"/>
      <c r="E16" s="116"/>
      <c r="F16" s="116"/>
      <c r="G16" s="116"/>
      <c r="H16" s="116"/>
      <c r="I16" s="111"/>
      <c r="J16" s="114"/>
      <c r="K16" s="101"/>
      <c r="X16" s="4"/>
      <c r="Y16" s="63"/>
      <c r="Z16" s="4"/>
      <c r="AO16" s="45" t="s">
        <v>32</v>
      </c>
      <c r="AP16" s="45" t="s">
        <v>33</v>
      </c>
      <c r="AQ16" s="45" t="s">
        <v>17</v>
      </c>
      <c r="AT16" s="76" t="str">
        <f>"Step "&amp;HEX2DEC(C26)</f>
        <v>Step 255</v>
      </c>
      <c r="AU16" s="72" t="str">
        <f>IF(C26&lt;&gt;"FF",MATCH(AT16,$P:$P,0),"")</f>
        <v/>
      </c>
      <c r="AV16" s="75"/>
      <c r="AW16" s="81"/>
      <c r="AX16" s="75"/>
      <c r="AY16" s="72"/>
      <c r="AZ16" s="72" t="str" cm="1">
        <f t="array" aca="1" ref="AZ16" ca="1">IF(C26&lt;&gt;"FF",IF(""&lt;&gt;INDIRECT(ADDRESS(AU16,21)),9999,""),"")</f>
        <v/>
      </c>
      <c r="BA16" s="74" t="str" cm="1">
        <f t="array" aca="1" ref="BA16" ca="1">IF(C26&lt;&gt;"FF",IF(""&lt;&gt;INDIRECT(ADDRESS(AU16,22)),"Straight",""),"")</f>
        <v/>
      </c>
    </row>
    <row r="17" spans="2:61" ht="15.75" customHeight="1" thickBot="1" x14ac:dyDescent="0.3">
      <c r="B17" s="96"/>
      <c r="C17" s="118" t="s">
        <v>34</v>
      </c>
      <c r="D17" s="118"/>
      <c r="E17" s="118"/>
      <c r="F17" s="118"/>
      <c r="G17" s="118"/>
      <c r="H17" s="118"/>
      <c r="I17" s="112"/>
      <c r="J17" s="115"/>
      <c r="K17" s="102"/>
      <c r="N17" s="35"/>
      <c r="O17" s="26"/>
      <c r="P17" s="27" t="s">
        <v>35</v>
      </c>
      <c r="Q17" s="35"/>
      <c r="R17" s="27"/>
      <c r="S17" s="28">
        <f>HEX2DEC(R19)/2</f>
        <v>60</v>
      </c>
      <c r="T17" s="28">
        <f>HEX2DEC(P20)</f>
        <v>276930</v>
      </c>
      <c r="U17" s="28" t="str">
        <f>IF(_xlfn.BITAND(HEX2DEC(P21),64)=64,"Infinite Duration","")</f>
        <v/>
      </c>
      <c r="V17" s="28" t="str">
        <f>IF(N21="Straight","True","")</f>
        <v/>
      </c>
      <c r="W17" s="28">
        <f>N20</f>
        <v>90</v>
      </c>
      <c r="X17" s="27"/>
      <c r="Y17" s="59"/>
      <c r="Z17" s="29"/>
      <c r="AO17" s="45">
        <v>0</v>
      </c>
      <c r="AP17" s="45">
        <v>190</v>
      </c>
      <c r="AQ17" s="45">
        <v>75</v>
      </c>
      <c r="AT17" s="71"/>
      <c r="AU17" s="72"/>
      <c r="AV17" s="75" t="str">
        <f>IF(C27&lt;&gt;"FF",IF(BA18="Straight",AV16,(AV18+AV16)/2),"")</f>
        <v/>
      </c>
      <c r="AW17" s="75"/>
      <c r="AX17" s="75" t="str">
        <f>IF(C27&lt;&gt;"FF",IF(BA18="Straight",AX18,IF(AX16=AX18,AX16,(AX16+AX18)/2)),"")</f>
        <v/>
      </c>
      <c r="AY17" s="75" t="str">
        <f>IF(C27&lt;&gt;"FF",IF(BB18="Straight",AY18,IF(AY16=AY18,AY16,(AY16+AY18)/2)),"")</f>
        <v/>
      </c>
      <c r="AZ17" s="72"/>
      <c r="BA17" s="74"/>
    </row>
    <row r="18" spans="2:61" x14ac:dyDescent="0.25">
      <c r="M18" s="41"/>
      <c r="N18" s="37"/>
      <c r="O18" s="21" t="s">
        <v>11</v>
      </c>
      <c r="P18" s="24" t="str">
        <f>MID(DEC2HEX(N19*2,4),1,2)</f>
        <v>00</v>
      </c>
      <c r="Q18" s="36"/>
      <c r="R18" s="48"/>
      <c r="S18" s="31"/>
      <c r="T18" s="31"/>
      <c r="U18" s="31"/>
      <c r="V18" s="31" t="str">
        <f>DEC2HEX(HEX2DEC(P18),2)</f>
        <v>00</v>
      </c>
      <c r="W18" s="31"/>
      <c r="X18" s="32"/>
      <c r="Y18" s="64"/>
      <c r="Z18" s="33"/>
      <c r="AO18" s="45">
        <f>N7</f>
        <v>12</v>
      </c>
      <c r="AP18" s="45">
        <f>N8</f>
        <v>270</v>
      </c>
      <c r="AQ18" s="45">
        <f>Q8</f>
        <v>83.079000000000008</v>
      </c>
      <c r="AT18" s="76" t="str">
        <f>"Step "&amp;HEX2DEC(C27)</f>
        <v>Step 255</v>
      </c>
      <c r="AU18" s="72" t="str">
        <f>IF(C27&lt;&gt;"FF",MATCH(AT18,$P:$P,0),"")</f>
        <v/>
      </c>
      <c r="AV18" s="75" t="str" cm="1">
        <f t="array" aca="1" ref="AV18" ca="1">IF(C27&lt;&gt;"FF",IF(AZ18&lt;&gt;"",AZ18,INDIRECT(ADDRESS(AU18,19)))+AV16,"")</f>
        <v/>
      </c>
      <c r="AW18" s="75"/>
      <c r="AX18" s="75" t="str" cm="1">
        <f t="array" aca="1" ref="AX18" ca="1">IF(C27&lt;&gt;"FF",INDIRECT(ADDRESS(AU18,20)),"")</f>
        <v/>
      </c>
      <c r="AY18" s="72" t="str" cm="1">
        <f t="array" aca="1" ref="AY18" ca="1">IF(C27&lt;&gt;"FF",INDIRECT(ADDRESS(AU18,23)),"")</f>
        <v/>
      </c>
      <c r="AZ18" s="72" t="str" cm="1">
        <f t="array" aca="1" ref="AZ18" ca="1">IF(C27&lt;&gt;"FF",IF(""&lt;&gt;INDIRECT(ADDRESS(AU18,21)),9999,""),"")</f>
        <v/>
      </c>
      <c r="BA18" s="74" t="str" cm="1">
        <f t="array" aca="1" ref="BA18" ca="1">IF(C27&lt;&gt;"FF",IF(""&lt;&gt;INDIRECT(ADDRESS(AU18,22)),"Straight",""),"")</f>
        <v/>
      </c>
    </row>
    <row r="19" spans="2:61" x14ac:dyDescent="0.25">
      <c r="B19" s="8" t="s">
        <v>36</v>
      </c>
      <c r="C19" s="10" t="s">
        <v>37</v>
      </c>
      <c r="M19" s="38" t="s">
        <v>14</v>
      </c>
      <c r="N19" s="42">
        <v>60</v>
      </c>
      <c r="O19" s="21" t="s">
        <v>15</v>
      </c>
      <c r="P19" s="25" t="str">
        <f>MID(DEC2HEX(N19*2,4),3,2)</f>
        <v>78</v>
      </c>
      <c r="Q19" s="36"/>
      <c r="R19" s="49" t="str">
        <f>P18&amp;""&amp;P19</f>
        <v>0078</v>
      </c>
      <c r="S19" s="50"/>
      <c r="T19" s="50"/>
      <c r="U19" s="50"/>
      <c r="V19" s="50" t="str">
        <f t="shared" ref="V19" si="4">DEC2HEX(HEX2DEC(P19),2)</f>
        <v>78</v>
      </c>
      <c r="W19" s="50"/>
      <c r="X19" s="51" t="str">
        <f>HEX2DEC(R19)/2 &amp;"ms"</f>
        <v>60ms</v>
      </c>
      <c r="Y19" s="65"/>
      <c r="Z19" s="15"/>
      <c r="AO19" s="45">
        <f>N13</f>
        <v>12</v>
      </c>
      <c r="AP19" s="45">
        <f>N14</f>
        <v>290</v>
      </c>
      <c r="AQ19" s="45">
        <f>Q14</f>
        <v>89.23299999999999</v>
      </c>
      <c r="AT19" s="71"/>
      <c r="AU19" s="72"/>
      <c r="AV19" s="75" t="str">
        <f>IF(C28&lt;&gt;"FF",IF(BA20="Straight",AV18,(AV20+AV18)/2),"")</f>
        <v/>
      </c>
      <c r="AW19" s="75"/>
      <c r="AX19" s="75" t="str">
        <f>IF(C28&lt;&gt;"FF",IF(BA20="Straight",AX20,IF(AX18=AX20,AX18,(AX18+AX20)/2)),"")</f>
        <v/>
      </c>
      <c r="AY19" s="75" t="str">
        <f>IF(C28&lt;&gt;"FF",IF(BB20="Straight",AY20,IF(AY18=AY20,AY18,(AY18+AY20)/2)),"")</f>
        <v/>
      </c>
      <c r="AZ19" s="72"/>
      <c r="BA19" s="74"/>
    </row>
    <row r="20" spans="2:61" x14ac:dyDescent="0.25">
      <c r="B20" s="8" t="s">
        <v>38</v>
      </c>
      <c r="C20" s="10" t="s">
        <v>37</v>
      </c>
      <c r="M20" s="38" t="s">
        <v>20</v>
      </c>
      <c r="N20" s="43">
        <v>90</v>
      </c>
      <c r="O20" s="21" t="s">
        <v>21</v>
      </c>
      <c r="P20" s="39" t="str">
        <f>DEC2HEX(Q20*10000,8)</f>
        <v>000439C2</v>
      </c>
      <c r="Q20" s="40">
        <f>IF(N20&lt;&gt;"",N20/1000*'UDS Commands'!$C$21,0)</f>
        <v>27.692999999999998</v>
      </c>
      <c r="R20" s="49">
        <f>HEX2DEC(P20)</f>
        <v>276930</v>
      </c>
      <c r="S20" s="50"/>
      <c r="T20" s="50"/>
      <c r="U20" s="50"/>
      <c r="V20" s="12">
        <f>ROUND(Q20,0)</f>
        <v>28</v>
      </c>
      <c r="W20" s="50"/>
      <c r="X20" s="16" t="str">
        <f>ROUND(Q20,4) &amp;"% PWM"</f>
        <v>27.693% PWM</v>
      </c>
      <c r="Y20" s="65"/>
      <c r="Z20" s="15" t="str">
        <f>IF(N20="","0 mA",N20 &amp; " mA")</f>
        <v>90 mA</v>
      </c>
      <c r="AO20" s="45">
        <f>N19</f>
        <v>60</v>
      </c>
      <c r="AP20" s="45">
        <f>N20</f>
        <v>90</v>
      </c>
      <c r="AQ20" s="45">
        <f>Q20</f>
        <v>27.692999999999998</v>
      </c>
      <c r="AT20" s="76" t="str">
        <f>"Step "&amp;HEX2DEC(C28)</f>
        <v>Step 255</v>
      </c>
      <c r="AU20" s="72" t="str">
        <f>IF(C28&lt;&gt;"FF",MATCH(AT20,$P:$P,0),"")</f>
        <v/>
      </c>
      <c r="AV20" s="75" t="str" cm="1">
        <f t="array" aca="1" ref="AV20" ca="1">IF(C28&lt;&gt;"FF",IF(AZ20&lt;&gt;"",AZ20,INDIRECT(ADDRESS(AU20,19)))+AV18,"")</f>
        <v/>
      </c>
      <c r="AW20" s="75"/>
      <c r="AX20" s="75" t="str" cm="1">
        <f t="array" aca="1" ref="AX20" ca="1">IF(C28&lt;&gt;"FF",INDIRECT(ADDRESS(AU20,20)),"")</f>
        <v/>
      </c>
      <c r="AY20" s="72" t="str" cm="1">
        <f t="array" aca="1" ref="AY20" ca="1">IF(C28&lt;&gt;"FF",INDIRECT(ADDRESS(AU20,23)),"")</f>
        <v/>
      </c>
      <c r="AZ20" s="72" t="str" cm="1">
        <f t="array" aca="1" ref="AZ20" ca="1">IF(C28&lt;&gt;"FF",IF(""&lt;&gt;INDIRECT(ADDRESS(AU20,21)),9999,""),"")</f>
        <v/>
      </c>
      <c r="BA20" s="74" t="str" cm="1">
        <f t="array" aca="1" ref="BA20" ca="1">IF(C28&lt;&gt;"FF",IF(""&lt;&gt;INDIRECT(ADDRESS(AU20,22)),"Straight",""),"")</f>
        <v/>
      </c>
    </row>
    <row r="21" spans="2:61" x14ac:dyDescent="0.25">
      <c r="B21" s="8" t="s">
        <v>23</v>
      </c>
      <c r="C21" s="9" t="s">
        <v>37</v>
      </c>
      <c r="M21" s="38" t="s">
        <v>23</v>
      </c>
      <c r="N21" s="44" t="s">
        <v>12</v>
      </c>
      <c r="O21" s="22" t="s">
        <v>23</v>
      </c>
      <c r="P21" s="23" t="str">
        <f>IF(N21="Straight","02",IF(N21="Straight+TrigOff","22",IF(N21="Ramp+TrigOff","A2",IF(N21="Ramp","82",IF(N21="Holding","42",IF(N21="None","00",IF(N21="","00")))))))</f>
        <v>82</v>
      </c>
      <c r="Q21" s="38"/>
      <c r="R21" s="52"/>
      <c r="S21" s="17"/>
      <c r="T21" s="17"/>
      <c r="U21" s="17"/>
      <c r="V21" s="17" t="str">
        <f t="shared" ref="V21" si="5">DEC2HEX(HEX2DEC(P21),2)</f>
        <v>82</v>
      </c>
      <c r="W21" s="17"/>
      <c r="X21" s="18" t="str">
        <f>IF(_xlfn.BITAND(HEX2DEC(P21),128)=128,"Ramp Option Active","")</f>
        <v>Ramp Option Active</v>
      </c>
      <c r="Y21" s="62" t="str">
        <f>IF(_xlfn.BITAND(HEX2DEC(P21),32)=32,"Trigger Off(Unlocking)","")</f>
        <v/>
      </c>
      <c r="Z21" s="19" t="str">
        <f>IF(_xlfn.BITAND(HEX2DEC(P21),64)=64,"Infinite Duration","")</f>
        <v/>
      </c>
      <c r="AO21" s="45">
        <f>N25</f>
        <v>102</v>
      </c>
      <c r="AP21" s="45">
        <f>N26</f>
        <v>90</v>
      </c>
      <c r="AQ21" s="45">
        <f>Q26</f>
        <v>27.692999999999998</v>
      </c>
      <c r="AT21" s="71"/>
      <c r="AU21" s="72"/>
      <c r="AV21" s="75" t="str">
        <f>IF(C29&lt;&gt;"FF",IF(BA22="Straight",AV20,(AV22+AV20)/2),"")</f>
        <v/>
      </c>
      <c r="AW21" s="75"/>
      <c r="AX21" s="75" t="str">
        <f>IF(C29&lt;&gt;"FF",IF(BA22="Straight",AX22,IF(AX20=AX22,AX20,(AX20+AX22)/2)),"")</f>
        <v/>
      </c>
      <c r="AY21" s="75" t="str">
        <f>IF(C29&lt;&gt;"FF",IF(BB22="Straight",AY22,IF(AY20=AY22,AY20,(AY20+AY22)/2)),"")</f>
        <v/>
      </c>
      <c r="AZ21" s="72"/>
      <c r="BA21" s="74"/>
      <c r="BH21" t="s">
        <v>60</v>
      </c>
      <c r="BI21" t="s">
        <v>60</v>
      </c>
    </row>
    <row r="22" spans="2:61" x14ac:dyDescent="0.25">
      <c r="B22" s="8" t="s">
        <v>39</v>
      </c>
      <c r="C22" s="10" t="s">
        <v>40</v>
      </c>
      <c r="X22" s="4"/>
      <c r="Y22" s="63"/>
      <c r="Z22" s="4"/>
      <c r="AO22" s="45">
        <f>N31</f>
        <v>300</v>
      </c>
      <c r="AP22" s="45">
        <f>N32</f>
        <v>70</v>
      </c>
      <c r="AQ22" s="45">
        <f>Q32</f>
        <v>21.539000000000001</v>
      </c>
      <c r="AT22" s="76" t="str">
        <f>"Step "&amp;HEX2DEC(C29)</f>
        <v>Step 255</v>
      </c>
      <c r="AU22" s="72" t="str">
        <f>IF(C29&lt;&gt;"FF",MATCH(AT22,$P:$P,0),"")</f>
        <v/>
      </c>
      <c r="AV22" s="75" t="str" cm="1">
        <f t="array" aca="1" ref="AV22" ca="1">IF(C29&lt;&gt;"FF",IF(AZ22&lt;&gt;"",AZ22,INDIRECT(ADDRESS(AU22,19)))+AV20,"")</f>
        <v/>
      </c>
      <c r="AW22" s="75"/>
      <c r="AX22" s="75" t="str" cm="1">
        <f t="array" aca="1" ref="AX22" ca="1">IF(C29&lt;&gt;"FF",INDIRECT(ADDRESS(AU22,20)),"")</f>
        <v/>
      </c>
      <c r="AY22" s="72" t="str" cm="1">
        <f t="array" aca="1" ref="AY22" ca="1">IF(C29&lt;&gt;"FF",INDIRECT(ADDRESS(AU22,23)),"")</f>
        <v/>
      </c>
      <c r="AZ22" s="72" t="str" cm="1">
        <f t="array" aca="1" ref="AZ22" ca="1">IF(C29&lt;&gt;"FF",IF(""&lt;&gt;INDIRECT(ADDRESS(AU22,21)),9999,""),"")</f>
        <v/>
      </c>
      <c r="BA22" s="74" t="str" cm="1">
        <f t="array" aca="1" ref="BA22" ca="1">IF(C29&lt;&gt;"FF",IF(""&lt;&gt;INDIRECT(ADDRESS(AU22,22)),"Straight",""),"")</f>
        <v/>
      </c>
    </row>
    <row r="23" spans="2:61" x14ac:dyDescent="0.25">
      <c r="B23" s="8" t="s">
        <v>8</v>
      </c>
      <c r="C23" s="55" t="s">
        <v>69</v>
      </c>
      <c r="N23" s="35"/>
      <c r="O23" s="26"/>
      <c r="P23" s="27" t="s">
        <v>42</v>
      </c>
      <c r="Q23" s="35"/>
      <c r="R23" s="27"/>
      <c r="S23" s="28">
        <f>HEX2DEC(R25)/2</f>
        <v>102</v>
      </c>
      <c r="T23" s="28">
        <f>HEX2DEC(P26)</f>
        <v>276930</v>
      </c>
      <c r="U23" s="28" t="str">
        <f>IF(_xlfn.BITAND(HEX2DEC(P27),64)=64,"Infinite Duration","")</f>
        <v>Infinite Duration</v>
      </c>
      <c r="V23" s="28" t="str">
        <f>IF(N27="Straight","True","")</f>
        <v/>
      </c>
      <c r="W23" s="28">
        <f>N26</f>
        <v>90</v>
      </c>
      <c r="X23" s="27"/>
      <c r="Y23" s="59"/>
      <c r="Z23" s="29"/>
      <c r="AO23" s="45">
        <f>N37</f>
        <v>18</v>
      </c>
      <c r="AP23" s="45">
        <f>N38</f>
        <v>20</v>
      </c>
      <c r="AQ23" s="45">
        <f>Q38</f>
        <v>6.1539999999999999</v>
      </c>
      <c r="AT23" s="71"/>
      <c r="AU23" s="72"/>
      <c r="AV23" s="75"/>
      <c r="AW23" s="75"/>
      <c r="AX23" s="75"/>
      <c r="AY23" s="72"/>
      <c r="AZ23" s="72"/>
      <c r="BA23" s="74"/>
      <c r="BH23" t="s">
        <v>60</v>
      </c>
      <c r="BI23" t="s">
        <v>60</v>
      </c>
    </row>
    <row r="24" spans="2:61" x14ac:dyDescent="0.25">
      <c r="B24" s="8" t="s">
        <v>27</v>
      </c>
      <c r="C24" s="55" t="s">
        <v>59</v>
      </c>
      <c r="M24" s="41"/>
      <c r="N24" s="37"/>
      <c r="O24" s="21" t="s">
        <v>11</v>
      </c>
      <c r="P24" s="24" t="str">
        <f>MID(DEC2HEX(N25*2,4),1,2)</f>
        <v>00</v>
      </c>
      <c r="Q24" s="36"/>
      <c r="R24" s="48"/>
      <c r="S24" s="31"/>
      <c r="T24" s="31"/>
      <c r="U24" s="31"/>
      <c r="V24" s="31" t="str">
        <f>DEC2HEX(HEX2DEC(P24),2)</f>
        <v>00</v>
      </c>
      <c r="W24" s="31"/>
      <c r="X24" s="32"/>
      <c r="Y24" s="64"/>
      <c r="Z24" s="33"/>
      <c r="AO24" s="45">
        <f>N43</f>
        <v>498</v>
      </c>
      <c r="AP24" s="45">
        <f>N44</f>
        <v>18</v>
      </c>
      <c r="AQ24" s="45">
        <f>Q44</f>
        <v>5.5385999999999997</v>
      </c>
      <c r="AT24" s="76" t="str">
        <f>"Step "&amp;HEX2DEC(C30)</f>
        <v>Step 255</v>
      </c>
      <c r="AU24" s="72" t="str">
        <f>IF(C30&lt;&gt;"FF",MATCH(AT22,$P:$P,0),"")</f>
        <v/>
      </c>
      <c r="AV24" s="75"/>
      <c r="AW24" s="75"/>
      <c r="AX24" s="75"/>
      <c r="AY24" s="72"/>
      <c r="AZ24" s="72"/>
      <c r="BA24" s="74"/>
    </row>
    <row r="25" spans="2:61" x14ac:dyDescent="0.25">
      <c r="B25" s="8" t="s">
        <v>35</v>
      </c>
      <c r="C25" s="55" t="s">
        <v>37</v>
      </c>
      <c r="M25" s="38" t="s">
        <v>14</v>
      </c>
      <c r="N25" s="42">
        <v>102</v>
      </c>
      <c r="O25" s="21" t="s">
        <v>15</v>
      </c>
      <c r="P25" s="25" t="str">
        <f>MID(DEC2HEX(N25*2,4),3,2)</f>
        <v>CC</v>
      </c>
      <c r="Q25" s="36"/>
      <c r="R25" s="49" t="str">
        <f>P24&amp;""&amp;P25</f>
        <v>00CC</v>
      </c>
      <c r="S25" s="50"/>
      <c r="T25" s="50"/>
      <c r="U25" s="50"/>
      <c r="V25" s="50" t="str">
        <f t="shared" ref="V25:V27" si="6">DEC2HEX(HEX2DEC(P25),2)</f>
        <v>CC</v>
      </c>
      <c r="W25" s="50"/>
      <c r="X25" s="51" t="str">
        <f>HEX2DEC(R25)/2 &amp;"ms"</f>
        <v>102ms</v>
      </c>
      <c r="Y25" s="65"/>
      <c r="Z25" s="15"/>
      <c r="AO25" s="45">
        <f>N49</f>
        <v>0</v>
      </c>
      <c r="AP25" s="45">
        <f>N50</f>
        <v>0</v>
      </c>
      <c r="AQ25" s="45">
        <f>Q50</f>
        <v>0</v>
      </c>
      <c r="AT25" s="71"/>
      <c r="AU25" s="72"/>
      <c r="AV25" s="75"/>
      <c r="AW25" s="75"/>
      <c r="AX25" s="75"/>
      <c r="AY25" s="72"/>
      <c r="AZ25" s="72"/>
      <c r="BA25" s="74"/>
    </row>
    <row r="26" spans="2:61" x14ac:dyDescent="0.25">
      <c r="B26" s="8" t="s">
        <v>42</v>
      </c>
      <c r="C26" s="55" t="s">
        <v>37</v>
      </c>
      <c r="M26" s="38" t="s">
        <v>20</v>
      </c>
      <c r="N26" s="43">
        <v>90</v>
      </c>
      <c r="O26" s="21" t="s">
        <v>21</v>
      </c>
      <c r="P26" s="39" t="str">
        <f>DEC2HEX(Q26*10000,8)</f>
        <v>000439C2</v>
      </c>
      <c r="Q26" s="40">
        <f>IF(N26&lt;&gt;"",N26/1000*'UDS Commands'!$C$21,0)</f>
        <v>27.692999999999998</v>
      </c>
      <c r="R26" s="49">
        <f>HEX2DEC(P26)</f>
        <v>276930</v>
      </c>
      <c r="S26" s="50"/>
      <c r="T26" s="50"/>
      <c r="U26" s="50"/>
      <c r="V26" s="12">
        <f>ROUND(Q26,0)</f>
        <v>28</v>
      </c>
      <c r="W26" s="50"/>
      <c r="X26" s="16" t="str">
        <f>ROUND(Q26,4) &amp;"% PWM"</f>
        <v>27.693% PWM</v>
      </c>
      <c r="Y26" s="65"/>
      <c r="Z26" s="15" t="str">
        <f>IF(N26="","0 mA",N26 &amp; " mA")</f>
        <v>90 mA</v>
      </c>
      <c r="AT26" s="71"/>
      <c r="AU26" s="72"/>
      <c r="AV26" s="75"/>
      <c r="AW26" s="75"/>
      <c r="AX26" s="75"/>
      <c r="AY26" s="72"/>
      <c r="AZ26" s="72"/>
      <c r="BA26" s="74"/>
    </row>
    <row r="27" spans="2:61" x14ac:dyDescent="0.25">
      <c r="B27" s="8" t="s">
        <v>45</v>
      </c>
      <c r="C27" s="55" t="s">
        <v>37</v>
      </c>
      <c r="M27" s="38" t="s">
        <v>23</v>
      </c>
      <c r="N27" s="44" t="s">
        <v>22</v>
      </c>
      <c r="O27" s="22" t="s">
        <v>23</v>
      </c>
      <c r="P27" s="23" t="str">
        <f>IF(N27="Straight","02",IF(N27="Straight+TrigOff","22",IF(N27="Ramp+TrigOff","A2",IF(N27="Ramp","82",IF(N27="Holding","42",IF(N27="None","00",IF(N27="","00")))))))</f>
        <v>42</v>
      </c>
      <c r="Q27" s="38"/>
      <c r="R27" s="52">
        <f>_xlfn.BITAND(P27,128)</f>
        <v>0</v>
      </c>
      <c r="S27" s="17"/>
      <c r="T27" s="17"/>
      <c r="U27" s="17"/>
      <c r="V27" s="17" t="str">
        <f t="shared" si="6"/>
        <v>42</v>
      </c>
      <c r="W27" s="17"/>
      <c r="X27" s="18" t="str">
        <f>IF(_xlfn.BITAND(HEX2DEC(P27),128)=128,"Ramp Option Active","")</f>
        <v/>
      </c>
      <c r="Y27" s="62" t="str">
        <f>IF(_xlfn.BITAND(HEX2DEC(P27),32)=32,"Trigger Off(Unlocking)","")</f>
        <v/>
      </c>
      <c r="Z27" s="19" t="str">
        <f>IF(_xlfn.BITAND(HEX2DEC(P27),64)=64,"Infinite Duration","")</f>
        <v>Infinite Duration</v>
      </c>
      <c r="AT27" s="71"/>
      <c r="AU27" s="72"/>
      <c r="AV27" s="75"/>
      <c r="AW27" s="75"/>
      <c r="AX27" s="75"/>
      <c r="AY27" s="72"/>
      <c r="AZ27" s="72"/>
      <c r="BA27" s="74"/>
    </row>
    <row r="28" spans="2:61" x14ac:dyDescent="0.25">
      <c r="B28" s="8" t="s">
        <v>46</v>
      </c>
      <c r="C28" s="55" t="s">
        <v>37</v>
      </c>
      <c r="X28" s="4"/>
      <c r="Y28" s="63"/>
      <c r="Z28" s="4"/>
      <c r="AT28" s="71"/>
      <c r="AU28" s="72"/>
      <c r="AV28" s="75"/>
      <c r="AW28" s="75"/>
      <c r="AX28" s="75"/>
      <c r="AY28" s="72"/>
      <c r="AZ28" s="72"/>
      <c r="BA28" s="74"/>
    </row>
    <row r="29" spans="2:61" x14ac:dyDescent="0.25">
      <c r="B29" s="8" t="s">
        <v>47</v>
      </c>
      <c r="C29" s="55" t="s">
        <v>37</v>
      </c>
      <c r="N29" s="35"/>
      <c r="O29" s="26"/>
      <c r="P29" s="27" t="s">
        <v>45</v>
      </c>
      <c r="Q29" s="35"/>
      <c r="R29" s="27"/>
      <c r="S29" s="28">
        <f>HEX2DEC(R31)/2</f>
        <v>300</v>
      </c>
      <c r="T29" s="28">
        <f>HEX2DEC(P32)</f>
        <v>215390</v>
      </c>
      <c r="U29" s="28" t="str">
        <f>IF(_xlfn.BITAND(HEX2DEC(P33),64)=64,"Infinite Duration","")</f>
        <v/>
      </c>
      <c r="V29" s="28" t="str">
        <f>IF(N33="Straight","True","")</f>
        <v>True</v>
      </c>
      <c r="W29" s="28">
        <f>N32</f>
        <v>70</v>
      </c>
      <c r="X29" s="27"/>
      <c r="Y29" s="59"/>
      <c r="Z29" s="29"/>
      <c r="AT29" s="71"/>
      <c r="AU29" s="72"/>
      <c r="AV29" s="75"/>
      <c r="AW29" s="75"/>
      <c r="AX29" s="75"/>
      <c r="AY29" s="72"/>
      <c r="AZ29" s="72"/>
      <c r="BA29" s="74"/>
    </row>
    <row r="30" spans="2:61" x14ac:dyDescent="0.25">
      <c r="B30" s="8" t="s">
        <v>48</v>
      </c>
      <c r="C30" s="56" t="s">
        <v>37</v>
      </c>
      <c r="M30" s="41"/>
      <c r="N30" s="37"/>
      <c r="O30" s="30" t="s">
        <v>11</v>
      </c>
      <c r="P30" s="24" t="str">
        <f>MID(DEC2HEX(N31*2,4),1,2)</f>
        <v>02</v>
      </c>
      <c r="Q30" s="36"/>
      <c r="R30" s="48"/>
      <c r="S30" s="31"/>
      <c r="T30" s="31"/>
      <c r="U30" s="31"/>
      <c r="V30" s="31" t="str">
        <f>DEC2HEX(HEX2DEC(P30),2)</f>
        <v>02</v>
      </c>
      <c r="W30" s="31"/>
      <c r="X30" s="32"/>
      <c r="Y30" s="64"/>
      <c r="Z30" s="33"/>
      <c r="AT30" s="71"/>
      <c r="AU30" s="72"/>
      <c r="AV30" s="75"/>
      <c r="AW30" s="75"/>
      <c r="AX30" s="75"/>
      <c r="AY30" s="72"/>
      <c r="AZ30" s="72"/>
      <c r="BA30" s="74"/>
    </row>
    <row r="31" spans="2:61" x14ac:dyDescent="0.25">
      <c r="D31" s="7"/>
      <c r="E31" s="7"/>
      <c r="M31" s="38" t="s">
        <v>14</v>
      </c>
      <c r="N31" s="42">
        <v>300</v>
      </c>
      <c r="O31" s="21" t="s">
        <v>15</v>
      </c>
      <c r="P31" s="25" t="str">
        <f>MID(DEC2HEX(N31*2,4),3,2)</f>
        <v>58</v>
      </c>
      <c r="Q31" s="36"/>
      <c r="R31" s="49" t="str">
        <f>P30&amp;""&amp;P31</f>
        <v>0258</v>
      </c>
      <c r="S31" s="50"/>
      <c r="T31" s="50"/>
      <c r="U31" s="50"/>
      <c r="V31" s="50" t="str">
        <f t="shared" ref="V31:V33" si="7">DEC2HEX(HEX2DEC(P31),2)</f>
        <v>58</v>
      </c>
      <c r="W31" s="50"/>
      <c r="X31" s="51" t="str">
        <f>HEX2DEC(R31)/2 &amp;"ms"</f>
        <v>300ms</v>
      </c>
      <c r="Y31" s="65"/>
      <c r="Z31" s="15"/>
      <c r="AT31" s="71"/>
      <c r="AU31" s="72"/>
      <c r="AV31" s="72"/>
      <c r="AW31" s="72"/>
      <c r="AX31" s="72"/>
      <c r="AY31" s="72"/>
      <c r="AZ31" s="72"/>
      <c r="BA31" s="74"/>
    </row>
    <row r="32" spans="2:61" x14ac:dyDescent="0.25">
      <c r="M32" s="38" t="s">
        <v>20</v>
      </c>
      <c r="N32" s="43">
        <v>70</v>
      </c>
      <c r="O32" s="21" t="s">
        <v>21</v>
      </c>
      <c r="P32" s="39" t="str">
        <f>DEC2HEX(Q32*10000,8)</f>
        <v>0003495E</v>
      </c>
      <c r="Q32" s="40">
        <f>IF(N32&lt;&gt;"",N32/1000*'UDS Commands'!$C$21,0)</f>
        <v>21.539000000000001</v>
      </c>
      <c r="R32" s="49">
        <f>HEX2DEC(P32)</f>
        <v>215390</v>
      </c>
      <c r="S32" s="50"/>
      <c r="T32" s="50"/>
      <c r="U32" s="50"/>
      <c r="V32" s="12">
        <f>ROUND(Q32,0)</f>
        <v>22</v>
      </c>
      <c r="W32" s="50"/>
      <c r="X32" s="16" t="str">
        <f>ROUND(Q32,4) &amp;"% PWM"</f>
        <v>21.539% PWM</v>
      </c>
      <c r="Y32" s="65"/>
      <c r="Z32" s="15" t="str">
        <f>IF(N32="","0 mA",N32 &amp; " mA")</f>
        <v>70 mA</v>
      </c>
      <c r="AT32" s="71"/>
      <c r="AU32" s="72"/>
      <c r="AV32" s="72"/>
      <c r="AW32" s="72"/>
      <c r="AX32" s="72"/>
      <c r="AY32" s="72"/>
      <c r="AZ32" s="72"/>
      <c r="BA32" s="74"/>
    </row>
    <row r="33" spans="2:53" x14ac:dyDescent="0.25">
      <c r="M33" s="38" t="s">
        <v>23</v>
      </c>
      <c r="N33" s="44" t="s">
        <v>16</v>
      </c>
      <c r="O33" s="22" t="s">
        <v>23</v>
      </c>
      <c r="P33" s="23" t="str">
        <f>IF(N33="Straight","02",IF(N33="Ramp","82",IF(N33="Holding","42",IF(N33="None","00",IF(N33="","00")))))</f>
        <v>02</v>
      </c>
      <c r="Q33" s="38"/>
      <c r="R33" s="52">
        <f>_xlfn.BITAND(P33,128)</f>
        <v>0</v>
      </c>
      <c r="S33" s="17"/>
      <c r="T33" s="17"/>
      <c r="U33" s="17"/>
      <c r="V33" s="17" t="str">
        <f t="shared" si="7"/>
        <v>02</v>
      </c>
      <c r="W33" s="17"/>
      <c r="X33" s="18" t="str">
        <f>IF(_xlfn.BITAND(HEX2DEC(P33),128)=128,"Ramp Option Active","")</f>
        <v/>
      </c>
      <c r="Y33" s="62" t="str">
        <f>IF(_xlfn.BITAND(HEX2DEC(P33),32)=32,"Trigger Off(Unlocking)","")</f>
        <v/>
      </c>
      <c r="Z33" s="19" t="str">
        <f>IF(_xlfn.BITAND(HEX2DEC(P33),64)=64,"Infinite Duration","")</f>
        <v/>
      </c>
      <c r="AT33" s="71"/>
      <c r="AU33" s="72"/>
      <c r="AV33" s="72"/>
      <c r="AW33" s="72"/>
      <c r="AX33" s="72"/>
      <c r="AY33" s="72"/>
      <c r="AZ33" s="72"/>
      <c r="BA33" s="74"/>
    </row>
    <row r="34" spans="2:53" x14ac:dyDescent="0.25">
      <c r="X34" s="4"/>
      <c r="Y34" s="63"/>
      <c r="Z34" s="4"/>
      <c r="AT34" s="71"/>
      <c r="AU34" s="72"/>
      <c r="AV34" s="72"/>
      <c r="AW34" s="72"/>
      <c r="AX34" s="72"/>
      <c r="AY34" s="72"/>
      <c r="AZ34" s="72"/>
      <c r="BA34" s="74"/>
    </row>
    <row r="35" spans="2:53" x14ac:dyDescent="0.25">
      <c r="N35" s="35"/>
      <c r="O35" s="26"/>
      <c r="P35" s="27" t="s">
        <v>46</v>
      </c>
      <c r="Q35" s="35"/>
      <c r="R35" s="27"/>
      <c r="S35" s="28">
        <f>HEX2DEC(R37)/2</f>
        <v>18</v>
      </c>
      <c r="T35" s="28">
        <f>HEX2DEC(P38)</f>
        <v>61540</v>
      </c>
      <c r="U35" s="28" t="str">
        <f>IF(_xlfn.BITAND(HEX2DEC(P39),64)=64,"Infinite Duration","")</f>
        <v/>
      </c>
      <c r="V35" s="28" t="str">
        <f>IF(N39="Straight","True","")</f>
        <v>True</v>
      </c>
      <c r="W35" s="28">
        <f>N38</f>
        <v>20</v>
      </c>
      <c r="X35" s="27"/>
      <c r="Y35" s="59"/>
      <c r="Z35" s="29"/>
      <c r="AT35" s="71"/>
      <c r="AU35" s="72"/>
      <c r="AV35" s="72"/>
      <c r="AW35" s="72"/>
      <c r="AX35" s="72"/>
      <c r="AY35" s="72"/>
      <c r="AZ35" s="72"/>
      <c r="BA35" s="74"/>
    </row>
    <row r="36" spans="2:53" ht="18" x14ac:dyDescent="0.25">
      <c r="B36" s="6"/>
      <c r="M36" s="41"/>
      <c r="N36" s="37"/>
      <c r="O36" s="30" t="s">
        <v>11</v>
      </c>
      <c r="P36" s="24" t="str">
        <f>MID(DEC2HEX(N37*2,4),1,2)</f>
        <v>00</v>
      </c>
      <c r="Q36" s="36"/>
      <c r="R36" s="48"/>
      <c r="S36" s="31"/>
      <c r="T36" s="31"/>
      <c r="U36" s="31"/>
      <c r="V36" s="31" t="str">
        <f>DEC2HEX(HEX2DEC(P36),2)</f>
        <v>00</v>
      </c>
      <c r="W36" s="31"/>
      <c r="X36" s="32"/>
      <c r="Y36" s="64"/>
      <c r="Z36" s="33"/>
      <c r="AT36" s="71"/>
      <c r="AU36" s="72"/>
      <c r="AV36" s="72"/>
      <c r="AW36" s="72"/>
      <c r="AX36" s="72"/>
      <c r="AY36" s="72"/>
      <c r="AZ36" s="72"/>
      <c r="BA36" s="74"/>
    </row>
    <row r="37" spans="2:53" x14ac:dyDescent="0.25">
      <c r="M37" s="38" t="s">
        <v>14</v>
      </c>
      <c r="N37" s="42">
        <v>18</v>
      </c>
      <c r="O37" s="21" t="s">
        <v>15</v>
      </c>
      <c r="P37" s="25" t="str">
        <f>MID(DEC2HEX(N37*2,4),3,2)</f>
        <v>24</v>
      </c>
      <c r="Q37" s="36"/>
      <c r="R37" s="49" t="str">
        <f>P36&amp;""&amp;P37</f>
        <v>0024</v>
      </c>
      <c r="S37" s="50"/>
      <c r="T37" s="50"/>
      <c r="U37" s="50"/>
      <c r="V37" s="50" t="str">
        <f t="shared" ref="V37:V39" si="8">DEC2HEX(HEX2DEC(P37),2)</f>
        <v>24</v>
      </c>
      <c r="W37" s="50"/>
      <c r="X37" s="51" t="str">
        <f>HEX2DEC(R37)/2 &amp;"ms"</f>
        <v>18ms</v>
      </c>
      <c r="Y37" s="65"/>
      <c r="Z37" s="15"/>
      <c r="AT37" s="71"/>
      <c r="AU37" s="72"/>
      <c r="AV37" s="72"/>
      <c r="AW37" s="72"/>
      <c r="AX37" s="72"/>
      <c r="AY37" s="72"/>
      <c r="AZ37" s="72"/>
      <c r="BA37" s="74"/>
    </row>
    <row r="38" spans="2:53" x14ac:dyDescent="0.25">
      <c r="M38" s="38" t="s">
        <v>20</v>
      </c>
      <c r="N38" s="43">
        <v>20</v>
      </c>
      <c r="O38" s="21" t="s">
        <v>21</v>
      </c>
      <c r="P38" s="39" t="str">
        <f>DEC2HEX(Q38*10000,8)</f>
        <v>0000F064</v>
      </c>
      <c r="Q38" s="40">
        <f>IF(N38&lt;&gt;"",N38/1000*'UDS Commands'!$C$21,0)</f>
        <v>6.1539999999999999</v>
      </c>
      <c r="R38" s="49">
        <f>HEX2DEC(P38)</f>
        <v>61540</v>
      </c>
      <c r="S38" s="50"/>
      <c r="T38" s="50"/>
      <c r="U38" s="50"/>
      <c r="V38" s="12">
        <f>ROUND(Q38,0)</f>
        <v>6</v>
      </c>
      <c r="W38" s="50"/>
      <c r="X38" s="16" t="str">
        <f>ROUND(Q38,4) &amp;"% PWM"</f>
        <v>6.154% PWM</v>
      </c>
      <c r="Y38" s="65"/>
      <c r="Z38" s="15" t="str">
        <f>IF(N38="","0 mA",N38 &amp; " mA")</f>
        <v>20 mA</v>
      </c>
      <c r="AT38" s="71"/>
      <c r="AU38" s="72"/>
      <c r="AV38" s="72"/>
      <c r="AW38" s="72"/>
      <c r="AX38" s="72"/>
      <c r="AY38" s="72"/>
      <c r="AZ38" s="72"/>
      <c r="BA38" s="74"/>
    </row>
    <row r="39" spans="2:53" x14ac:dyDescent="0.25">
      <c r="M39" s="38" t="s">
        <v>23</v>
      </c>
      <c r="N39" s="44" t="s">
        <v>16</v>
      </c>
      <c r="O39" s="22" t="s">
        <v>23</v>
      </c>
      <c r="P39" s="23" t="str">
        <f>IF(N39="Straight","02",IF(N39="Ramp","82",IF(N39="Holding","42",IF(N39="None","00",IF(N39="","00")))))</f>
        <v>02</v>
      </c>
      <c r="Q39" s="38"/>
      <c r="R39" s="52">
        <f>_xlfn.BITAND(P39,128)</f>
        <v>0</v>
      </c>
      <c r="S39" s="17"/>
      <c r="T39" s="17"/>
      <c r="U39" s="17"/>
      <c r="V39" s="17" t="str">
        <f t="shared" si="8"/>
        <v>02</v>
      </c>
      <c r="W39" s="17"/>
      <c r="X39" s="18" t="str">
        <f>IF(_xlfn.BITAND(HEX2DEC(P39),128)=128,"Ramp Option Active","")</f>
        <v/>
      </c>
      <c r="Y39" s="62" t="str">
        <f>IF(_xlfn.BITAND(HEX2DEC(P39),32)=32,"Trigger Off(Unlocking)","")</f>
        <v/>
      </c>
      <c r="Z39" s="19" t="str">
        <f>IF(_xlfn.BITAND(HEX2DEC(P39),64)=64,"Infinite Duration","")</f>
        <v/>
      </c>
      <c r="AT39" s="71"/>
      <c r="AU39" s="72"/>
      <c r="AV39" s="72"/>
      <c r="AW39" s="72"/>
      <c r="AX39" s="72"/>
      <c r="AY39" s="72"/>
      <c r="AZ39" s="72"/>
      <c r="BA39" s="74"/>
    </row>
    <row r="40" spans="2:53" x14ac:dyDescent="0.25">
      <c r="AT40" s="71"/>
      <c r="AU40" s="72"/>
      <c r="AV40" s="72"/>
      <c r="AW40" s="72"/>
      <c r="AX40" s="72"/>
      <c r="AY40" s="72"/>
      <c r="AZ40" s="72"/>
      <c r="BA40" s="74" t="str">
        <f t="shared" ref="BA40:BA51" si="9">DEC2HEX(HEX2DEC(C19),2)</f>
        <v>FF</v>
      </c>
    </row>
    <row r="41" spans="2:53" x14ac:dyDescent="0.25">
      <c r="N41" s="35"/>
      <c r="O41" s="26"/>
      <c r="P41" s="27" t="s">
        <v>47</v>
      </c>
      <c r="Q41" s="35"/>
      <c r="R41" s="27"/>
      <c r="S41" s="28">
        <f>HEX2DEC(R43)/2</f>
        <v>498</v>
      </c>
      <c r="T41" s="28">
        <f>HEX2DEC(P44)</f>
        <v>55386</v>
      </c>
      <c r="U41" s="28" t="str">
        <f>IF(_xlfn.BITAND(HEX2DEC(P45),64)=64,"Infinite Duration","")</f>
        <v/>
      </c>
      <c r="V41" s="28" t="str">
        <f>IF(N45="Straight","True","")</f>
        <v>True</v>
      </c>
      <c r="W41" s="28">
        <f>N44</f>
        <v>18</v>
      </c>
      <c r="X41" s="27"/>
      <c r="Y41" s="59"/>
      <c r="Z41" s="29"/>
      <c r="AT41" s="71"/>
      <c r="AU41" s="72"/>
      <c r="AV41" s="72"/>
      <c r="AW41" s="72"/>
      <c r="AX41" s="72"/>
      <c r="AY41" s="72"/>
      <c r="AZ41" s="72"/>
      <c r="BA41" s="74" t="str">
        <f t="shared" si="9"/>
        <v>FF</v>
      </c>
    </row>
    <row r="42" spans="2:53" x14ac:dyDescent="0.25">
      <c r="M42" s="41"/>
      <c r="N42" s="37"/>
      <c r="O42" s="30" t="s">
        <v>11</v>
      </c>
      <c r="P42" s="24" t="str">
        <f>MID(DEC2HEX(N43*2,4),1,2)</f>
        <v>03</v>
      </c>
      <c r="Q42" s="36"/>
      <c r="R42" s="48"/>
      <c r="S42" s="31"/>
      <c r="T42" s="31"/>
      <c r="U42" s="31"/>
      <c r="V42" s="31" t="str">
        <f>DEC2HEX(HEX2DEC(P42),2)</f>
        <v>03</v>
      </c>
      <c r="W42" s="31"/>
      <c r="X42" s="32"/>
      <c r="Y42" s="64"/>
      <c r="Z42" s="33"/>
      <c r="AT42" s="71"/>
      <c r="AU42" s="72"/>
      <c r="AV42" s="72"/>
      <c r="AW42" s="72"/>
      <c r="AX42" s="72"/>
      <c r="AY42" s="72"/>
      <c r="AZ42" s="72"/>
      <c r="BA42" s="74" t="str">
        <f t="shared" si="9"/>
        <v>FF</v>
      </c>
    </row>
    <row r="43" spans="2:53" x14ac:dyDescent="0.25">
      <c r="M43" s="38" t="s">
        <v>14</v>
      </c>
      <c r="N43" s="42">
        <v>498</v>
      </c>
      <c r="O43" s="21" t="s">
        <v>15</v>
      </c>
      <c r="P43" s="25" t="str">
        <f>MID(DEC2HEX(N43*2,4),3,2)</f>
        <v>E4</v>
      </c>
      <c r="Q43" s="36"/>
      <c r="R43" s="49" t="str">
        <f>P42&amp;""&amp;P43</f>
        <v>03E4</v>
      </c>
      <c r="S43" s="50"/>
      <c r="T43" s="50"/>
      <c r="U43" s="50"/>
      <c r="V43" s="50" t="str">
        <f t="shared" ref="V43:V45" si="10">DEC2HEX(HEX2DEC(P43),2)</f>
        <v>E4</v>
      </c>
      <c r="W43" s="50"/>
      <c r="X43" s="51" t="str">
        <f>HEX2DEC(R43)/2 &amp;"ms"</f>
        <v>498ms</v>
      </c>
      <c r="Y43" s="65"/>
      <c r="Z43" s="15"/>
      <c r="AT43" s="46"/>
      <c r="AU43" s="47"/>
      <c r="AV43" s="47"/>
      <c r="AW43" s="47"/>
      <c r="AX43" s="47"/>
      <c r="AY43" s="47"/>
      <c r="AZ43" s="72"/>
      <c r="BA43" s="74" t="str">
        <f t="shared" si="9"/>
        <v>01</v>
      </c>
    </row>
    <row r="44" spans="2:53" x14ac:dyDescent="0.25">
      <c r="M44" s="38" t="s">
        <v>20</v>
      </c>
      <c r="N44" s="43">
        <v>18</v>
      </c>
      <c r="O44" s="21" t="s">
        <v>21</v>
      </c>
      <c r="P44" s="39" t="str">
        <f>DEC2HEX(Q44*10000,8)</f>
        <v>0000D85A</v>
      </c>
      <c r="Q44" s="40">
        <f>IF(N44&lt;&gt;"",N44/1000*'UDS Commands'!$C$21,0)</f>
        <v>5.5385999999999997</v>
      </c>
      <c r="R44" s="49">
        <f>HEX2DEC(P44)</f>
        <v>55386</v>
      </c>
      <c r="S44" s="50"/>
      <c r="T44" s="50"/>
      <c r="U44" s="50"/>
      <c r="V44" s="12">
        <f>ROUND(Q44,0)</f>
        <v>6</v>
      </c>
      <c r="W44" s="50"/>
      <c r="X44" s="16" t="str">
        <f>ROUND(Q44,4) &amp;"% PWM"</f>
        <v>5.5386% PWM</v>
      </c>
      <c r="Y44" s="65"/>
      <c r="Z44" s="15" t="str">
        <f>IF(N44="","0 mA",N44 &amp; " mA")</f>
        <v>18 mA</v>
      </c>
      <c r="AT44" s="46"/>
      <c r="AU44" s="47"/>
      <c r="AV44" s="47"/>
      <c r="AW44" s="47"/>
      <c r="AX44" s="47"/>
      <c r="AY44" s="47"/>
      <c r="AZ44" s="72"/>
      <c r="BA44" s="74" t="str">
        <f t="shared" si="9"/>
        <v>06</v>
      </c>
    </row>
    <row r="45" spans="2:53" x14ac:dyDescent="0.25">
      <c r="M45" s="38" t="s">
        <v>23</v>
      </c>
      <c r="N45" s="44" t="s">
        <v>16</v>
      </c>
      <c r="O45" s="22" t="s">
        <v>23</v>
      </c>
      <c r="P45" s="23" t="str">
        <f>IF(N45="Straight","02",IF(N45="Ramp","82",IF(N45="Holding","42",IF(N45="None","00",IF(N45="","00")))))</f>
        <v>02</v>
      </c>
      <c r="Q45" s="38"/>
      <c r="R45" s="52">
        <f>_xlfn.BITAND(P45,128)</f>
        <v>0</v>
      </c>
      <c r="S45" s="17"/>
      <c r="T45" s="17"/>
      <c r="U45" s="17"/>
      <c r="V45" s="17" t="str">
        <f t="shared" si="10"/>
        <v>02</v>
      </c>
      <c r="W45" s="17"/>
      <c r="X45" s="18" t="str">
        <f>IF(_xlfn.BITAND(HEX2DEC(P45),128)=128,"Ramp Option Active","")</f>
        <v/>
      </c>
      <c r="Y45" s="62" t="str">
        <f>IF(_xlfn.BITAND(HEX2DEC(P45),32)=32,"Trigger Off(Unlocking)","")</f>
        <v/>
      </c>
      <c r="Z45" s="19" t="str">
        <f>IF(_xlfn.BITAND(HEX2DEC(P45),64)=64,"Infinite Duration","")</f>
        <v/>
      </c>
      <c r="AT45" s="46"/>
      <c r="AU45" s="47"/>
      <c r="AV45" s="47"/>
      <c r="AW45" s="47"/>
      <c r="AX45" s="47"/>
      <c r="AY45" s="47"/>
      <c r="AZ45" s="72"/>
      <c r="BA45" s="74" t="str">
        <f t="shared" si="9"/>
        <v>04</v>
      </c>
    </row>
    <row r="46" spans="2:53" x14ac:dyDescent="0.25">
      <c r="AT46" s="46"/>
      <c r="AU46" s="47"/>
      <c r="AV46" s="47"/>
      <c r="AW46" s="47"/>
      <c r="AX46" s="47"/>
      <c r="AY46" s="47"/>
      <c r="AZ46" s="72"/>
      <c r="BA46" s="74" t="str">
        <f t="shared" si="9"/>
        <v>FF</v>
      </c>
    </row>
    <row r="47" spans="2:53" x14ac:dyDescent="0.25">
      <c r="N47" s="35"/>
      <c r="O47" s="26"/>
      <c r="P47" s="27" t="s">
        <v>48</v>
      </c>
      <c r="Q47" s="35"/>
      <c r="R47" s="27"/>
      <c r="S47" s="28">
        <f>HEX2DEC(R49)/2</f>
        <v>0</v>
      </c>
      <c r="T47" s="28">
        <f>HEX2DEC(P50)</f>
        <v>0</v>
      </c>
      <c r="U47" s="28" t="str">
        <f>IF(_xlfn.BITAND(HEX2DEC(P51),64)=64,"Infinite Duration","")</f>
        <v/>
      </c>
      <c r="V47" s="28" t="str">
        <f>IF(N51="Straight","True","")</f>
        <v/>
      </c>
      <c r="W47" s="28">
        <f>N49</f>
        <v>0</v>
      </c>
      <c r="X47" s="27"/>
      <c r="Y47" s="59"/>
      <c r="Z47" s="29"/>
      <c r="AT47" s="46"/>
      <c r="AU47" s="47"/>
      <c r="AV47" s="47"/>
      <c r="AW47" s="47"/>
      <c r="AX47" s="47"/>
      <c r="AY47" s="47"/>
      <c r="AZ47" s="72"/>
      <c r="BA47" s="74" t="str">
        <f t="shared" si="9"/>
        <v>FF</v>
      </c>
    </row>
    <row r="48" spans="2:53" x14ac:dyDescent="0.25">
      <c r="M48" s="41"/>
      <c r="N48" s="37"/>
      <c r="O48" s="30" t="s">
        <v>11</v>
      </c>
      <c r="P48" s="24" t="str">
        <f>MID(DEC2HEX(N49*2,4),1,2)</f>
        <v>00</v>
      </c>
      <c r="Q48" s="36"/>
      <c r="R48" s="48"/>
      <c r="S48" s="31"/>
      <c r="T48" s="31"/>
      <c r="U48" s="31"/>
      <c r="V48" s="31" t="str">
        <f>DEC2HEX(HEX2DEC(P48),2)</f>
        <v>00</v>
      </c>
      <c r="W48" s="31"/>
      <c r="X48" s="32"/>
      <c r="Y48" s="64"/>
      <c r="Z48" s="33"/>
      <c r="AT48" s="46"/>
      <c r="AU48" s="47"/>
      <c r="AV48" s="47"/>
      <c r="AW48" s="47"/>
      <c r="AX48" s="47"/>
      <c r="AY48" s="47"/>
      <c r="AZ48" s="72"/>
      <c r="BA48" s="74" t="str">
        <f t="shared" si="9"/>
        <v>FF</v>
      </c>
    </row>
    <row r="49" spans="13:53" x14ac:dyDescent="0.25">
      <c r="M49" s="38" t="s">
        <v>14</v>
      </c>
      <c r="N49" s="42"/>
      <c r="O49" s="21" t="s">
        <v>15</v>
      </c>
      <c r="P49" s="25" t="str">
        <f>MID(DEC2HEX(N49*2,4),3,2)</f>
        <v>00</v>
      </c>
      <c r="Q49" s="36"/>
      <c r="R49" s="49" t="str">
        <f>P48&amp;""&amp;P49</f>
        <v>0000</v>
      </c>
      <c r="S49" s="50"/>
      <c r="T49" s="50"/>
      <c r="U49" s="50"/>
      <c r="V49" s="50" t="str">
        <f t="shared" ref="V49:V51" si="11">DEC2HEX(HEX2DEC(P49),2)</f>
        <v>00</v>
      </c>
      <c r="W49" s="50"/>
      <c r="X49" s="51" t="str">
        <f>HEX2DEC(R49)/2 &amp;"ms"</f>
        <v>0ms</v>
      </c>
      <c r="Y49" s="65"/>
      <c r="Z49" s="15"/>
      <c r="AT49" s="46"/>
      <c r="AU49" s="47"/>
      <c r="AV49" s="47"/>
      <c r="AW49" s="47"/>
      <c r="AX49" s="47"/>
      <c r="AY49" s="47"/>
      <c r="AZ49" s="72"/>
      <c r="BA49" s="74" t="str">
        <f t="shared" si="9"/>
        <v>FF</v>
      </c>
    </row>
    <row r="50" spans="13:53" x14ac:dyDescent="0.25">
      <c r="M50" s="38" t="s">
        <v>20</v>
      </c>
      <c r="N50" s="43"/>
      <c r="O50" s="21" t="s">
        <v>21</v>
      </c>
      <c r="P50" s="39" t="str">
        <f>DEC2HEX(Q50*10000,8)</f>
        <v>00000000</v>
      </c>
      <c r="Q50" s="40">
        <f>IF(N50&lt;&gt;"",N50/1000*'UDS Commands'!$C$21,0)</f>
        <v>0</v>
      </c>
      <c r="R50" s="49">
        <f>HEX2DEC(P50)</f>
        <v>0</v>
      </c>
      <c r="S50" s="50"/>
      <c r="T50" s="50"/>
      <c r="U50" s="50"/>
      <c r="V50" s="12">
        <f>ROUND(Q50,0)</f>
        <v>0</v>
      </c>
      <c r="W50" s="50"/>
      <c r="X50" s="16" t="str">
        <f>ROUND(Q50,4) &amp;"% PWM"</f>
        <v>0% PWM</v>
      </c>
      <c r="Y50" s="65"/>
      <c r="Z50" s="15" t="str">
        <f>IF(N50="","0 mA",N50 &amp; " mA")</f>
        <v>0 mA</v>
      </c>
      <c r="AT50" s="46"/>
      <c r="AU50" s="47"/>
      <c r="AV50" s="47"/>
      <c r="AW50" s="47"/>
      <c r="AX50" s="47"/>
      <c r="AY50" s="47"/>
      <c r="AZ50" s="72"/>
      <c r="BA50" s="74" t="str">
        <f t="shared" si="9"/>
        <v>FF</v>
      </c>
    </row>
    <row r="51" spans="13:53" x14ac:dyDescent="0.25">
      <c r="M51" s="38" t="s">
        <v>23</v>
      </c>
      <c r="N51" s="44"/>
      <c r="O51" s="22" t="s">
        <v>23</v>
      </c>
      <c r="P51" s="23" t="str">
        <f>IF(N51="Straight","02",IF(N51="Ramp","82",IF(N51="Holding","42",IF(N51="None","00",IF(N51="","00")))))</f>
        <v>00</v>
      </c>
      <c r="Q51" s="38"/>
      <c r="R51" s="52">
        <f>_xlfn.BITAND(P51,128)</f>
        <v>0</v>
      </c>
      <c r="S51" s="17"/>
      <c r="T51" s="17"/>
      <c r="U51" s="17"/>
      <c r="V51" s="17" t="str">
        <f t="shared" si="11"/>
        <v>00</v>
      </c>
      <c r="W51" s="17"/>
      <c r="X51" s="18" t="str">
        <f>IF(_xlfn.BITAND(HEX2DEC(P51),128)=128,"Ramp Option Active","")</f>
        <v/>
      </c>
      <c r="Y51" s="62" t="str">
        <f>IF(_xlfn.BITAND(HEX2DEC(P51),32)=32,"Trigger Off(Unlocking)","")</f>
        <v/>
      </c>
      <c r="Z51" s="19" t="str">
        <f>IF(_xlfn.BITAND(HEX2DEC(P51),64)=64,"Infinite Duration","")</f>
        <v/>
      </c>
      <c r="AT51" s="77"/>
      <c r="AU51" s="78"/>
      <c r="AV51" s="78"/>
      <c r="AW51" s="78"/>
      <c r="AX51" s="78"/>
      <c r="AY51" s="78"/>
      <c r="AZ51" s="78"/>
      <c r="BA51" s="79" t="str">
        <f t="shared" si="9"/>
        <v>FF</v>
      </c>
    </row>
  </sheetData>
  <mergeCells count="20">
    <mergeCell ref="G1:M2"/>
    <mergeCell ref="C4:J4"/>
    <mergeCell ref="B5:B7"/>
    <mergeCell ref="C5:J5"/>
    <mergeCell ref="K5:K7"/>
    <mergeCell ref="C6:J6"/>
    <mergeCell ref="C7:J7"/>
    <mergeCell ref="K8:K10"/>
    <mergeCell ref="B11:B17"/>
    <mergeCell ref="C11:J11"/>
    <mergeCell ref="K11:K17"/>
    <mergeCell ref="C13:H13"/>
    <mergeCell ref="I13:I17"/>
    <mergeCell ref="J13:J17"/>
    <mergeCell ref="C14:H14"/>
    <mergeCell ref="C15:H15"/>
    <mergeCell ref="C16:H16"/>
    <mergeCell ref="C17:H17"/>
    <mergeCell ref="B8:B10"/>
    <mergeCell ref="C8:J10"/>
  </mergeCells>
  <dataValidations count="2">
    <dataValidation type="list" allowBlank="1" showInputMessage="1" showErrorMessage="1" sqref="N9 N27 N21 N15" xr:uid="{7A2BF1A7-03F7-4FAF-8BBD-80FA7437A15D}">
      <formula1>$AQ$6:$AQ$15</formula1>
    </dataValidation>
    <dataValidation type="list" allowBlank="1" showInputMessage="1" showErrorMessage="1" sqref="N51 N39 N45 N33" xr:uid="{49E6B60F-B66F-4F72-8DF9-5A115F45995A}">
      <formula1>$AQ$6:$AQ$8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DB3A-382E-4C0C-A5A6-02DC8A681D89}">
  <dimension ref="B1:BI51"/>
  <sheetViews>
    <sheetView topLeftCell="A4" zoomScale="85" zoomScaleNormal="85" workbookViewId="0">
      <selection activeCell="C23" sqref="C23"/>
    </sheetView>
  </sheetViews>
  <sheetFormatPr defaultRowHeight="15" x14ac:dyDescent="0.25"/>
  <cols>
    <col min="2" max="2" width="16.28515625" bestFit="1" customWidth="1"/>
    <col min="5" max="5" width="14.28515625" customWidth="1"/>
    <col min="6" max="6" width="13.140625" bestFit="1" customWidth="1"/>
    <col min="9" max="9" width="13.140625" bestFit="1" customWidth="1"/>
    <col min="11" max="11" width="26" customWidth="1"/>
    <col min="12" max="12" width="13.140625" bestFit="1" customWidth="1"/>
    <col min="13" max="13" width="17.140625" customWidth="1"/>
    <col min="14" max="14" width="16" style="34" bestFit="1" customWidth="1"/>
    <col min="15" max="16" width="13.28515625" bestFit="1" customWidth="1"/>
    <col min="17" max="17" width="13.28515625" style="34" hidden="1" customWidth="1"/>
    <col min="18" max="18" width="7.42578125" hidden="1" customWidth="1"/>
    <col min="19" max="23" width="12.7109375" hidden="1" customWidth="1"/>
    <col min="24" max="24" width="19.28515625" bestFit="1" customWidth="1"/>
    <col min="25" max="25" width="19.28515625" style="58" customWidth="1"/>
    <col min="26" max="26" width="15.85546875" bestFit="1" customWidth="1"/>
    <col min="27" max="27" width="12.42578125" customWidth="1"/>
    <col min="28" max="28" width="16.85546875" customWidth="1"/>
    <col min="29" max="29" width="68.7109375" bestFit="1" customWidth="1"/>
    <col min="30" max="30" width="9.28515625" bestFit="1" customWidth="1"/>
    <col min="41" max="41" width="8" customWidth="1"/>
    <col min="42" max="42" width="14.140625" customWidth="1"/>
    <col min="43" max="43" width="16.7109375" bestFit="1" customWidth="1"/>
    <col min="44" max="44" width="6.42578125" bestFit="1" customWidth="1"/>
    <col min="45" max="45" width="5" customWidth="1"/>
    <col min="46" max="46" width="43.140625" bestFit="1" customWidth="1"/>
    <col min="47" max="47" width="13.28515625" customWidth="1"/>
    <col min="48" max="48" width="8.7109375" bestFit="1" customWidth="1"/>
    <col min="49" max="49" width="8.7109375" customWidth="1"/>
    <col min="50" max="50" width="6" bestFit="1" customWidth="1"/>
    <col min="51" max="51" width="22.85546875" bestFit="1" customWidth="1"/>
    <col min="52" max="52" width="16.7109375" bestFit="1" customWidth="1"/>
    <col min="53" max="53" width="18.85546875" customWidth="1"/>
  </cols>
  <sheetData>
    <row r="1" spans="2:54" x14ac:dyDescent="0.25">
      <c r="G1" s="119" t="s">
        <v>0</v>
      </c>
      <c r="H1" s="119"/>
      <c r="I1" s="119"/>
      <c r="J1" s="119"/>
      <c r="K1" s="119"/>
      <c r="L1" s="119"/>
      <c r="M1" s="119"/>
    </row>
    <row r="2" spans="2:54" x14ac:dyDescent="0.25">
      <c r="G2" s="119"/>
      <c r="H2" s="119"/>
      <c r="I2" s="119"/>
      <c r="J2" s="119"/>
      <c r="K2" s="119"/>
      <c r="L2" s="119"/>
      <c r="M2" s="119"/>
    </row>
    <row r="3" spans="2:54" ht="15.75" thickBot="1" x14ac:dyDescent="0.3"/>
    <row r="4" spans="2:54" ht="15.75" customHeight="1" thickBot="1" x14ac:dyDescent="0.3">
      <c r="B4" s="1" t="s">
        <v>1</v>
      </c>
      <c r="C4" s="120" t="s">
        <v>2</v>
      </c>
      <c r="D4" s="121"/>
      <c r="E4" s="121"/>
      <c r="F4" s="121"/>
      <c r="G4" s="121"/>
      <c r="H4" s="121"/>
      <c r="I4" s="121"/>
      <c r="J4" s="122"/>
      <c r="K4" s="80" t="s">
        <v>3</v>
      </c>
      <c r="N4"/>
      <c r="Q4" s="34" t="s">
        <v>4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</row>
    <row r="5" spans="2:54" ht="18" customHeight="1" x14ac:dyDescent="0.25">
      <c r="B5" s="103" t="s">
        <v>6</v>
      </c>
      <c r="C5" s="123" t="s">
        <v>52</v>
      </c>
      <c r="D5" s="109"/>
      <c r="E5" s="109"/>
      <c r="F5" s="109"/>
      <c r="G5" s="109"/>
      <c r="H5" s="109"/>
      <c r="I5" s="109"/>
      <c r="J5" s="124"/>
      <c r="K5" s="106" t="s">
        <v>7</v>
      </c>
      <c r="N5" s="35"/>
      <c r="O5" s="26"/>
      <c r="P5" s="27" t="s">
        <v>8</v>
      </c>
      <c r="Q5" s="35"/>
      <c r="R5" s="28"/>
      <c r="S5" s="28">
        <f>HEX2DEC(R7)/2</f>
        <v>12</v>
      </c>
      <c r="T5" s="28">
        <f>HEX2DEC(P8)</f>
        <v>830790</v>
      </c>
      <c r="U5" s="28" t="str">
        <f>IF(_xlfn.BITAND(HEX2DEC(P9),64)=64,"Infinite Duration","")</f>
        <v/>
      </c>
      <c r="V5" s="28" t="str">
        <f>IF(N9="Straight","True","")</f>
        <v>True</v>
      </c>
      <c r="W5" s="28">
        <f>N8</f>
        <v>270</v>
      </c>
      <c r="X5" s="27"/>
      <c r="Y5" s="59"/>
      <c r="Z5" s="29"/>
      <c r="AT5" s="68" t="s">
        <v>9</v>
      </c>
      <c r="AU5" s="69"/>
      <c r="AV5" s="69"/>
      <c r="AW5" s="69"/>
      <c r="AX5" s="69"/>
      <c r="AY5" s="69"/>
      <c r="AZ5" s="69"/>
      <c r="BA5" s="70"/>
    </row>
    <row r="6" spans="2:54" ht="15" customHeight="1" x14ac:dyDescent="0.25">
      <c r="B6" s="104"/>
      <c r="C6" s="125" t="s">
        <v>10</v>
      </c>
      <c r="D6" s="116"/>
      <c r="E6" s="116"/>
      <c r="F6" s="116"/>
      <c r="G6" s="116"/>
      <c r="H6" s="116"/>
      <c r="I6" s="116"/>
      <c r="J6" s="126"/>
      <c r="K6" s="107"/>
      <c r="M6" s="41"/>
      <c r="N6" s="37"/>
      <c r="O6" s="21" t="s">
        <v>11</v>
      </c>
      <c r="P6" s="24" t="str">
        <f>MID(DEC2HEX(N7*2,4),1,2)</f>
        <v>00</v>
      </c>
      <c r="Q6" s="36"/>
      <c r="R6" s="12"/>
      <c r="S6" s="12"/>
      <c r="T6" s="12"/>
      <c r="U6" s="12"/>
      <c r="V6" s="12" t="str">
        <f>DEC2HEX(HEX2DEC(P6),2)</f>
        <v>00</v>
      </c>
      <c r="W6" s="12"/>
      <c r="X6" s="12"/>
      <c r="Y6" s="60"/>
      <c r="Z6" s="13"/>
      <c r="AQ6" s="45" t="s">
        <v>12</v>
      </c>
      <c r="AT6" s="71"/>
      <c r="AU6" s="72"/>
      <c r="AV6" s="73" t="s">
        <v>6</v>
      </c>
      <c r="AW6" s="73"/>
      <c r="AX6" s="73" t="s">
        <v>17</v>
      </c>
      <c r="AY6" s="73" t="s">
        <v>33</v>
      </c>
      <c r="AZ6" s="72" t="s">
        <v>18</v>
      </c>
      <c r="BA6" s="74" t="s">
        <v>64</v>
      </c>
    </row>
    <row r="7" spans="2:54" ht="15.75" customHeight="1" thickBot="1" x14ac:dyDescent="0.3">
      <c r="B7" s="105"/>
      <c r="C7" s="127" t="s">
        <v>13</v>
      </c>
      <c r="D7" s="128"/>
      <c r="E7" s="128"/>
      <c r="F7" s="128"/>
      <c r="G7" s="128"/>
      <c r="H7" s="128"/>
      <c r="I7" s="128"/>
      <c r="J7" s="129"/>
      <c r="K7" s="108"/>
      <c r="M7" s="38" t="s">
        <v>14</v>
      </c>
      <c r="N7" s="42">
        <v>12</v>
      </c>
      <c r="O7" s="21" t="s">
        <v>15</v>
      </c>
      <c r="P7" s="25" t="str">
        <f>MID(DEC2HEX(N7*2,4),3,2)</f>
        <v>18</v>
      </c>
      <c r="Q7" s="36"/>
      <c r="R7" s="12" t="str">
        <f>P6&amp;""&amp;P7</f>
        <v>0018</v>
      </c>
      <c r="S7" s="12"/>
      <c r="T7" s="12"/>
      <c r="U7" s="12"/>
      <c r="V7" s="12" t="str">
        <f t="shared" ref="V7:V9" si="0">DEC2HEX(HEX2DEC(P7),2)</f>
        <v>18</v>
      </c>
      <c r="W7" s="12"/>
      <c r="X7" s="14" t="str">
        <f>HEX2DEC(R7)/2 &amp;"ms"</f>
        <v>12ms</v>
      </c>
      <c r="Y7" s="61"/>
      <c r="Z7" s="15"/>
      <c r="AQ7" s="45" t="s">
        <v>16</v>
      </c>
      <c r="AT7" s="71"/>
      <c r="AU7" s="72"/>
      <c r="AV7" s="75"/>
      <c r="AW7" s="75"/>
      <c r="AX7" s="75"/>
      <c r="AY7" s="72"/>
      <c r="AZ7" s="72"/>
      <c r="BA7" s="74"/>
    </row>
    <row r="8" spans="2:54" ht="15" customHeight="1" x14ac:dyDescent="0.25">
      <c r="B8" s="103" t="s">
        <v>19</v>
      </c>
      <c r="C8" s="85" t="s">
        <v>66</v>
      </c>
      <c r="D8" s="86"/>
      <c r="E8" s="86"/>
      <c r="F8" s="86"/>
      <c r="G8" s="86"/>
      <c r="H8" s="86"/>
      <c r="I8" s="86"/>
      <c r="J8" s="87"/>
      <c r="K8" s="106" t="s">
        <v>65</v>
      </c>
      <c r="M8" s="38" t="s">
        <v>20</v>
      </c>
      <c r="N8" s="43">
        <v>270</v>
      </c>
      <c r="O8" s="21" t="s">
        <v>21</v>
      </c>
      <c r="P8" s="39" t="str">
        <f>DEC2HEX(Q8*10000,8)</f>
        <v>000CAD46</v>
      </c>
      <c r="Q8" s="40">
        <f>IF(N8&lt;&gt;"",N8/1000*'UDS Commands'!$C$21,0)</f>
        <v>83.079000000000008</v>
      </c>
      <c r="R8" s="12">
        <f>HEX2DEC(P8)</f>
        <v>830790</v>
      </c>
      <c r="S8" s="12"/>
      <c r="T8" s="12"/>
      <c r="U8" s="12"/>
      <c r="V8" s="12">
        <f>ROUND(Q8,0)</f>
        <v>83</v>
      </c>
      <c r="W8" s="12"/>
      <c r="X8" s="16" t="str">
        <f>ROUND(Q8,4) &amp;"% PWM"</f>
        <v>83.079% PWM</v>
      </c>
      <c r="Y8" s="61"/>
      <c r="Z8" s="15" t="str">
        <f>IF(N8="","0 mA",N8 &amp; " mA")</f>
        <v>270 mA</v>
      </c>
      <c r="AQ8" s="45" t="s">
        <v>22</v>
      </c>
      <c r="AT8" s="71" t="s">
        <v>63</v>
      </c>
      <c r="AU8" s="72"/>
      <c r="AV8" s="75">
        <v>0</v>
      </c>
      <c r="AW8" s="75"/>
      <c r="AX8" s="75" t="str">
        <f ca="1">AX10</f>
        <v/>
      </c>
      <c r="AY8" s="72" t="str">
        <f ca="1">AY10</f>
        <v/>
      </c>
      <c r="AZ8" s="72"/>
      <c r="BA8" s="74"/>
    </row>
    <row r="9" spans="2:54" x14ac:dyDescent="0.25">
      <c r="B9" s="104"/>
      <c r="C9" s="88"/>
      <c r="D9" s="89"/>
      <c r="E9" s="89"/>
      <c r="F9" s="89"/>
      <c r="G9" s="89"/>
      <c r="H9" s="89"/>
      <c r="I9" s="89"/>
      <c r="J9" s="90"/>
      <c r="K9" s="107"/>
      <c r="M9" s="38" t="s">
        <v>23</v>
      </c>
      <c r="N9" s="44" t="s">
        <v>16</v>
      </c>
      <c r="O9" s="22" t="s">
        <v>23</v>
      </c>
      <c r="P9" s="23" t="str">
        <f>IF(N9="Straight","02",IF(N9="Straight+TrigOff","22",IF(N9="Ramp+TrigOff","A2",IF(N9="Ramp","82",IF(N9="Holding","42",IF(N9="None","00",IF(N9="","00")))))))</f>
        <v>02</v>
      </c>
      <c r="Q9" s="38"/>
      <c r="R9" s="17"/>
      <c r="S9" s="17"/>
      <c r="T9" s="17"/>
      <c r="U9" s="17"/>
      <c r="V9" s="12" t="str">
        <f t="shared" si="0"/>
        <v>02</v>
      </c>
      <c r="W9" s="12"/>
      <c r="X9" s="18" t="str">
        <f>IF(_xlfn.BITAND(HEX2DEC(P9),128)=128,"Ramp Option Active","")</f>
        <v/>
      </c>
      <c r="Y9" s="62" t="str">
        <f>IF(_xlfn.BITAND(HEX2DEC(P9),32)=32,"Trigger Off(Unlocking)","")</f>
        <v/>
      </c>
      <c r="Z9" s="19" t="str">
        <f>IF(_xlfn.BITAND(HEX2DEC(P9),64)=64,"Infinite Duration","")</f>
        <v/>
      </c>
      <c r="AQ9" s="66" t="s">
        <v>57</v>
      </c>
      <c r="AT9" s="71"/>
      <c r="AU9" s="72"/>
      <c r="AV9" s="75" t="e">
        <f ca="1">IF(BA10="Straight",AV8,(AV10+AV8)/2)</f>
        <v>#VALUE!</v>
      </c>
      <c r="AW9" s="75"/>
      <c r="AX9" s="75" t="str">
        <f ca="1">IF(BA10="Straight",AX10,IF(AX8=AX10,AX8,(AX8+AX10)/2))</f>
        <v/>
      </c>
      <c r="AY9" s="75" t="str">
        <f ca="1">IF(BA10="Straight",AY10,IF(AY8=AY10,AY8,(AY8+AY10)/2))</f>
        <v/>
      </c>
      <c r="AZ9" s="72"/>
      <c r="BA9" s="74"/>
    </row>
    <row r="10" spans="2:54" ht="15.75" customHeight="1" thickBot="1" x14ac:dyDescent="0.3">
      <c r="B10" s="105"/>
      <c r="C10" s="91"/>
      <c r="D10" s="92"/>
      <c r="E10" s="92"/>
      <c r="F10" s="92"/>
      <c r="G10" s="92"/>
      <c r="H10" s="92"/>
      <c r="I10" s="92"/>
      <c r="J10" s="93"/>
      <c r="K10" s="108"/>
      <c r="X10" s="4"/>
      <c r="Y10" s="63"/>
      <c r="Z10" s="11" t="str">
        <f>IF(_xlfn.BITAND(HEX2DEC(P9),64)=64,"Infinite Duration","")</f>
        <v/>
      </c>
      <c r="AO10" s="5" t="str">
        <f>IF(_xlfn.BITAND(HEX2DEC(P21),64)=64,"Infinite Duration","")</f>
        <v/>
      </c>
      <c r="AQ10" s="66" t="s">
        <v>58</v>
      </c>
      <c r="AT10" s="76" t="str">
        <f>"Step "&amp;HEX2DEC(C23)</f>
        <v>Step 255</v>
      </c>
      <c r="AU10" s="72" t="str">
        <f>IF(C23&lt;&gt;"FF",MATCH(AT10,$P:$P,0),"")</f>
        <v/>
      </c>
      <c r="AV10" s="75" t="str" cm="1">
        <f t="array" aca="1" ref="AV10" ca="1">IF(C23&lt;&gt;"FF",IF(AZ10&lt;&gt;"",AZ10,INDIRECT(ADDRESS(AU10,19))),"")</f>
        <v/>
      </c>
      <c r="AW10" s="75"/>
      <c r="AX10" s="75" t="str" cm="1">
        <f t="array" aca="1" ref="AX10" ca="1">IF(C23&lt;&gt;"FF",INDIRECT(ADDRESS(AU10,20)),"")</f>
        <v/>
      </c>
      <c r="AY10" s="72" t="str" cm="1">
        <f t="array" aca="1" ref="AY10" ca="1">IF(C23&lt;&gt;"FF",INDIRECT(ADDRESS(AU10,23)),"")</f>
        <v/>
      </c>
      <c r="AZ10" s="72" t="str" cm="1">
        <f t="array" aca="1" ref="AZ10" ca="1">IF(C23&lt;&gt;"FF",IF(""&lt;&gt;INDIRECT(ADDRESS(AU10,21)),9999,""),"")</f>
        <v/>
      </c>
      <c r="BA10" s="74" t="str" cm="1">
        <f t="array" aca="1" ref="BA10" ca="1">IF(C23&lt;&gt;"FF",IF(""&lt;&gt;INDIRECT(ADDRESS(AU10,22)),"Straight",""),"")</f>
        <v/>
      </c>
    </row>
    <row r="11" spans="2:54" ht="15.75" customHeight="1" thickBot="1" x14ac:dyDescent="0.3">
      <c r="B11" s="94" t="s">
        <v>23</v>
      </c>
      <c r="C11" s="97" t="s">
        <v>25</v>
      </c>
      <c r="D11" s="98"/>
      <c r="E11" s="98"/>
      <c r="F11" s="98"/>
      <c r="G11" s="98"/>
      <c r="H11" s="98"/>
      <c r="I11" s="98"/>
      <c r="J11" s="99"/>
      <c r="K11" s="100" t="s">
        <v>26</v>
      </c>
      <c r="N11" s="35"/>
      <c r="O11" s="26"/>
      <c r="P11" s="27" t="s">
        <v>27</v>
      </c>
      <c r="Q11" s="35"/>
      <c r="R11" s="27"/>
      <c r="S11" s="28">
        <f>HEX2DEC(R13)/2</f>
        <v>12</v>
      </c>
      <c r="T11" s="28">
        <f>HEX2DEC(P14)</f>
        <v>892329</v>
      </c>
      <c r="U11" s="28" t="str">
        <f>IF(_xlfn.BITAND(HEX2DEC(P15),64)=64,"Infinite Duration","")</f>
        <v/>
      </c>
      <c r="V11" s="28" t="str">
        <f>IF(N15="Straight","True","")</f>
        <v>True</v>
      </c>
      <c r="W11" s="28">
        <f>N14</f>
        <v>290</v>
      </c>
      <c r="X11" s="27"/>
      <c r="Y11" s="59"/>
      <c r="Z11" s="29"/>
      <c r="AQ11" s="66" t="s">
        <v>24</v>
      </c>
      <c r="AT11" s="71"/>
      <c r="AU11" s="72"/>
      <c r="AV11" s="75" t="e">
        <f ca="1">IF(BA12="Straight",AV10,(AV12+AV10)/2)</f>
        <v>#VALUE!</v>
      </c>
      <c r="AW11" s="75"/>
      <c r="AX11" s="75" t="str">
        <f ca="1">IF(BA12="Straight",AX12,IF(AX10=AX12,AX10,(AX10+AX12)/2))</f>
        <v/>
      </c>
      <c r="AY11" s="75" t="str">
        <f ca="1">IF(BA12="Straight",AY12,IF(AY10=AY12,AY10,(AY10+AY12)/2))</f>
        <v/>
      </c>
      <c r="AZ11" s="72"/>
      <c r="BA11" s="74"/>
      <c r="BB11" s="67"/>
    </row>
    <row r="12" spans="2:54" ht="15.75" thickBot="1" x14ac:dyDescent="0.3">
      <c r="B12" s="95"/>
      <c r="C12" s="2" t="s">
        <v>28</v>
      </c>
      <c r="D12" s="2" t="s">
        <v>29</v>
      </c>
      <c r="E12" s="2" t="s">
        <v>53</v>
      </c>
      <c r="F12" s="3"/>
      <c r="G12" s="3"/>
      <c r="H12" s="2" t="s">
        <v>30</v>
      </c>
      <c r="I12" s="2" t="s">
        <v>30</v>
      </c>
      <c r="J12" s="2" t="s">
        <v>30</v>
      </c>
      <c r="K12" s="101"/>
      <c r="M12" s="41"/>
      <c r="N12" s="37"/>
      <c r="O12" s="21" t="s">
        <v>11</v>
      </c>
      <c r="P12" s="24" t="str">
        <f>MID(DEC2HEX(N13*2,4),1,2)</f>
        <v>00</v>
      </c>
      <c r="Q12" s="36"/>
      <c r="R12" s="48"/>
      <c r="S12" s="31"/>
      <c r="T12" s="31"/>
      <c r="U12" s="31"/>
      <c r="V12" s="31" t="str">
        <f>DEC2HEX(HEX2DEC(P12),2)</f>
        <v>00</v>
      </c>
      <c r="W12" s="31"/>
      <c r="X12" s="32"/>
      <c r="Y12" s="64"/>
      <c r="Z12" s="33"/>
      <c r="AT12" s="76" t="str">
        <f>"Step "&amp;HEX2DEC(C24)</f>
        <v>Step 255</v>
      </c>
      <c r="AU12" s="72" t="str">
        <f>IF(C24&lt;&gt;"FF",MATCH(AT12,$P:$P,0),"")</f>
        <v/>
      </c>
      <c r="AV12" s="75" t="str" cm="1">
        <f t="array" aca="1" ref="AV12" ca="1">IF(C24&lt;&gt;"FF",IF(AZ12&lt;&gt;"",AZ12,INDIRECT(ADDRESS(AU12,19)))+AV10,"")</f>
        <v/>
      </c>
      <c r="AW12" s="75"/>
      <c r="AX12" s="75" t="str" cm="1">
        <f t="array" aca="1" ref="AX12" ca="1">IF(C24&lt;&gt;"FF",INDIRECT(ADDRESS(AU12,20)),"")</f>
        <v/>
      </c>
      <c r="AY12" s="72" t="str" cm="1">
        <f t="array" aca="1" ref="AY12" ca="1">IF(C24&lt;&gt;"FF",INDIRECT(ADDRESS(AU12,23)),"")</f>
        <v/>
      </c>
      <c r="AZ12" s="72" t="str" cm="1">
        <f t="array" aca="1" ref="AZ12" ca="1">IF(C24&lt;&gt;"FF",IF(""&lt;&gt;INDIRECT(ADDRESS(AU12,21)),9999,""),"")</f>
        <v/>
      </c>
      <c r="BA12" s="74" t="str" cm="1">
        <f t="array" aca="1" ref="BA12" ca="1">IF(C24&lt;&gt;"FF",IF(""&lt;&gt;INDIRECT(ADDRESS(AU12,22)),"Straight",""),"")</f>
        <v/>
      </c>
    </row>
    <row r="13" spans="2:54" ht="15" customHeight="1" x14ac:dyDescent="0.25">
      <c r="B13" s="95"/>
      <c r="C13" s="109" t="s">
        <v>56</v>
      </c>
      <c r="D13" s="109"/>
      <c r="E13" s="109"/>
      <c r="F13" s="109"/>
      <c r="G13" s="109"/>
      <c r="H13" s="109"/>
      <c r="I13" s="110"/>
      <c r="J13" s="113"/>
      <c r="K13" s="101"/>
      <c r="M13" s="38" t="s">
        <v>14</v>
      </c>
      <c r="N13" s="42">
        <v>12</v>
      </c>
      <c r="O13" s="21" t="s">
        <v>15</v>
      </c>
      <c r="P13" s="25" t="str">
        <f>MID(DEC2HEX(N13*2,4),3,2)</f>
        <v>18</v>
      </c>
      <c r="Q13" s="36"/>
      <c r="R13" s="49" t="str">
        <f>P12&amp;""&amp;P13</f>
        <v>0018</v>
      </c>
      <c r="S13" s="50"/>
      <c r="T13" s="50"/>
      <c r="U13" s="50"/>
      <c r="V13" s="50" t="str">
        <f t="shared" ref="V13" si="1">DEC2HEX(HEX2DEC(P13),2)</f>
        <v>18</v>
      </c>
      <c r="W13" s="50"/>
      <c r="X13" s="51" t="str">
        <f>HEX2DEC(R13)/2 &amp;"ms"</f>
        <v>12ms</v>
      </c>
      <c r="Y13" s="65"/>
      <c r="Z13" s="15"/>
      <c r="AT13" s="71"/>
      <c r="AU13" s="72"/>
      <c r="AV13" s="75" t="e">
        <f ca="1">IF(BA14="Straight",AV12,(AV14+AV12)/2)</f>
        <v>#VALUE!</v>
      </c>
      <c r="AW13" s="75"/>
      <c r="AX13" s="75" t="str">
        <f ca="1">IF(BA14="Straight",AX14,IF(AX12=AX14,AX12,(AX12+AX14)/2))</f>
        <v/>
      </c>
      <c r="AY13" s="75" t="str">
        <f ca="1">IF(BA14="Straight",AY14,IF(AY12=AY14,AY12,(AY12+AY14)/2))</f>
        <v/>
      </c>
      <c r="AZ13" s="72"/>
      <c r="BA13" s="74"/>
    </row>
    <row r="14" spans="2:54" ht="15" customHeight="1" x14ac:dyDescent="0.25">
      <c r="B14" s="95"/>
      <c r="C14" s="116" t="s">
        <v>55</v>
      </c>
      <c r="D14" s="116"/>
      <c r="E14" s="116"/>
      <c r="F14" s="116"/>
      <c r="G14" s="116"/>
      <c r="H14" s="116"/>
      <c r="I14" s="111"/>
      <c r="J14" s="114"/>
      <c r="K14" s="101"/>
      <c r="M14" s="38" t="s">
        <v>20</v>
      </c>
      <c r="N14" s="43">
        <v>290</v>
      </c>
      <c r="O14" s="21" t="s">
        <v>21</v>
      </c>
      <c r="P14" s="39" t="str">
        <f>DEC2HEX(Q14*10000,8)</f>
        <v>000D9DA9</v>
      </c>
      <c r="Q14" s="40">
        <f>IF(N14&lt;&gt;"",N14/1000*'UDS Commands'!$C$21,0)</f>
        <v>89.23299999999999</v>
      </c>
      <c r="R14" s="49">
        <f>HEX2DEC(P14)</f>
        <v>892329</v>
      </c>
      <c r="S14" s="50"/>
      <c r="T14" s="50"/>
      <c r="U14" s="50"/>
      <c r="V14" s="12">
        <f>ROUND(Q14,0)</f>
        <v>89</v>
      </c>
      <c r="W14" s="50"/>
      <c r="X14" s="16" t="str">
        <f>ROUND(Q14,4) &amp;"% PWM"</f>
        <v>89.233% PWM</v>
      </c>
      <c r="Y14" s="65"/>
      <c r="Z14" s="15" t="str">
        <f>IF(N14="","0 mA",N14 &amp; " mA")</f>
        <v>290 mA</v>
      </c>
      <c r="AT14" s="76" t="str">
        <f>"Step "&amp;HEX2DEC(C25)</f>
        <v>Step 255</v>
      </c>
      <c r="AU14" s="72" t="str">
        <f>IF(C25&lt;&gt;"FF",MATCH(AT14,$P:$P,0),"")</f>
        <v/>
      </c>
      <c r="AV14" s="75" t="str" cm="1">
        <f t="array" aca="1" ref="AV14" ca="1">IF(C25&lt;&gt;"FF",IF(AZ14&lt;&gt;"",AZ14,INDIRECT(ADDRESS(AU14,19)))+AV12,"")</f>
        <v/>
      </c>
      <c r="AW14" s="75"/>
      <c r="AX14" s="75" t="str" cm="1">
        <f t="array" aca="1" ref="AX14" ca="1">IF(C25&lt;&gt;"FF",INDIRECT(ADDRESS(AU14,20)),"")</f>
        <v/>
      </c>
      <c r="AY14" s="72" t="str" cm="1">
        <f t="array" aca="1" ref="AY14" ca="1">IF(C25&lt;&gt;"FF",INDIRECT(ADDRESS(AU14,23)),"")</f>
        <v/>
      </c>
      <c r="AZ14" s="72" t="str" cm="1">
        <f t="array" aca="1" ref="AZ14" ca="1">IF(C25&lt;&gt;"FF",IF(""&lt;&gt;INDIRECT(ADDRESS(AU14,21)),9999,""),"")</f>
        <v/>
      </c>
      <c r="BA14" s="74" t="str" cm="1">
        <f t="array" aca="1" ref="BA14" ca="1">IF(C25&lt;&gt;"FF",IF(""&lt;&gt;INDIRECT(ADDRESS(AU14,22)),"Straight",""),"")</f>
        <v/>
      </c>
    </row>
    <row r="15" spans="2:54" ht="15" customHeight="1" x14ac:dyDescent="0.25">
      <c r="B15" s="95"/>
      <c r="C15" s="117" t="s">
        <v>54</v>
      </c>
      <c r="D15" s="117"/>
      <c r="E15" s="117"/>
      <c r="F15" s="117"/>
      <c r="G15" s="117"/>
      <c r="H15" s="117"/>
      <c r="I15" s="111"/>
      <c r="J15" s="114"/>
      <c r="K15" s="101"/>
      <c r="M15" s="38" t="s">
        <v>23</v>
      </c>
      <c r="N15" s="44" t="s">
        <v>16</v>
      </c>
      <c r="O15" s="22" t="s">
        <v>23</v>
      </c>
      <c r="P15" s="23" t="str">
        <f>IF(N15="Straight","02",IF(N15="Straight+TrigOff","22",IF(N15="Ramp+TrigOff","A2",IF(N15="Ramp","82",IF(N15="Holding","42",IF(N15="None","00",IF(N15="","00")))))))</f>
        <v>02</v>
      </c>
      <c r="Q15" s="38"/>
      <c r="R15" s="53"/>
      <c r="S15" s="20"/>
      <c r="T15" s="20"/>
      <c r="U15" s="20"/>
      <c r="V15" s="17" t="str">
        <f t="shared" ref="V15" si="2">DEC2HEX(HEX2DEC(P15),2)</f>
        <v>02</v>
      </c>
      <c r="W15" s="17"/>
      <c r="X15" s="18" t="str">
        <f>IF(_xlfn.BITAND(HEX2DEC(P15),128)=128,"Ramp Option Active","")</f>
        <v/>
      </c>
      <c r="Y15" s="62" t="str">
        <f>IF(_xlfn.BITAND(HEX2DEC(P15),32)=32,"Trigger Off(Unlocking)","")</f>
        <v/>
      </c>
      <c r="Z15" s="19" t="str">
        <f>IF(_xlfn.BITAND(HEX2DEC(P15),64)=64,"Infinite Duration","")</f>
        <v/>
      </c>
      <c r="AT15" s="71"/>
      <c r="AU15" s="72"/>
      <c r="AV15" s="75" t="e">
        <f ca="1">IF(BA16="Straight",AV14,(AV16+AV14)/2)</f>
        <v>#VALUE!</v>
      </c>
      <c r="AW15" s="75"/>
      <c r="AX15" s="75" t="str">
        <f ca="1">IF(BA16="Straight",AX16,IF(AX14=AX16,AX14,(AX14+AX16)/2))</f>
        <v/>
      </c>
      <c r="AY15" s="75" t="str">
        <f ca="1">IF(BB16="Straight",AY16,IF(AY14=AY16,AY14,(AY14+AY16)/2))</f>
        <v/>
      </c>
      <c r="AZ15" s="72"/>
      <c r="BA15" s="74"/>
    </row>
    <row r="16" spans="2:54" ht="15" customHeight="1" x14ac:dyDescent="0.25">
      <c r="B16" s="95"/>
      <c r="C16" s="116" t="s">
        <v>31</v>
      </c>
      <c r="D16" s="116"/>
      <c r="E16" s="116"/>
      <c r="F16" s="116"/>
      <c r="G16" s="116"/>
      <c r="H16" s="116"/>
      <c r="I16" s="111"/>
      <c r="J16" s="114"/>
      <c r="K16" s="101"/>
      <c r="X16" s="4"/>
      <c r="Y16" s="63"/>
      <c r="Z16" s="4"/>
      <c r="AO16" s="45" t="s">
        <v>32</v>
      </c>
      <c r="AP16" s="45" t="s">
        <v>33</v>
      </c>
      <c r="AQ16" s="45" t="s">
        <v>17</v>
      </c>
      <c r="AT16" s="76" t="str">
        <f>"Step "&amp;HEX2DEC(C26)</f>
        <v>Step 255</v>
      </c>
      <c r="AU16" s="72" t="str">
        <f>IF(C26&lt;&gt;"FF",MATCH(AT16,$P:$P,0),"")</f>
        <v/>
      </c>
      <c r="AV16" s="75" t="str" cm="1">
        <f t="array" aca="1" ref="AV16" ca="1">IF(C26&lt;&gt;"FF",IF(AZ16&lt;&gt;"",AZ16,INDIRECT(ADDRESS(AU16,19)))+AV14,"")</f>
        <v/>
      </c>
      <c r="AW16" s="75"/>
      <c r="AX16" s="75" t="str" cm="1">
        <f t="array" aca="1" ref="AX16" ca="1">IF(C26&lt;&gt;"FF",INDIRECT(ADDRESS(AU16,20)),"")</f>
        <v/>
      </c>
      <c r="AY16" s="72" t="str" cm="1">
        <f t="array" aca="1" ref="AY16" ca="1">IF(C26&lt;&gt;"FF",INDIRECT(ADDRESS(AU16,23)),"")</f>
        <v/>
      </c>
      <c r="AZ16" s="72" t="str" cm="1">
        <f t="array" aca="1" ref="AZ16" ca="1">IF(C26&lt;&gt;"FF",IF(""&lt;&gt;INDIRECT(ADDRESS(AU16,21)),9999,""),"")</f>
        <v/>
      </c>
      <c r="BA16" s="74" t="str" cm="1">
        <f t="array" aca="1" ref="BA16" ca="1">IF(C26&lt;&gt;"FF",IF(""&lt;&gt;INDIRECT(ADDRESS(AU16,22)),"Straight",""),"")</f>
        <v/>
      </c>
    </row>
    <row r="17" spans="2:61" ht="15.75" customHeight="1" thickBot="1" x14ac:dyDescent="0.3">
      <c r="B17" s="96"/>
      <c r="C17" s="118" t="s">
        <v>34</v>
      </c>
      <c r="D17" s="118"/>
      <c r="E17" s="118"/>
      <c r="F17" s="118"/>
      <c r="G17" s="118"/>
      <c r="H17" s="118"/>
      <c r="I17" s="112"/>
      <c r="J17" s="115"/>
      <c r="K17" s="102"/>
      <c r="N17" s="35"/>
      <c r="O17" s="26"/>
      <c r="P17" s="27" t="s">
        <v>35</v>
      </c>
      <c r="Q17" s="35"/>
      <c r="R17" s="27"/>
      <c r="S17" s="28">
        <f>HEX2DEC(R19)/2</f>
        <v>60</v>
      </c>
      <c r="T17" s="28">
        <f>HEX2DEC(P20)</f>
        <v>276930</v>
      </c>
      <c r="U17" s="28" t="str">
        <f>IF(_xlfn.BITAND(HEX2DEC(P21),64)=64,"Infinite Duration","")</f>
        <v/>
      </c>
      <c r="V17" s="28" t="str">
        <f>IF(N21="Straight","True","")</f>
        <v/>
      </c>
      <c r="W17" s="28">
        <f>N20</f>
        <v>90</v>
      </c>
      <c r="X17" s="27"/>
      <c r="Y17" s="59"/>
      <c r="Z17" s="29"/>
      <c r="AO17" s="45">
        <v>0</v>
      </c>
      <c r="AP17" s="45">
        <v>190</v>
      </c>
      <c r="AQ17" s="45">
        <v>75</v>
      </c>
      <c r="AT17" s="71"/>
      <c r="AU17" s="72"/>
      <c r="AV17" s="75" t="str">
        <f>IF(C27&lt;&gt;"FF",IF(BA18="Straight",AV16,(AV18+AV16)/2),"")</f>
        <v/>
      </c>
      <c r="AW17" s="75"/>
      <c r="AX17" s="75" t="str">
        <f>IF(C27&lt;&gt;"FF",IF(BA18="Straight",AX18,IF(AX16=AX18,AX16,(AX16+AX18)/2)),"")</f>
        <v/>
      </c>
      <c r="AY17" s="75" t="str">
        <f>IF(C27&lt;&gt;"FF",IF(BB18="Straight",AY18,IF(AY16=AY18,AY16,(AY16+AY18)/2)),"")</f>
        <v/>
      </c>
      <c r="AZ17" s="72"/>
      <c r="BA17" s="74"/>
    </row>
    <row r="18" spans="2:61" x14ac:dyDescent="0.25">
      <c r="M18" s="41"/>
      <c r="N18" s="37"/>
      <c r="O18" s="21" t="s">
        <v>11</v>
      </c>
      <c r="P18" s="24" t="str">
        <f>MID(DEC2HEX(N19*2,4),1,2)</f>
        <v>00</v>
      </c>
      <c r="Q18" s="36"/>
      <c r="R18" s="48"/>
      <c r="S18" s="31"/>
      <c r="T18" s="31"/>
      <c r="U18" s="31"/>
      <c r="V18" s="31" t="str">
        <f>DEC2HEX(HEX2DEC(P18),2)</f>
        <v>00</v>
      </c>
      <c r="W18" s="31"/>
      <c r="X18" s="32"/>
      <c r="Y18" s="64"/>
      <c r="Z18" s="33"/>
      <c r="AO18" s="45">
        <f>N7</f>
        <v>12</v>
      </c>
      <c r="AP18" s="45">
        <f>N8</f>
        <v>270</v>
      </c>
      <c r="AQ18" s="45">
        <f>Q8</f>
        <v>83.079000000000008</v>
      </c>
      <c r="AT18" s="76" t="str">
        <f>"Step "&amp;HEX2DEC(C27)</f>
        <v>Step 255</v>
      </c>
      <c r="AU18" s="72" t="str">
        <f>IF(C27&lt;&gt;"FF",MATCH(AT18,$P:$P,0),"")</f>
        <v/>
      </c>
      <c r="AV18" s="75" t="str" cm="1">
        <f t="array" aca="1" ref="AV18" ca="1">IF(C27&lt;&gt;"FF",IF(AZ18&lt;&gt;"",AZ18,INDIRECT(ADDRESS(AU18,19)))+AV16,"")</f>
        <v/>
      </c>
      <c r="AW18" s="75"/>
      <c r="AX18" s="75" t="str" cm="1">
        <f t="array" aca="1" ref="AX18" ca="1">IF(C27&lt;&gt;"FF",INDIRECT(ADDRESS(AU18,20)),"")</f>
        <v/>
      </c>
      <c r="AY18" s="72" t="str" cm="1">
        <f t="array" aca="1" ref="AY18" ca="1">IF(C27&lt;&gt;"FF",INDIRECT(ADDRESS(AU18,23)),"")</f>
        <v/>
      </c>
      <c r="AZ18" s="72" t="str" cm="1">
        <f t="array" aca="1" ref="AZ18" ca="1">IF(C27&lt;&gt;"FF",IF(""&lt;&gt;INDIRECT(ADDRESS(AU18,21)),9999,""),"")</f>
        <v/>
      </c>
      <c r="BA18" s="74" t="str" cm="1">
        <f t="array" aca="1" ref="BA18" ca="1">IF(C27&lt;&gt;"FF",IF(""&lt;&gt;INDIRECT(ADDRESS(AU18,22)),"Straight",""),"")</f>
        <v/>
      </c>
    </row>
    <row r="19" spans="2:61" x14ac:dyDescent="0.25">
      <c r="B19" s="8" t="s">
        <v>36</v>
      </c>
      <c r="C19" s="10" t="s">
        <v>37</v>
      </c>
      <c r="M19" s="38" t="s">
        <v>14</v>
      </c>
      <c r="N19" s="42">
        <v>60</v>
      </c>
      <c r="O19" s="21" t="s">
        <v>15</v>
      </c>
      <c r="P19" s="25" t="str">
        <f>MID(DEC2HEX(N19*2,4),3,2)</f>
        <v>78</v>
      </c>
      <c r="Q19" s="36"/>
      <c r="R19" s="49" t="str">
        <f>P18&amp;""&amp;P19</f>
        <v>0078</v>
      </c>
      <c r="S19" s="50"/>
      <c r="T19" s="50"/>
      <c r="U19" s="50"/>
      <c r="V19" s="50" t="str">
        <f t="shared" ref="V19" si="3">DEC2HEX(HEX2DEC(P19),2)</f>
        <v>78</v>
      </c>
      <c r="W19" s="50"/>
      <c r="X19" s="51" t="str">
        <f>HEX2DEC(R19)/2 &amp;"ms"</f>
        <v>60ms</v>
      </c>
      <c r="Y19" s="65"/>
      <c r="Z19" s="15"/>
      <c r="AO19" s="45">
        <f>N13</f>
        <v>12</v>
      </c>
      <c r="AP19" s="45">
        <f>N14</f>
        <v>290</v>
      </c>
      <c r="AQ19" s="45">
        <f>Q14</f>
        <v>89.23299999999999</v>
      </c>
      <c r="AT19" s="71"/>
      <c r="AU19" s="72"/>
      <c r="AV19" s="75" t="str">
        <f>IF(C28&lt;&gt;"FF",IF(BA20="Straight",AV18,(AV20+AV18)/2),"")</f>
        <v/>
      </c>
      <c r="AW19" s="75"/>
      <c r="AX19" s="75" t="str">
        <f>IF(C28&lt;&gt;"FF",IF(BA20="Straight",AX20,IF(AX18=AX20,AX18,(AX18+AX20)/2)),"")</f>
        <v/>
      </c>
      <c r="AY19" s="75" t="str">
        <f>IF(C28&lt;&gt;"FF",IF(BB20="Straight",AY20,IF(AY18=AY20,AY18,(AY18+AY20)/2)),"")</f>
        <v/>
      </c>
      <c r="AZ19" s="72"/>
      <c r="BA19" s="74"/>
    </row>
    <row r="20" spans="2:61" x14ac:dyDescent="0.25">
      <c r="B20" s="8" t="s">
        <v>38</v>
      </c>
      <c r="C20" s="10" t="s">
        <v>37</v>
      </c>
      <c r="M20" s="38" t="s">
        <v>20</v>
      </c>
      <c r="N20" s="43">
        <v>90</v>
      </c>
      <c r="O20" s="21" t="s">
        <v>21</v>
      </c>
      <c r="P20" s="39" t="str">
        <f>DEC2HEX(Q20*10000,8)</f>
        <v>000439C2</v>
      </c>
      <c r="Q20" s="40">
        <f>IF(N20&lt;&gt;"",N20/1000*'UDS Commands'!$C$21,0)</f>
        <v>27.692999999999998</v>
      </c>
      <c r="R20" s="49">
        <f>HEX2DEC(P20)</f>
        <v>276930</v>
      </c>
      <c r="S20" s="50"/>
      <c r="T20" s="50"/>
      <c r="U20" s="50"/>
      <c r="V20" s="12">
        <f>ROUND(Q20,0)</f>
        <v>28</v>
      </c>
      <c r="W20" s="50"/>
      <c r="X20" s="16" t="str">
        <f>ROUND(Q20,4) &amp;"% PWM"</f>
        <v>27.693% PWM</v>
      </c>
      <c r="Y20" s="65"/>
      <c r="Z20" s="15" t="str">
        <f>IF(N20="","0 mA",N20 &amp; " mA")</f>
        <v>90 mA</v>
      </c>
      <c r="AO20" s="45">
        <f>N19</f>
        <v>60</v>
      </c>
      <c r="AP20" s="45">
        <f>N20</f>
        <v>90</v>
      </c>
      <c r="AQ20" s="45">
        <f>Q20</f>
        <v>27.692999999999998</v>
      </c>
      <c r="AT20" s="76" t="str">
        <f>"Step "&amp;HEX2DEC(C28)</f>
        <v>Step 255</v>
      </c>
      <c r="AU20" s="72" t="str">
        <f>IF(C28&lt;&gt;"FF",MATCH(AT20,$P:$P,0),"")</f>
        <v/>
      </c>
      <c r="AV20" s="75" t="str" cm="1">
        <f t="array" aca="1" ref="AV20" ca="1">IF(C28&lt;&gt;"FF",IF(AZ20&lt;&gt;"",AZ20,INDIRECT(ADDRESS(AU20,19)))+AV18,"")</f>
        <v/>
      </c>
      <c r="AW20" s="75"/>
      <c r="AX20" s="75" t="str" cm="1">
        <f t="array" aca="1" ref="AX20" ca="1">IF(C28&lt;&gt;"FF",INDIRECT(ADDRESS(AU20,20)),"")</f>
        <v/>
      </c>
      <c r="AY20" s="72" t="str" cm="1">
        <f t="array" aca="1" ref="AY20" ca="1">IF(C28&lt;&gt;"FF",INDIRECT(ADDRESS(AU20,23)),"")</f>
        <v/>
      </c>
      <c r="AZ20" s="72" t="str" cm="1">
        <f t="array" aca="1" ref="AZ20" ca="1">IF(C28&lt;&gt;"FF",IF(""&lt;&gt;INDIRECT(ADDRESS(AU20,21)),9999,""),"")</f>
        <v/>
      </c>
      <c r="BA20" s="74" t="str" cm="1">
        <f t="array" aca="1" ref="BA20" ca="1">IF(C28&lt;&gt;"FF",IF(""&lt;&gt;INDIRECT(ADDRESS(AU20,22)),"Straight",""),"")</f>
        <v/>
      </c>
    </row>
    <row r="21" spans="2:61" x14ac:dyDescent="0.25">
      <c r="B21" s="8" t="s">
        <v>23</v>
      </c>
      <c r="C21" s="9" t="s">
        <v>37</v>
      </c>
      <c r="M21" s="38" t="s">
        <v>23</v>
      </c>
      <c r="N21" s="44" t="s">
        <v>12</v>
      </c>
      <c r="O21" s="22" t="s">
        <v>23</v>
      </c>
      <c r="P21" s="23" t="str">
        <f>IF(N21="Straight","02",IF(N21="Straight+TrigOff","22",IF(N21="Ramp+TrigOff","A2",IF(N21="Ramp","82",IF(N21="Holding","42",IF(N21="None","00",IF(N21="","00")))))))</f>
        <v>82</v>
      </c>
      <c r="Q21" s="38"/>
      <c r="R21" s="52"/>
      <c r="S21" s="17"/>
      <c r="T21" s="17"/>
      <c r="U21" s="17"/>
      <c r="V21" s="17" t="str">
        <f t="shared" ref="V21" si="4">DEC2HEX(HEX2DEC(P21),2)</f>
        <v>82</v>
      </c>
      <c r="W21" s="17"/>
      <c r="X21" s="18" t="str">
        <f>IF(_xlfn.BITAND(HEX2DEC(P21),128)=128,"Ramp Option Active","")</f>
        <v>Ramp Option Active</v>
      </c>
      <c r="Y21" s="62" t="str">
        <f>IF(_xlfn.BITAND(HEX2DEC(P21),32)=32,"Trigger Off(Unlocking)","")</f>
        <v/>
      </c>
      <c r="Z21" s="19" t="str">
        <f>IF(_xlfn.BITAND(HEX2DEC(P21),64)=64,"Infinite Duration","")</f>
        <v/>
      </c>
      <c r="AO21" s="45">
        <f>N25</f>
        <v>102</v>
      </c>
      <c r="AP21" s="45">
        <f>N26</f>
        <v>90</v>
      </c>
      <c r="AQ21" s="45">
        <f>Q26</f>
        <v>27.692999999999998</v>
      </c>
      <c r="AT21" s="71"/>
      <c r="AU21" s="72"/>
      <c r="AV21" s="75" t="str">
        <f>IF(C29&lt;&gt;"FF",IF(BA22="Straight",AV20,(AV22+AV20)/2),"")</f>
        <v/>
      </c>
      <c r="AW21" s="75"/>
      <c r="AX21" s="75" t="str">
        <f>IF(C29&lt;&gt;"FF",IF(BA22="Straight",AX22,IF(AX20=AX22,AX20,(AX20+AX22)/2)),"")</f>
        <v/>
      </c>
      <c r="AY21" s="75" t="str">
        <f>IF(C29&lt;&gt;"FF",IF(BB22="Straight",AY22,IF(AY20=AY22,AY20,(AY20+AY22)/2)),"")</f>
        <v/>
      </c>
      <c r="AZ21" s="72"/>
      <c r="BA21" s="74"/>
      <c r="BH21" t="s">
        <v>60</v>
      </c>
      <c r="BI21" t="s">
        <v>60</v>
      </c>
    </row>
    <row r="22" spans="2:61" x14ac:dyDescent="0.25">
      <c r="B22" s="8" t="s">
        <v>39</v>
      </c>
      <c r="C22" s="10" t="s">
        <v>40</v>
      </c>
      <c r="X22" s="4"/>
      <c r="Y22" s="63"/>
      <c r="Z22" s="4"/>
      <c r="AO22" s="45">
        <f>N31</f>
        <v>300</v>
      </c>
      <c r="AP22" s="45">
        <f>N32</f>
        <v>70</v>
      </c>
      <c r="AQ22" s="45">
        <f>Q32</f>
        <v>21.539000000000001</v>
      </c>
      <c r="AT22" s="76" t="str">
        <f>"Step "&amp;HEX2DEC(C29)</f>
        <v>Step 255</v>
      </c>
      <c r="AU22" s="72" t="str">
        <f>IF(C29&lt;&gt;"FF",MATCH(AT22,$P:$P,0),"")</f>
        <v/>
      </c>
      <c r="AV22" s="75" t="str" cm="1">
        <f t="array" aca="1" ref="AV22" ca="1">IF(C29&lt;&gt;"FF",IF(AZ22&lt;&gt;"",AZ22,INDIRECT(ADDRESS(AU22,19)))+AV20,"")</f>
        <v/>
      </c>
      <c r="AW22" s="75"/>
      <c r="AX22" s="75" t="str" cm="1">
        <f t="array" aca="1" ref="AX22" ca="1">IF(C29&lt;&gt;"FF",INDIRECT(ADDRESS(AU22,20)),"")</f>
        <v/>
      </c>
      <c r="AY22" s="72" t="str" cm="1">
        <f t="array" aca="1" ref="AY22" ca="1">IF(C29&lt;&gt;"FF",INDIRECT(ADDRESS(AU22,23)),"")</f>
        <v/>
      </c>
      <c r="AZ22" s="72" t="str" cm="1">
        <f t="array" aca="1" ref="AZ22" ca="1">IF(C29&lt;&gt;"FF",IF(""&lt;&gt;INDIRECT(ADDRESS(AU22,21)),9999,""),"")</f>
        <v/>
      </c>
      <c r="BA22" s="74" t="str" cm="1">
        <f t="array" aca="1" ref="BA22" ca="1">IF(C29&lt;&gt;"FF",IF(""&lt;&gt;INDIRECT(ADDRESS(AU22,22)),"Straight",""),"")</f>
        <v/>
      </c>
    </row>
    <row r="23" spans="2:61" x14ac:dyDescent="0.25">
      <c r="B23" s="8" t="s">
        <v>8</v>
      </c>
      <c r="C23" s="55" t="s">
        <v>37</v>
      </c>
      <c r="N23" s="35"/>
      <c r="O23" s="26"/>
      <c r="P23" s="27" t="s">
        <v>42</v>
      </c>
      <c r="Q23" s="35"/>
      <c r="R23" s="27"/>
      <c r="S23" s="28">
        <f>HEX2DEC(R25)/2</f>
        <v>102</v>
      </c>
      <c r="T23" s="28">
        <f>HEX2DEC(P26)</f>
        <v>276930</v>
      </c>
      <c r="U23" s="28" t="str">
        <f>IF(_xlfn.BITAND(HEX2DEC(P27),64)=64,"Infinite Duration","")</f>
        <v>Infinite Duration</v>
      </c>
      <c r="V23" s="28" t="str">
        <f>IF(N27="Straight","True","")</f>
        <v/>
      </c>
      <c r="W23" s="28">
        <f>N26</f>
        <v>90</v>
      </c>
      <c r="X23" s="27"/>
      <c r="Y23" s="59"/>
      <c r="Z23" s="29"/>
      <c r="AO23" s="45">
        <f>N37</f>
        <v>18</v>
      </c>
      <c r="AP23" s="45">
        <f>N38</f>
        <v>20</v>
      </c>
      <c r="AQ23" s="45">
        <f>Q38</f>
        <v>6.1539999999999999</v>
      </c>
      <c r="AT23" s="71"/>
      <c r="AU23" s="72"/>
      <c r="AV23" s="75"/>
      <c r="AW23" s="75"/>
      <c r="AX23" s="75"/>
      <c r="AY23" s="72"/>
      <c r="AZ23" s="72"/>
      <c r="BA23" s="74"/>
      <c r="BH23" t="s">
        <v>60</v>
      </c>
      <c r="BI23" t="s">
        <v>60</v>
      </c>
    </row>
    <row r="24" spans="2:61" x14ac:dyDescent="0.25">
      <c r="B24" s="8" t="s">
        <v>27</v>
      </c>
      <c r="C24" s="55" t="s">
        <v>37</v>
      </c>
      <c r="M24" s="41"/>
      <c r="N24" s="37"/>
      <c r="O24" s="21" t="s">
        <v>11</v>
      </c>
      <c r="P24" s="24" t="str">
        <f>MID(DEC2HEX(N25*2,4),1,2)</f>
        <v>00</v>
      </c>
      <c r="Q24" s="36"/>
      <c r="R24" s="48"/>
      <c r="S24" s="31"/>
      <c r="T24" s="31"/>
      <c r="U24" s="31"/>
      <c r="V24" s="31" t="str">
        <f>DEC2HEX(HEX2DEC(P24),2)</f>
        <v>00</v>
      </c>
      <c r="W24" s="31"/>
      <c r="X24" s="32"/>
      <c r="Y24" s="64"/>
      <c r="Z24" s="33"/>
      <c r="AO24" s="45">
        <f>N43</f>
        <v>498</v>
      </c>
      <c r="AP24" s="45">
        <f>N44</f>
        <v>18</v>
      </c>
      <c r="AQ24" s="45">
        <f>Q44</f>
        <v>5.5385999999999997</v>
      </c>
      <c r="AT24" s="76" t="str">
        <f>"Step "&amp;HEX2DEC(C30)</f>
        <v>Step 255</v>
      </c>
      <c r="AU24" s="72" t="str">
        <f>IF(C30&lt;&gt;"FF",MATCH(AT22,$P:$P,0),"")</f>
        <v/>
      </c>
      <c r="AV24" s="75"/>
      <c r="AW24" s="75"/>
      <c r="AX24" s="75"/>
      <c r="AY24" s="72"/>
      <c r="AZ24" s="72"/>
      <c r="BA24" s="74"/>
    </row>
    <row r="25" spans="2:61" x14ac:dyDescent="0.25">
      <c r="B25" s="8" t="s">
        <v>35</v>
      </c>
      <c r="C25" s="55" t="s">
        <v>37</v>
      </c>
      <c r="M25" s="38" t="s">
        <v>14</v>
      </c>
      <c r="N25" s="42">
        <v>102</v>
      </c>
      <c r="O25" s="21" t="s">
        <v>15</v>
      </c>
      <c r="P25" s="25" t="str">
        <f>MID(DEC2HEX(N25*2,4),3,2)</f>
        <v>CC</v>
      </c>
      <c r="Q25" s="36"/>
      <c r="R25" s="49" t="str">
        <f>P24&amp;""&amp;P25</f>
        <v>00CC</v>
      </c>
      <c r="S25" s="50"/>
      <c r="T25" s="50"/>
      <c r="U25" s="50"/>
      <c r="V25" s="50" t="str">
        <f t="shared" ref="V25:V27" si="5">DEC2HEX(HEX2DEC(P25),2)</f>
        <v>CC</v>
      </c>
      <c r="W25" s="50"/>
      <c r="X25" s="51" t="str">
        <f>HEX2DEC(R25)/2 &amp;"ms"</f>
        <v>102ms</v>
      </c>
      <c r="Y25" s="65"/>
      <c r="Z25" s="15"/>
      <c r="AO25" s="45">
        <f>N49</f>
        <v>0</v>
      </c>
      <c r="AP25" s="45">
        <f>N50</f>
        <v>0</v>
      </c>
      <c r="AQ25" s="45">
        <f>Q50</f>
        <v>0</v>
      </c>
      <c r="AT25" s="71"/>
      <c r="AU25" s="72"/>
      <c r="AV25" s="75"/>
      <c r="AW25" s="75"/>
      <c r="AX25" s="75"/>
      <c r="AY25" s="72"/>
      <c r="AZ25" s="72"/>
      <c r="BA25" s="74"/>
    </row>
    <row r="26" spans="2:61" x14ac:dyDescent="0.25">
      <c r="B26" s="8" t="s">
        <v>42</v>
      </c>
      <c r="C26" s="55" t="s">
        <v>37</v>
      </c>
      <c r="M26" s="38" t="s">
        <v>20</v>
      </c>
      <c r="N26" s="43">
        <v>90</v>
      </c>
      <c r="O26" s="21" t="s">
        <v>21</v>
      </c>
      <c r="P26" s="39" t="str">
        <f>DEC2HEX(Q26*10000,8)</f>
        <v>000439C2</v>
      </c>
      <c r="Q26" s="40">
        <f>IF(N26&lt;&gt;"",N26/1000*'UDS Commands'!$C$21,0)</f>
        <v>27.692999999999998</v>
      </c>
      <c r="R26" s="49">
        <f>HEX2DEC(P26)</f>
        <v>276930</v>
      </c>
      <c r="S26" s="50"/>
      <c r="T26" s="50"/>
      <c r="U26" s="50"/>
      <c r="V26" s="12">
        <f>ROUND(Q26,0)</f>
        <v>28</v>
      </c>
      <c r="W26" s="50"/>
      <c r="X26" s="16" t="str">
        <f>ROUND(Q26,4) &amp;"% PWM"</f>
        <v>27.693% PWM</v>
      </c>
      <c r="Y26" s="65"/>
      <c r="Z26" s="15" t="str">
        <f>IF(N26="","0 mA",N26 &amp; " mA")</f>
        <v>90 mA</v>
      </c>
      <c r="AT26" s="71"/>
      <c r="AU26" s="72"/>
      <c r="AV26" s="75"/>
      <c r="AW26" s="75"/>
      <c r="AX26" s="75"/>
      <c r="AY26" s="72"/>
      <c r="AZ26" s="72"/>
      <c r="BA26" s="74"/>
    </row>
    <row r="27" spans="2:61" x14ac:dyDescent="0.25">
      <c r="B27" s="8" t="s">
        <v>45</v>
      </c>
      <c r="C27" s="55" t="s">
        <v>37</v>
      </c>
      <c r="M27" s="38" t="s">
        <v>23</v>
      </c>
      <c r="N27" s="44" t="s">
        <v>22</v>
      </c>
      <c r="O27" s="22" t="s">
        <v>23</v>
      </c>
      <c r="P27" s="23" t="str">
        <f>IF(N27="Straight","02",IF(N27="Straight+TrigOff","22",IF(N27="Ramp+TrigOff","A2",IF(N27="Ramp","82",IF(N27="Holding","42",IF(N27="None","00",IF(N27="","00")))))))</f>
        <v>42</v>
      </c>
      <c r="Q27" s="38"/>
      <c r="R27" s="52">
        <f>_xlfn.BITAND(P27,128)</f>
        <v>0</v>
      </c>
      <c r="S27" s="17"/>
      <c r="T27" s="17"/>
      <c r="U27" s="17"/>
      <c r="V27" s="17" t="str">
        <f t="shared" si="5"/>
        <v>42</v>
      </c>
      <c r="W27" s="17"/>
      <c r="X27" s="18" t="str">
        <f>IF(_xlfn.BITAND(HEX2DEC(P27),128)=128,"Ramp Option Active","")</f>
        <v/>
      </c>
      <c r="Y27" s="62" t="str">
        <f>IF(_xlfn.BITAND(HEX2DEC(P27),32)=32,"Trigger Off(Unlocking)","")</f>
        <v/>
      </c>
      <c r="Z27" s="19" t="str">
        <f>IF(_xlfn.BITAND(HEX2DEC(P27),64)=64,"Infinite Duration","")</f>
        <v>Infinite Duration</v>
      </c>
      <c r="AT27" s="71"/>
      <c r="AU27" s="72"/>
      <c r="AV27" s="75"/>
      <c r="AW27" s="75"/>
      <c r="AX27" s="75"/>
      <c r="AY27" s="72"/>
      <c r="AZ27" s="72"/>
      <c r="BA27" s="74"/>
    </row>
    <row r="28" spans="2:61" x14ac:dyDescent="0.25">
      <c r="B28" s="8" t="s">
        <v>46</v>
      </c>
      <c r="C28" s="55" t="s">
        <v>37</v>
      </c>
      <c r="X28" s="4"/>
      <c r="Y28" s="63"/>
      <c r="Z28" s="4"/>
      <c r="AT28" s="71"/>
      <c r="AU28" s="72"/>
      <c r="AV28" s="75"/>
      <c r="AW28" s="75"/>
      <c r="AX28" s="75"/>
      <c r="AY28" s="72"/>
      <c r="AZ28" s="72"/>
      <c r="BA28" s="74"/>
    </row>
    <row r="29" spans="2:61" x14ac:dyDescent="0.25">
      <c r="B29" s="8" t="s">
        <v>47</v>
      </c>
      <c r="C29" s="55" t="s">
        <v>37</v>
      </c>
      <c r="N29" s="35"/>
      <c r="O29" s="26"/>
      <c r="P29" s="27" t="s">
        <v>45</v>
      </c>
      <c r="Q29" s="35"/>
      <c r="R29" s="27"/>
      <c r="S29" s="28">
        <f>HEX2DEC(R31)/2</f>
        <v>300</v>
      </c>
      <c r="T29" s="28">
        <f>HEX2DEC(P32)</f>
        <v>215390</v>
      </c>
      <c r="U29" s="28" t="str">
        <f>IF(_xlfn.BITAND(HEX2DEC(P33),64)=64,"Infinite Duration","")</f>
        <v/>
      </c>
      <c r="V29" s="28" t="str">
        <f>IF(N33="Straight","True","")</f>
        <v>True</v>
      </c>
      <c r="W29" s="28">
        <f>N32</f>
        <v>70</v>
      </c>
      <c r="X29" s="27"/>
      <c r="Y29" s="59"/>
      <c r="Z29" s="29"/>
      <c r="AT29" s="71"/>
      <c r="AU29" s="72"/>
      <c r="AV29" s="75"/>
      <c r="AW29" s="75"/>
      <c r="AX29" s="75"/>
      <c r="AY29" s="72"/>
      <c r="AZ29" s="72"/>
      <c r="BA29" s="74"/>
    </row>
    <row r="30" spans="2:61" x14ac:dyDescent="0.25">
      <c r="B30" s="8" t="s">
        <v>48</v>
      </c>
      <c r="C30" s="56" t="s">
        <v>37</v>
      </c>
      <c r="M30" s="41"/>
      <c r="N30" s="37"/>
      <c r="O30" s="30" t="s">
        <v>11</v>
      </c>
      <c r="P30" s="24" t="str">
        <f>MID(DEC2HEX(N31*2,4),1,2)</f>
        <v>02</v>
      </c>
      <c r="Q30" s="36"/>
      <c r="R30" s="48"/>
      <c r="S30" s="31"/>
      <c r="T30" s="31"/>
      <c r="U30" s="31"/>
      <c r="V30" s="31" t="str">
        <f>DEC2HEX(HEX2DEC(P30),2)</f>
        <v>02</v>
      </c>
      <c r="W30" s="31"/>
      <c r="X30" s="32"/>
      <c r="Y30" s="64"/>
      <c r="Z30" s="33"/>
      <c r="AT30" s="71"/>
      <c r="AU30" s="72"/>
      <c r="AV30" s="75"/>
      <c r="AW30" s="75"/>
      <c r="AX30" s="75"/>
      <c r="AY30" s="72"/>
      <c r="AZ30" s="72"/>
      <c r="BA30" s="74"/>
    </row>
    <row r="31" spans="2:61" x14ac:dyDescent="0.25">
      <c r="D31" s="7"/>
      <c r="E31" s="7"/>
      <c r="M31" s="38" t="s">
        <v>14</v>
      </c>
      <c r="N31" s="42">
        <v>300</v>
      </c>
      <c r="O31" s="21" t="s">
        <v>15</v>
      </c>
      <c r="P31" s="25" t="str">
        <f>MID(DEC2HEX(N31*2,4),3,2)</f>
        <v>58</v>
      </c>
      <c r="Q31" s="36"/>
      <c r="R31" s="49" t="str">
        <f>P30&amp;""&amp;P31</f>
        <v>0258</v>
      </c>
      <c r="S31" s="50"/>
      <c r="T31" s="50"/>
      <c r="U31" s="50"/>
      <c r="V31" s="50" t="str">
        <f t="shared" ref="V31:V33" si="6">DEC2HEX(HEX2DEC(P31),2)</f>
        <v>58</v>
      </c>
      <c r="W31" s="50"/>
      <c r="X31" s="51" t="str">
        <f>HEX2DEC(R31)/2 &amp;"ms"</f>
        <v>300ms</v>
      </c>
      <c r="Y31" s="65"/>
      <c r="Z31" s="15"/>
      <c r="AT31" s="71"/>
      <c r="AU31" s="72"/>
      <c r="AV31" s="72"/>
      <c r="AW31" s="72"/>
      <c r="AX31" s="72"/>
      <c r="AY31" s="72"/>
      <c r="AZ31" s="72"/>
      <c r="BA31" s="74"/>
    </row>
    <row r="32" spans="2:61" x14ac:dyDescent="0.25">
      <c r="M32" s="38" t="s">
        <v>20</v>
      </c>
      <c r="N32" s="43">
        <v>70</v>
      </c>
      <c r="O32" s="21" t="s">
        <v>21</v>
      </c>
      <c r="P32" s="39" t="str">
        <f>DEC2HEX(Q32*10000,8)</f>
        <v>0003495E</v>
      </c>
      <c r="Q32" s="40">
        <f>IF(N32&lt;&gt;"",N32/1000*'UDS Commands'!$C$21,0)</f>
        <v>21.539000000000001</v>
      </c>
      <c r="R32" s="49">
        <f>HEX2DEC(P32)</f>
        <v>215390</v>
      </c>
      <c r="S32" s="50"/>
      <c r="T32" s="50"/>
      <c r="U32" s="50"/>
      <c r="V32" s="12">
        <f>ROUND(Q32,0)</f>
        <v>22</v>
      </c>
      <c r="W32" s="50"/>
      <c r="X32" s="16" t="str">
        <f>ROUND(Q32,4) &amp;"% PWM"</f>
        <v>21.539% PWM</v>
      </c>
      <c r="Y32" s="65"/>
      <c r="Z32" s="15" t="str">
        <f>IF(N32="","0 mA",N32 &amp; " mA")</f>
        <v>70 mA</v>
      </c>
      <c r="AT32" s="71"/>
      <c r="AU32" s="72"/>
      <c r="AV32" s="72"/>
      <c r="AW32" s="72"/>
      <c r="AX32" s="72"/>
      <c r="AY32" s="72"/>
      <c r="AZ32" s="72"/>
      <c r="BA32" s="74"/>
    </row>
    <row r="33" spans="2:53" x14ac:dyDescent="0.25">
      <c r="M33" s="38" t="s">
        <v>23</v>
      </c>
      <c r="N33" s="44" t="s">
        <v>16</v>
      </c>
      <c r="O33" s="22" t="s">
        <v>23</v>
      </c>
      <c r="P33" s="23" t="str">
        <f>IF(N33="Straight","02",IF(N33="Ramp","82",IF(N33="Holding","42",IF(N33="None","00",IF(N33="","00")))))</f>
        <v>02</v>
      </c>
      <c r="Q33" s="38"/>
      <c r="R33" s="52">
        <f>_xlfn.BITAND(P33,128)</f>
        <v>0</v>
      </c>
      <c r="S33" s="17"/>
      <c r="T33" s="17"/>
      <c r="U33" s="17"/>
      <c r="V33" s="17" t="str">
        <f t="shared" si="6"/>
        <v>02</v>
      </c>
      <c r="W33" s="17"/>
      <c r="X33" s="18" t="str">
        <f>IF(_xlfn.BITAND(HEX2DEC(P33),128)=128,"Ramp Option Active","")</f>
        <v/>
      </c>
      <c r="Y33" s="62" t="str">
        <f>IF(_xlfn.BITAND(HEX2DEC(P33),32)=32,"Trigger Off(Unlocking)","")</f>
        <v/>
      </c>
      <c r="Z33" s="19" t="str">
        <f>IF(_xlfn.BITAND(HEX2DEC(P33),64)=64,"Infinite Duration","")</f>
        <v/>
      </c>
      <c r="AT33" s="71"/>
      <c r="AU33" s="72"/>
      <c r="AV33" s="72"/>
      <c r="AW33" s="72"/>
      <c r="AX33" s="72"/>
      <c r="AY33" s="72"/>
      <c r="AZ33" s="72"/>
      <c r="BA33" s="74"/>
    </row>
    <row r="34" spans="2:53" x14ac:dyDescent="0.25">
      <c r="X34" s="4"/>
      <c r="Y34" s="63"/>
      <c r="Z34" s="4"/>
      <c r="AT34" s="71"/>
      <c r="AU34" s="72"/>
      <c r="AV34" s="72"/>
      <c r="AW34" s="72"/>
      <c r="AX34" s="72"/>
      <c r="AY34" s="72"/>
      <c r="AZ34" s="72"/>
      <c r="BA34" s="74"/>
    </row>
    <row r="35" spans="2:53" x14ac:dyDescent="0.25">
      <c r="N35" s="35"/>
      <c r="O35" s="26"/>
      <c r="P35" s="27" t="s">
        <v>46</v>
      </c>
      <c r="Q35" s="35"/>
      <c r="R35" s="27"/>
      <c r="S35" s="28">
        <f>HEX2DEC(R37)/2</f>
        <v>18</v>
      </c>
      <c r="T35" s="28">
        <f>HEX2DEC(P38)</f>
        <v>61540</v>
      </c>
      <c r="U35" s="28" t="str">
        <f>IF(_xlfn.BITAND(HEX2DEC(P39),64)=64,"Infinite Duration","")</f>
        <v/>
      </c>
      <c r="V35" s="28" t="str">
        <f>IF(N39="Straight","True","")</f>
        <v>True</v>
      </c>
      <c r="W35" s="28">
        <f>N38</f>
        <v>20</v>
      </c>
      <c r="X35" s="27"/>
      <c r="Y35" s="59"/>
      <c r="Z35" s="29"/>
      <c r="AT35" s="71"/>
      <c r="AU35" s="72"/>
      <c r="AV35" s="72"/>
      <c r="AW35" s="72"/>
      <c r="AX35" s="72"/>
      <c r="AY35" s="72"/>
      <c r="AZ35" s="72"/>
      <c r="BA35" s="74"/>
    </row>
    <row r="36" spans="2:53" ht="18" x14ac:dyDescent="0.25">
      <c r="B36" s="6"/>
      <c r="M36" s="41"/>
      <c r="N36" s="37"/>
      <c r="O36" s="30" t="s">
        <v>11</v>
      </c>
      <c r="P36" s="24" t="str">
        <f>MID(DEC2HEX(N37*2,4),1,2)</f>
        <v>00</v>
      </c>
      <c r="Q36" s="36"/>
      <c r="R36" s="48"/>
      <c r="S36" s="31"/>
      <c r="T36" s="31"/>
      <c r="U36" s="31"/>
      <c r="V36" s="31" t="str">
        <f>DEC2HEX(HEX2DEC(P36),2)</f>
        <v>00</v>
      </c>
      <c r="W36" s="31"/>
      <c r="X36" s="32"/>
      <c r="Y36" s="64"/>
      <c r="Z36" s="33"/>
      <c r="AT36" s="71"/>
      <c r="AU36" s="72"/>
      <c r="AV36" s="72"/>
      <c r="AW36" s="72"/>
      <c r="AX36" s="72"/>
      <c r="AY36" s="72"/>
      <c r="AZ36" s="72"/>
      <c r="BA36" s="74"/>
    </row>
    <row r="37" spans="2:53" x14ac:dyDescent="0.25">
      <c r="M37" s="38" t="s">
        <v>14</v>
      </c>
      <c r="N37" s="42">
        <v>18</v>
      </c>
      <c r="O37" s="21" t="s">
        <v>15</v>
      </c>
      <c r="P37" s="25" t="str">
        <f>MID(DEC2HEX(N37*2,4),3,2)</f>
        <v>24</v>
      </c>
      <c r="Q37" s="36"/>
      <c r="R37" s="49" t="str">
        <f>P36&amp;""&amp;P37</f>
        <v>0024</v>
      </c>
      <c r="S37" s="50"/>
      <c r="T37" s="50"/>
      <c r="U37" s="50"/>
      <c r="V37" s="50" t="str">
        <f t="shared" ref="V37:V39" si="7">DEC2HEX(HEX2DEC(P37),2)</f>
        <v>24</v>
      </c>
      <c r="W37" s="50"/>
      <c r="X37" s="51" t="str">
        <f>HEX2DEC(R37)/2 &amp;"ms"</f>
        <v>18ms</v>
      </c>
      <c r="Y37" s="65"/>
      <c r="Z37" s="15"/>
      <c r="AT37" s="71"/>
      <c r="AU37" s="72"/>
      <c r="AV37" s="72"/>
      <c r="AW37" s="72"/>
      <c r="AX37" s="72"/>
      <c r="AY37" s="72"/>
      <c r="AZ37" s="72"/>
      <c r="BA37" s="74"/>
    </row>
    <row r="38" spans="2:53" x14ac:dyDescent="0.25">
      <c r="M38" s="38" t="s">
        <v>20</v>
      </c>
      <c r="N38" s="43">
        <v>20</v>
      </c>
      <c r="O38" s="21" t="s">
        <v>21</v>
      </c>
      <c r="P38" s="39" t="str">
        <f>DEC2HEX(Q38*10000,8)</f>
        <v>0000F064</v>
      </c>
      <c r="Q38" s="40">
        <f>IF(N38&lt;&gt;"",N38/1000*'UDS Commands'!$C$21,0)</f>
        <v>6.1539999999999999</v>
      </c>
      <c r="R38" s="49">
        <f>HEX2DEC(P38)</f>
        <v>61540</v>
      </c>
      <c r="S38" s="50"/>
      <c r="T38" s="50"/>
      <c r="U38" s="50"/>
      <c r="V38" s="12">
        <f>ROUND(Q38,0)</f>
        <v>6</v>
      </c>
      <c r="W38" s="50"/>
      <c r="X38" s="16" t="str">
        <f>ROUND(Q38,4) &amp;"% PWM"</f>
        <v>6.154% PWM</v>
      </c>
      <c r="Y38" s="65"/>
      <c r="Z38" s="15" t="str">
        <f>IF(N38="","0 mA",N38 &amp; " mA")</f>
        <v>20 mA</v>
      </c>
      <c r="AT38" s="71"/>
      <c r="AU38" s="72"/>
      <c r="AV38" s="72"/>
      <c r="AW38" s="72"/>
      <c r="AX38" s="72"/>
      <c r="AY38" s="72"/>
      <c r="AZ38" s="72"/>
      <c r="BA38" s="74"/>
    </row>
    <row r="39" spans="2:53" x14ac:dyDescent="0.25">
      <c r="M39" s="38" t="s">
        <v>23</v>
      </c>
      <c r="N39" s="44" t="s">
        <v>16</v>
      </c>
      <c r="O39" s="22" t="s">
        <v>23</v>
      </c>
      <c r="P39" s="23" t="str">
        <f>IF(N39="Straight","02",IF(N39="Ramp","82",IF(N39="Holding","42",IF(N39="None","00",IF(N39="","00")))))</f>
        <v>02</v>
      </c>
      <c r="Q39" s="38"/>
      <c r="R39" s="52">
        <f>_xlfn.BITAND(P39,128)</f>
        <v>0</v>
      </c>
      <c r="S39" s="17"/>
      <c r="T39" s="17"/>
      <c r="U39" s="17"/>
      <c r="V39" s="17" t="str">
        <f t="shared" si="7"/>
        <v>02</v>
      </c>
      <c r="W39" s="17"/>
      <c r="X39" s="18" t="str">
        <f>IF(_xlfn.BITAND(HEX2DEC(P39),128)=128,"Ramp Option Active","")</f>
        <v/>
      </c>
      <c r="Y39" s="62" t="str">
        <f>IF(_xlfn.BITAND(HEX2DEC(P39),32)=32,"Trigger Off(Unlocking)","")</f>
        <v/>
      </c>
      <c r="Z39" s="19" t="str">
        <f>IF(_xlfn.BITAND(HEX2DEC(P39),64)=64,"Infinite Duration","")</f>
        <v/>
      </c>
      <c r="AT39" s="71"/>
      <c r="AU39" s="72"/>
      <c r="AV39" s="72"/>
      <c r="AW39" s="72"/>
      <c r="AX39" s="72"/>
      <c r="AY39" s="72"/>
      <c r="AZ39" s="72"/>
      <c r="BA39" s="74"/>
    </row>
    <row r="40" spans="2:53" x14ac:dyDescent="0.25">
      <c r="AT40" s="71"/>
      <c r="AU40" s="72"/>
      <c r="AV40" s="72"/>
      <c r="AW40" s="72"/>
      <c r="AX40" s="72"/>
      <c r="AY40" s="72"/>
      <c r="AZ40" s="72"/>
      <c r="BA40" s="74" t="str">
        <f t="shared" ref="BA40:BA51" si="8">DEC2HEX(HEX2DEC(C19),2)</f>
        <v>FF</v>
      </c>
    </row>
    <row r="41" spans="2:53" x14ac:dyDescent="0.25">
      <c r="N41" s="35"/>
      <c r="O41" s="26"/>
      <c r="P41" s="27" t="s">
        <v>47</v>
      </c>
      <c r="Q41" s="35"/>
      <c r="R41" s="27"/>
      <c r="S41" s="28">
        <f>HEX2DEC(R43)/2</f>
        <v>498</v>
      </c>
      <c r="T41" s="28">
        <f>HEX2DEC(P44)</f>
        <v>55386</v>
      </c>
      <c r="U41" s="28" t="str">
        <f>IF(_xlfn.BITAND(HEX2DEC(P45),64)=64,"Infinite Duration","")</f>
        <v/>
      </c>
      <c r="V41" s="28" t="str">
        <f>IF(N45="Straight","True","")</f>
        <v>True</v>
      </c>
      <c r="W41" s="28">
        <f>N44</f>
        <v>18</v>
      </c>
      <c r="X41" s="27"/>
      <c r="Y41" s="59"/>
      <c r="Z41" s="29"/>
      <c r="AT41" s="71"/>
      <c r="AU41" s="72"/>
      <c r="AV41" s="72"/>
      <c r="AW41" s="72"/>
      <c r="AX41" s="72"/>
      <c r="AY41" s="72"/>
      <c r="AZ41" s="72"/>
      <c r="BA41" s="74" t="str">
        <f t="shared" si="8"/>
        <v>FF</v>
      </c>
    </row>
    <row r="42" spans="2:53" x14ac:dyDescent="0.25">
      <c r="M42" s="41"/>
      <c r="N42" s="37"/>
      <c r="O42" s="30" t="s">
        <v>11</v>
      </c>
      <c r="P42" s="24" t="str">
        <f>MID(DEC2HEX(N43*2,4),1,2)</f>
        <v>03</v>
      </c>
      <c r="Q42" s="36"/>
      <c r="R42" s="48"/>
      <c r="S42" s="31"/>
      <c r="T42" s="31"/>
      <c r="U42" s="31"/>
      <c r="V42" s="31" t="str">
        <f>DEC2HEX(HEX2DEC(P42),2)</f>
        <v>03</v>
      </c>
      <c r="W42" s="31"/>
      <c r="X42" s="32"/>
      <c r="Y42" s="64"/>
      <c r="Z42" s="33"/>
      <c r="AT42" s="71"/>
      <c r="AU42" s="72"/>
      <c r="AV42" s="72"/>
      <c r="AW42" s="72"/>
      <c r="AX42" s="72"/>
      <c r="AY42" s="72"/>
      <c r="AZ42" s="72"/>
      <c r="BA42" s="74" t="str">
        <f t="shared" si="8"/>
        <v>FF</v>
      </c>
    </row>
    <row r="43" spans="2:53" x14ac:dyDescent="0.25">
      <c r="M43" s="38" t="s">
        <v>14</v>
      </c>
      <c r="N43" s="42">
        <v>498</v>
      </c>
      <c r="O43" s="21" t="s">
        <v>15</v>
      </c>
      <c r="P43" s="25" t="str">
        <f>MID(DEC2HEX(N43*2,4),3,2)</f>
        <v>E4</v>
      </c>
      <c r="Q43" s="36"/>
      <c r="R43" s="49" t="str">
        <f>P42&amp;""&amp;P43</f>
        <v>03E4</v>
      </c>
      <c r="S43" s="50"/>
      <c r="T43" s="50"/>
      <c r="U43" s="50"/>
      <c r="V43" s="50" t="str">
        <f t="shared" ref="V43:V45" si="9">DEC2HEX(HEX2DEC(P43),2)</f>
        <v>E4</v>
      </c>
      <c r="W43" s="50"/>
      <c r="X43" s="51" t="str">
        <f>HEX2DEC(R43)/2 &amp;"ms"</f>
        <v>498ms</v>
      </c>
      <c r="Y43" s="65"/>
      <c r="Z43" s="15"/>
      <c r="AT43" s="46"/>
      <c r="AU43" s="47"/>
      <c r="AV43" s="47"/>
      <c r="AW43" s="47"/>
      <c r="AX43" s="47"/>
      <c r="AY43" s="47"/>
      <c r="AZ43" s="72"/>
      <c r="BA43" s="74" t="str">
        <f t="shared" si="8"/>
        <v>01</v>
      </c>
    </row>
    <row r="44" spans="2:53" x14ac:dyDescent="0.25">
      <c r="M44" s="38" t="s">
        <v>20</v>
      </c>
      <c r="N44" s="43">
        <v>18</v>
      </c>
      <c r="O44" s="21" t="s">
        <v>21</v>
      </c>
      <c r="P44" s="39" t="str">
        <f>DEC2HEX(Q44*10000,8)</f>
        <v>0000D85A</v>
      </c>
      <c r="Q44" s="40">
        <f>IF(N44&lt;&gt;"",N44/1000*'UDS Commands'!$C$21,0)</f>
        <v>5.5385999999999997</v>
      </c>
      <c r="R44" s="49">
        <f>HEX2DEC(P44)</f>
        <v>55386</v>
      </c>
      <c r="S44" s="50"/>
      <c r="T44" s="50"/>
      <c r="U44" s="50"/>
      <c r="V44" s="12">
        <f>ROUND(Q44,0)</f>
        <v>6</v>
      </c>
      <c r="W44" s="50"/>
      <c r="X44" s="16" t="str">
        <f>ROUND(Q44,4) &amp;"% PWM"</f>
        <v>5.5386% PWM</v>
      </c>
      <c r="Y44" s="65"/>
      <c r="Z44" s="15" t="str">
        <f>IF(N44="","0 mA",N44 &amp; " mA")</f>
        <v>18 mA</v>
      </c>
      <c r="AT44" s="46"/>
      <c r="AU44" s="47"/>
      <c r="AV44" s="47"/>
      <c r="AW44" s="47"/>
      <c r="AX44" s="47"/>
      <c r="AY44" s="47"/>
      <c r="AZ44" s="72"/>
      <c r="BA44" s="74" t="str">
        <f t="shared" si="8"/>
        <v>FF</v>
      </c>
    </row>
    <row r="45" spans="2:53" x14ac:dyDescent="0.25">
      <c r="M45" s="38" t="s">
        <v>23</v>
      </c>
      <c r="N45" s="44" t="s">
        <v>16</v>
      </c>
      <c r="O45" s="22" t="s">
        <v>23</v>
      </c>
      <c r="P45" s="23" t="str">
        <f>IF(N45="Straight","02",IF(N45="Ramp","82",IF(N45="Holding","42",IF(N45="None","00",IF(N45="","00")))))</f>
        <v>02</v>
      </c>
      <c r="Q45" s="38"/>
      <c r="R45" s="52">
        <f>_xlfn.BITAND(P45,128)</f>
        <v>0</v>
      </c>
      <c r="S45" s="17"/>
      <c r="T45" s="17"/>
      <c r="U45" s="17"/>
      <c r="V45" s="17" t="str">
        <f t="shared" si="9"/>
        <v>02</v>
      </c>
      <c r="W45" s="17"/>
      <c r="X45" s="18" t="str">
        <f>IF(_xlfn.BITAND(HEX2DEC(P45),128)=128,"Ramp Option Active","")</f>
        <v/>
      </c>
      <c r="Y45" s="62" t="str">
        <f>IF(_xlfn.BITAND(HEX2DEC(P45),32)=32,"Trigger Off(Unlocking)","")</f>
        <v/>
      </c>
      <c r="Z45" s="19" t="str">
        <f>IF(_xlfn.BITAND(HEX2DEC(P45),64)=64,"Infinite Duration","")</f>
        <v/>
      </c>
      <c r="AT45" s="46"/>
      <c r="AU45" s="47"/>
      <c r="AV45" s="47"/>
      <c r="AW45" s="47"/>
      <c r="AX45" s="47"/>
      <c r="AY45" s="47"/>
      <c r="AZ45" s="72"/>
      <c r="BA45" s="74" t="str">
        <f t="shared" si="8"/>
        <v>FF</v>
      </c>
    </row>
    <row r="46" spans="2:53" x14ac:dyDescent="0.25">
      <c r="AT46" s="46"/>
      <c r="AU46" s="47"/>
      <c r="AV46" s="47"/>
      <c r="AW46" s="47"/>
      <c r="AX46" s="47"/>
      <c r="AY46" s="47"/>
      <c r="AZ46" s="72"/>
      <c r="BA46" s="74" t="str">
        <f t="shared" si="8"/>
        <v>FF</v>
      </c>
    </row>
    <row r="47" spans="2:53" x14ac:dyDescent="0.25">
      <c r="N47" s="35"/>
      <c r="O47" s="26"/>
      <c r="P47" s="27" t="s">
        <v>48</v>
      </c>
      <c r="Q47" s="35"/>
      <c r="R47" s="27"/>
      <c r="S47" s="28">
        <f>HEX2DEC(R49)/2</f>
        <v>0</v>
      </c>
      <c r="T47" s="28">
        <f>HEX2DEC(P50)</f>
        <v>0</v>
      </c>
      <c r="U47" s="28" t="str">
        <f>IF(_xlfn.BITAND(HEX2DEC(P51),64)=64,"Infinite Duration","")</f>
        <v/>
      </c>
      <c r="V47" s="28" t="str">
        <f>IF(N51="Straight","True","")</f>
        <v/>
      </c>
      <c r="W47" s="28">
        <f>N49</f>
        <v>0</v>
      </c>
      <c r="X47" s="27"/>
      <c r="Y47" s="59"/>
      <c r="Z47" s="29"/>
      <c r="AT47" s="46"/>
      <c r="AU47" s="47"/>
      <c r="AV47" s="47"/>
      <c r="AW47" s="47"/>
      <c r="AX47" s="47"/>
      <c r="AY47" s="47"/>
      <c r="AZ47" s="72"/>
      <c r="BA47" s="74" t="str">
        <f t="shared" si="8"/>
        <v>FF</v>
      </c>
    </row>
    <row r="48" spans="2:53" x14ac:dyDescent="0.25">
      <c r="M48" s="41"/>
      <c r="N48" s="37"/>
      <c r="O48" s="30" t="s">
        <v>11</v>
      </c>
      <c r="P48" s="24" t="str">
        <f>MID(DEC2HEX(N49*2,4),1,2)</f>
        <v>00</v>
      </c>
      <c r="Q48" s="36"/>
      <c r="R48" s="48"/>
      <c r="S48" s="31"/>
      <c r="T48" s="31"/>
      <c r="U48" s="31"/>
      <c r="V48" s="31" t="str">
        <f>DEC2HEX(HEX2DEC(P48),2)</f>
        <v>00</v>
      </c>
      <c r="W48" s="31"/>
      <c r="X48" s="32"/>
      <c r="Y48" s="64"/>
      <c r="Z48" s="33"/>
      <c r="AT48" s="46"/>
      <c r="AU48" s="47"/>
      <c r="AV48" s="47"/>
      <c r="AW48" s="47"/>
      <c r="AX48" s="47"/>
      <c r="AY48" s="47"/>
      <c r="AZ48" s="72"/>
      <c r="BA48" s="74" t="str">
        <f t="shared" si="8"/>
        <v>FF</v>
      </c>
    </row>
    <row r="49" spans="13:53" x14ac:dyDescent="0.25">
      <c r="M49" s="38" t="s">
        <v>14</v>
      </c>
      <c r="N49" s="42"/>
      <c r="O49" s="21" t="s">
        <v>15</v>
      </c>
      <c r="P49" s="25" t="str">
        <f>MID(DEC2HEX(N49*2,4),3,2)</f>
        <v>00</v>
      </c>
      <c r="Q49" s="36"/>
      <c r="R49" s="49" t="str">
        <f>P48&amp;""&amp;P49</f>
        <v>0000</v>
      </c>
      <c r="S49" s="50"/>
      <c r="T49" s="50"/>
      <c r="U49" s="50"/>
      <c r="V49" s="50" t="str">
        <f t="shared" ref="V49:V51" si="10">DEC2HEX(HEX2DEC(P49),2)</f>
        <v>00</v>
      </c>
      <c r="W49" s="50"/>
      <c r="X49" s="51" t="str">
        <f>HEX2DEC(R49)/2 &amp;"ms"</f>
        <v>0ms</v>
      </c>
      <c r="Y49" s="65"/>
      <c r="Z49" s="15"/>
      <c r="AT49" s="46"/>
      <c r="AU49" s="47"/>
      <c r="AV49" s="47"/>
      <c r="AW49" s="47"/>
      <c r="AX49" s="47"/>
      <c r="AY49" s="47"/>
      <c r="AZ49" s="72"/>
      <c r="BA49" s="74" t="str">
        <f t="shared" si="8"/>
        <v>FF</v>
      </c>
    </row>
    <row r="50" spans="13:53" x14ac:dyDescent="0.25">
      <c r="M50" s="38" t="s">
        <v>20</v>
      </c>
      <c r="N50" s="43"/>
      <c r="O50" s="21" t="s">
        <v>21</v>
      </c>
      <c r="P50" s="39" t="str">
        <f>DEC2HEX(Q50*10000,8)</f>
        <v>00000000</v>
      </c>
      <c r="Q50" s="40">
        <f>IF(N50&lt;&gt;"",N50/1000*'UDS Commands'!$C$21,0)</f>
        <v>0</v>
      </c>
      <c r="R50" s="49">
        <f>HEX2DEC(P50)</f>
        <v>0</v>
      </c>
      <c r="S50" s="50"/>
      <c r="T50" s="50"/>
      <c r="U50" s="50"/>
      <c r="V50" s="12">
        <f>ROUND(Q50,0)</f>
        <v>0</v>
      </c>
      <c r="W50" s="50"/>
      <c r="X50" s="16" t="str">
        <f>ROUND(Q50,4) &amp;"% PWM"</f>
        <v>0% PWM</v>
      </c>
      <c r="Y50" s="65"/>
      <c r="Z50" s="15" t="str">
        <f>IF(N50="","0 mA",N50 &amp; " mA")</f>
        <v>0 mA</v>
      </c>
      <c r="AT50" s="46"/>
      <c r="AU50" s="47"/>
      <c r="AV50" s="47"/>
      <c r="AW50" s="47"/>
      <c r="AX50" s="47"/>
      <c r="AY50" s="47"/>
      <c r="AZ50" s="72"/>
      <c r="BA50" s="74" t="str">
        <f t="shared" si="8"/>
        <v>FF</v>
      </c>
    </row>
    <row r="51" spans="13:53" x14ac:dyDescent="0.25">
      <c r="M51" s="38" t="s">
        <v>23</v>
      </c>
      <c r="N51" s="44"/>
      <c r="O51" s="22" t="s">
        <v>23</v>
      </c>
      <c r="P51" s="23" t="str">
        <f>IF(N51="Straight","02",IF(N51="Ramp","82",IF(N51="Holding","42",IF(N51="None","00",IF(N51="","00")))))</f>
        <v>00</v>
      </c>
      <c r="Q51" s="38"/>
      <c r="R51" s="52">
        <f>_xlfn.BITAND(P51,128)</f>
        <v>0</v>
      </c>
      <c r="S51" s="17"/>
      <c r="T51" s="17"/>
      <c r="U51" s="17"/>
      <c r="V51" s="17" t="str">
        <f t="shared" si="10"/>
        <v>00</v>
      </c>
      <c r="W51" s="17"/>
      <c r="X51" s="18" t="str">
        <f>IF(_xlfn.BITAND(HEX2DEC(P51),128)=128,"Ramp Option Active","")</f>
        <v/>
      </c>
      <c r="Y51" s="62" t="str">
        <f>IF(_xlfn.BITAND(HEX2DEC(P51),32)=32,"Trigger Off(Unlocking)","")</f>
        <v/>
      </c>
      <c r="Z51" s="19" t="str">
        <f>IF(_xlfn.BITAND(HEX2DEC(P51),64)=64,"Infinite Duration","")</f>
        <v/>
      </c>
      <c r="AT51" s="77"/>
      <c r="AU51" s="78"/>
      <c r="AV51" s="78"/>
      <c r="AW51" s="78"/>
      <c r="AX51" s="78"/>
      <c r="AY51" s="78"/>
      <c r="AZ51" s="78"/>
      <c r="BA51" s="79" t="str">
        <f t="shared" si="8"/>
        <v>FF</v>
      </c>
    </row>
  </sheetData>
  <mergeCells count="20">
    <mergeCell ref="G1:M2"/>
    <mergeCell ref="C4:J4"/>
    <mergeCell ref="B5:B7"/>
    <mergeCell ref="C5:J5"/>
    <mergeCell ref="K5:K7"/>
    <mergeCell ref="C6:J6"/>
    <mergeCell ref="C7:J7"/>
    <mergeCell ref="K8:K10"/>
    <mergeCell ref="B11:B17"/>
    <mergeCell ref="C11:J11"/>
    <mergeCell ref="K11:K17"/>
    <mergeCell ref="C13:H13"/>
    <mergeCell ref="I13:I17"/>
    <mergeCell ref="J13:J17"/>
    <mergeCell ref="C14:H14"/>
    <mergeCell ref="C15:H15"/>
    <mergeCell ref="C16:H16"/>
    <mergeCell ref="C17:H17"/>
    <mergeCell ref="B8:B10"/>
    <mergeCell ref="C8:J10"/>
  </mergeCells>
  <dataValidations count="2">
    <dataValidation type="list" allowBlank="1" showInputMessage="1" showErrorMessage="1" sqref="N51 N39 N45 N33" xr:uid="{E49590EE-3C6E-4B57-B845-881A3D6DC11B}">
      <formula1>$AQ$6:$AQ$8</formula1>
    </dataValidation>
    <dataValidation type="list" allowBlank="1" showInputMessage="1" showErrorMessage="1" sqref="N9 N27 N21 N15" xr:uid="{A3752280-80F5-43D8-9AAD-FE66E3E6111E}">
      <formula1>$AQ$6:$AQ$15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UDS Commands</vt:lpstr>
      <vt:lpstr>Unlock Profile</vt:lpstr>
      <vt:lpstr>Backup Profile</vt:lpstr>
      <vt:lpstr>Diagnostic Profile</vt:lpstr>
      <vt:lpstr>Reserved Profile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Dustinta</dc:creator>
  <cp:keywords/>
  <dc:description/>
  <cp:lastModifiedBy>Dan Dustinta</cp:lastModifiedBy>
  <cp:revision/>
  <dcterms:created xsi:type="dcterms:W3CDTF">2022-09-01T13:17:27Z</dcterms:created>
  <dcterms:modified xsi:type="dcterms:W3CDTF">2023-07-13T10:45:04Z</dcterms:modified>
  <cp:category/>
  <cp:contentStatus/>
</cp:coreProperties>
</file>