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theme/themeOverride1.xml" ContentType="application/vnd.openxmlformats-officedocument.themeOverride+xml"/>
  <Override PartName="/xl/charts/chart7.xml" ContentType="application/vnd.openxmlformats-officedocument.drawingml.chart+xml"/>
  <Override PartName="/xl/theme/themeOverride2.xml" ContentType="application/vnd.openxmlformats-officedocument.themeOverride+xml"/>
  <Override PartName="/xl/drawings/drawing5.xml" ContentType="application/vnd.openxmlformats-officedocument.drawing+xml"/>
  <Override PartName="/xl/charts/chart8.xml" ContentType="application/vnd.openxmlformats-officedocument.drawingml.chart+xml"/>
  <Override PartName="/xl/theme/themeOverride3.xml" ContentType="application/vnd.openxmlformats-officedocument.themeOverrid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9.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3307C89F-470C-4E91-A0EF-634962C1810A}" xr6:coauthVersionLast="47" xr6:coauthVersionMax="47" xr10:uidLastSave="{00000000-0000-0000-0000-000000000000}"/>
  <workbookProtection workbookAlgorithmName="SHA-512" workbookHashValue="4PZPUkLk/bcsOl8nLzmxryctE18BsX/QmXgV47paAzJrbgn0QbvBdSDRJaPWeJs2DG2aRODOC9RiHKSKa66Z3Q==" workbookSaltValue="1JQqrdvJjxx8aFlEexv0YQ==" workbookSpinCount="100000" lockStructure="1"/>
  <bookViews>
    <workbookView xWindow="-120" yWindow="-120" windowWidth="29040" windowHeight="15840" tabRatio="855" xr2:uid="{00000000-000D-0000-FFFF-FFFF00000000}"/>
  </bookViews>
  <sheets>
    <sheet name="Main" sheetId="8" r:id="rId1"/>
    <sheet name="Coefficients" sheetId="17" state="hidden" r:id="rId2"/>
    <sheet name="Device Resistance Tables" sheetId="14" r:id="rId3"/>
    <sheet name="NTC Thermistor Comparison" sheetId="5" r:id="rId4"/>
    <sheet name="4th Order Polynomial TMP vs Res" sheetId="3" r:id="rId5"/>
    <sheet name="4th Order Polynomial TMP vs Vdc" sheetId="19" r:id="rId6"/>
    <sheet name="Steinhart-Hart" sheetId="1" r:id="rId7"/>
    <sheet name="Lookup Table" sheetId="16" r:id="rId8"/>
    <sheet name="Interpolation from Lookup Table" sheetId="7" r:id="rId9"/>
    <sheet name="Threshold Detection" sheetId="6" r:id="rId10"/>
    <sheet name="Averaging" sheetId="18" r:id="rId11"/>
    <sheet name="Low Pass Filter" sheetId="20" r:id="rId12"/>
    <sheet name="Basic Formulas" sheetId="13" r:id="rId13"/>
    <sheet name="RBias TCR_PPM" sheetId="15"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20" l="1"/>
  <c r="B55" i="20" l="1"/>
  <c r="B54" i="20"/>
  <c r="B50" i="20" l="1"/>
  <c r="C62" i="20" l="1"/>
  <c r="C63" i="20" s="1"/>
  <c r="C64" i="20" s="1"/>
  <c r="C65" i="20" s="1"/>
  <c r="C66" i="20" s="1"/>
  <c r="C67" i="20" s="1"/>
  <c r="C68" i="20" s="1"/>
  <c r="C69" i="20" s="1"/>
  <c r="C70" i="20" s="1"/>
  <c r="C71" i="20" s="1"/>
  <c r="C72" i="20" s="1"/>
  <c r="C73" i="20" s="1"/>
  <c r="C74" i="20" s="1"/>
  <c r="C75" i="20" s="1"/>
  <c r="C76" i="20" s="1"/>
  <c r="C77" i="20" s="1"/>
  <c r="C78" i="20" s="1"/>
  <c r="C79" i="20" s="1"/>
  <c r="C80" i="20" s="1"/>
  <c r="C81" i="20" s="1"/>
  <c r="C82" i="20" s="1"/>
  <c r="C83" i="20" s="1"/>
  <c r="C84" i="20" s="1"/>
  <c r="C85" i="20" s="1"/>
  <c r="C86" i="20" s="1"/>
  <c r="C87" i="20" s="1"/>
  <c r="C88" i="20" s="1"/>
  <c r="C89" i="20" s="1"/>
  <c r="C90" i="20" s="1"/>
  <c r="C91" i="20" s="1"/>
  <c r="C92" i="20" s="1"/>
  <c r="C93" i="20" s="1"/>
  <c r="C94" i="20" s="1"/>
  <c r="C95" i="20" s="1"/>
  <c r="C96" i="20" s="1"/>
  <c r="C97" i="20" s="1"/>
  <c r="C98" i="20" s="1"/>
  <c r="C99" i="20" s="1"/>
  <c r="C100" i="20" s="1"/>
  <c r="C101" i="20" s="1"/>
  <c r="C102" i="20" s="1"/>
  <c r="C103" i="20" s="1"/>
  <c r="C104" i="20" s="1"/>
  <c r="C105" i="20" s="1"/>
  <c r="C106" i="20" s="1"/>
  <c r="C107" i="20" s="1"/>
  <c r="C108" i="20" s="1"/>
  <c r="C109" i="20" s="1"/>
  <c r="C110" i="20" s="1"/>
  <c r="C111" i="20" s="1"/>
  <c r="C112" i="20" s="1"/>
  <c r="C113" i="20" s="1"/>
  <c r="C114" i="20" s="1"/>
  <c r="C115" i="20" s="1"/>
  <c r="C116" i="20" s="1"/>
  <c r="C117" i="20" s="1"/>
  <c r="C118" i="20" s="1"/>
  <c r="C119" i="20" s="1"/>
  <c r="C120" i="20" s="1"/>
  <c r="C121" i="20" s="1"/>
  <c r="C122" i="20" s="1"/>
  <c r="C123" i="20" s="1"/>
  <c r="C124" i="20" s="1"/>
  <c r="C125" i="20" s="1"/>
  <c r="C126" i="20" s="1"/>
  <c r="C127" i="20" s="1"/>
  <c r="C128" i="20" s="1"/>
  <c r="C129" i="20" s="1"/>
  <c r="C130" i="20" s="1"/>
  <c r="C131" i="20" s="1"/>
  <c r="C132" i="20" s="1"/>
  <c r="C133" i="20" s="1"/>
  <c r="C134" i="20" s="1"/>
  <c r="C135" i="20" s="1"/>
  <c r="C136" i="20" s="1"/>
  <c r="C137" i="20" s="1"/>
  <c r="C138" i="20" s="1"/>
  <c r="C139" i="20" s="1"/>
  <c r="C140" i="20" s="1"/>
  <c r="C141" i="20" s="1"/>
  <c r="C142" i="20" s="1"/>
  <c r="C143" i="20" s="1"/>
  <c r="C144" i="20" s="1"/>
  <c r="C145" i="20" s="1"/>
  <c r="C146" i="20" s="1"/>
  <c r="C147" i="20" s="1"/>
  <c r="C148" i="20" s="1"/>
  <c r="C149" i="20" s="1"/>
  <c r="C150" i="20" s="1"/>
  <c r="C151" i="20" s="1"/>
  <c r="C152" i="20" s="1"/>
  <c r="C153" i="20" s="1"/>
  <c r="C154" i="20" s="1"/>
  <c r="C155" i="20" s="1"/>
  <c r="C156" i="20" s="1"/>
  <c r="C157" i="20" s="1"/>
  <c r="C158" i="20" s="1"/>
  <c r="C159" i="20" s="1"/>
  <c r="C160" i="20" s="1"/>
  <c r="C161" i="20" s="1"/>
  <c r="C162" i="20" s="1"/>
  <c r="C163" i="20" s="1"/>
  <c r="C164" i="20" s="1"/>
  <c r="C165" i="20" s="1"/>
  <c r="C166" i="20" s="1"/>
  <c r="C167" i="20" s="1"/>
  <c r="C168" i="20" s="1"/>
  <c r="C169" i="20" s="1"/>
  <c r="C170" i="20" s="1"/>
  <c r="C171" i="20" s="1"/>
  <c r="C172" i="20" s="1"/>
  <c r="C173" i="20" s="1"/>
  <c r="C174" i="20" s="1"/>
  <c r="C175" i="20" s="1"/>
  <c r="C176" i="20" s="1"/>
  <c r="C177" i="20" s="1"/>
  <c r="C178" i="20" s="1"/>
  <c r="C179" i="20" s="1"/>
  <c r="C180" i="20" s="1"/>
  <c r="C181" i="20" s="1"/>
  <c r="C182" i="20" s="1"/>
  <c r="C183" i="20" s="1"/>
  <c r="C184" i="20" s="1"/>
  <c r="C185" i="20" s="1"/>
  <c r="C186" i="20" s="1"/>
  <c r="C187" i="20" s="1"/>
  <c r="C188" i="20" s="1"/>
  <c r="C189" i="20" s="1"/>
  <c r="C190" i="20" s="1"/>
  <c r="C191" i="20" s="1"/>
  <c r="C192" i="20" s="1"/>
  <c r="C193" i="20" s="1"/>
  <c r="C194" i="20" s="1"/>
  <c r="C195" i="20" s="1"/>
  <c r="C196" i="20" s="1"/>
  <c r="C197" i="20" s="1"/>
  <c r="C198" i="20" s="1"/>
  <c r="C199" i="20" s="1"/>
  <c r="C200" i="20" s="1"/>
  <c r="C201" i="20" s="1"/>
  <c r="C202" i="20" s="1"/>
  <c r="C203" i="20" s="1"/>
  <c r="C204" i="20" s="1"/>
  <c r="C205" i="20" s="1"/>
  <c r="C206" i="20" s="1"/>
  <c r="C207" i="20" s="1"/>
  <c r="C208" i="20" s="1"/>
  <c r="C209" i="20" s="1"/>
  <c r="C210" i="20" s="1"/>
  <c r="C211" i="20" s="1"/>
  <c r="C212" i="20" s="1"/>
  <c r="C213" i="20" s="1"/>
  <c r="C214" i="20" s="1"/>
  <c r="C215" i="20" s="1"/>
  <c r="C216" i="20" s="1"/>
  <c r="C217" i="20" s="1"/>
  <c r="C218" i="20" s="1"/>
  <c r="C219" i="20" s="1"/>
  <c r="C220" i="20" s="1"/>
  <c r="C221" i="20" s="1"/>
  <c r="C222" i="20" s="1"/>
  <c r="C223" i="20" s="1"/>
  <c r="C224" i="20" s="1"/>
  <c r="C225" i="20" s="1"/>
  <c r="C226" i="20" s="1"/>
  <c r="C227" i="20" s="1"/>
  <c r="C228" i="20" s="1"/>
  <c r="C229" i="20" s="1"/>
  <c r="C230" i="20" s="1"/>
  <c r="C231" i="20" s="1"/>
  <c r="C232" i="20" s="1"/>
  <c r="C233" i="20" s="1"/>
  <c r="C234" i="20" s="1"/>
  <c r="C235" i="20" s="1"/>
  <c r="C236" i="20" s="1"/>
  <c r="C237" i="20" s="1"/>
  <c r="C238" i="20" s="1"/>
  <c r="C239" i="20" s="1"/>
  <c r="C240" i="20" s="1"/>
  <c r="C241" i="20" s="1"/>
  <c r="B27" i="19"/>
  <c r="D101" i="19" s="1"/>
  <c r="B25" i="19"/>
  <c r="D100" i="19" s="1"/>
  <c r="B24" i="19"/>
  <c r="B205" i="17" l="1"/>
  <c r="B204" i="17"/>
  <c r="B203" i="17"/>
  <c r="B199" i="17"/>
  <c r="B198" i="17"/>
  <c r="B197" i="17"/>
  <c r="B193" i="17"/>
  <c r="B192" i="17"/>
  <c r="B191" i="17"/>
  <c r="B187" i="17"/>
  <c r="B186" i="17"/>
  <c r="B185" i="17"/>
  <c r="B181" i="17"/>
  <c r="B180" i="17"/>
  <c r="B179" i="17"/>
  <c r="B175" i="17"/>
  <c r="B174" i="17"/>
  <c r="B173" i="17"/>
  <c r="B169" i="17"/>
  <c r="B168" i="17"/>
  <c r="B167" i="17"/>
  <c r="B163" i="17"/>
  <c r="B162" i="17"/>
  <c r="B161" i="17"/>
  <c r="B157" i="17"/>
  <c r="B156" i="17"/>
  <c r="B155" i="17"/>
  <c r="B151" i="17"/>
  <c r="B150" i="17"/>
  <c r="B149" i="17"/>
  <c r="B145" i="17"/>
  <c r="B144" i="17"/>
  <c r="B143" i="17"/>
  <c r="B139" i="17"/>
  <c r="B138" i="17"/>
  <c r="B137" i="17"/>
  <c r="B133" i="17"/>
  <c r="B132" i="17"/>
  <c r="B131" i="17"/>
  <c r="B127" i="17"/>
  <c r="B126" i="17"/>
  <c r="B125" i="17"/>
  <c r="B121" i="17"/>
  <c r="B120" i="17"/>
  <c r="B119" i="17"/>
  <c r="B115" i="17"/>
  <c r="B114" i="17"/>
  <c r="B113" i="17"/>
  <c r="B109" i="17"/>
  <c r="B108" i="17"/>
  <c r="B107" i="17"/>
  <c r="B103" i="17"/>
  <c r="B102" i="17"/>
  <c r="B101" i="17"/>
  <c r="B97" i="17"/>
  <c r="B96" i="17"/>
  <c r="B95" i="17"/>
  <c r="B91" i="17"/>
  <c r="B90" i="17"/>
  <c r="B89" i="17"/>
  <c r="B85" i="17"/>
  <c r="B84" i="17"/>
  <c r="B83" i="17"/>
  <c r="B79" i="17"/>
  <c r="B78" i="17"/>
  <c r="B77" i="17"/>
  <c r="B73" i="17"/>
  <c r="B72" i="17"/>
  <c r="B71" i="17"/>
  <c r="B67" i="17"/>
  <c r="B66" i="17"/>
  <c r="B65" i="17"/>
  <c r="B61" i="17"/>
  <c r="B60" i="17"/>
  <c r="B59" i="17"/>
  <c r="B55" i="17"/>
  <c r="B54" i="17"/>
  <c r="B53" i="17"/>
  <c r="B49" i="17"/>
  <c r="B48" i="17"/>
  <c r="B47" i="17"/>
  <c r="B202" i="17" l="1"/>
  <c r="B196" i="17"/>
  <c r="B190" i="17"/>
  <c r="B184" i="17"/>
  <c r="B178" i="17"/>
  <c r="B172" i="17"/>
  <c r="B166" i="17"/>
  <c r="B160" i="17"/>
  <c r="B154" i="17"/>
  <c r="B148" i="17"/>
  <c r="B142" i="17"/>
  <c r="B136" i="17"/>
  <c r="B130" i="17"/>
  <c r="B124" i="17"/>
  <c r="B118" i="17"/>
  <c r="B112" i="17"/>
  <c r="B106" i="17"/>
  <c r="B100" i="17"/>
  <c r="B94" i="17"/>
  <c r="B88" i="17"/>
  <c r="B82" i="17"/>
  <c r="B76" i="17"/>
  <c r="B70" i="17"/>
  <c r="B64" i="17"/>
  <c r="B58" i="17"/>
  <c r="B52" i="17"/>
  <c r="B46" i="17"/>
  <c r="T224" i="5" l="1"/>
  <c r="V224" i="5"/>
  <c r="W224" i="5"/>
  <c r="T225" i="5"/>
  <c r="V225" i="5"/>
  <c r="W225" i="5"/>
  <c r="T226" i="5"/>
  <c r="V226" i="5"/>
  <c r="W226" i="5"/>
  <c r="T227" i="5"/>
  <c r="V227" i="5"/>
  <c r="W227" i="5"/>
  <c r="T228" i="5"/>
  <c r="V228" i="5"/>
  <c r="W228" i="5"/>
  <c r="T229" i="5"/>
  <c r="V229" i="5"/>
  <c r="W229" i="5"/>
  <c r="T230" i="5"/>
  <c r="V230" i="5"/>
  <c r="W230" i="5"/>
  <c r="T231" i="5"/>
  <c r="V231" i="5"/>
  <c r="W231" i="5"/>
  <c r="T232" i="5"/>
  <c r="V232" i="5"/>
  <c r="W232" i="5"/>
  <c r="T233" i="5"/>
  <c r="V233" i="5"/>
  <c r="W233" i="5"/>
  <c r="T234" i="5"/>
  <c r="V234" i="5"/>
  <c r="W234" i="5"/>
  <c r="T235" i="5"/>
  <c r="V235" i="5"/>
  <c r="W235" i="5"/>
  <c r="T236" i="5"/>
  <c r="V236" i="5"/>
  <c r="W236" i="5"/>
  <c r="T237" i="5"/>
  <c r="V237" i="5"/>
  <c r="W237" i="5"/>
  <c r="T238" i="5"/>
  <c r="V238" i="5"/>
  <c r="W238" i="5"/>
  <c r="T239" i="5"/>
  <c r="V239" i="5"/>
  <c r="W239" i="5"/>
  <c r="T240" i="5"/>
  <c r="V240" i="5"/>
  <c r="W240" i="5"/>
  <c r="T241" i="5"/>
  <c r="V241" i="5"/>
  <c r="W241" i="5"/>
  <c r="T242" i="5"/>
  <c r="V242" i="5"/>
  <c r="W242" i="5"/>
  <c r="T243" i="5"/>
  <c r="V243" i="5"/>
  <c r="W243" i="5"/>
  <c r="P287" i="14"/>
  <c r="P288" i="14"/>
  <c r="P289" i="14"/>
  <c r="P290" i="14"/>
  <c r="C33" i="3" l="1"/>
  <c r="V34" i="5" l="1"/>
  <c r="V35" i="5"/>
  <c r="V36" i="5"/>
  <c r="V37" i="5"/>
  <c r="V38" i="5"/>
  <c r="V39" i="5"/>
  <c r="V40" i="5"/>
  <c r="V41" i="5"/>
  <c r="V42" i="5"/>
  <c r="V43" i="5"/>
  <c r="V44" i="5"/>
  <c r="V45" i="5"/>
  <c r="V46" i="5"/>
  <c r="V47" i="5"/>
  <c r="V48" i="5"/>
  <c r="V49" i="5"/>
  <c r="V50" i="5"/>
  <c r="V51" i="5"/>
  <c r="V52" i="5"/>
  <c r="V53" i="5"/>
  <c r="V54" i="5"/>
  <c r="V55" i="5"/>
  <c r="V56" i="5"/>
  <c r="V57" i="5"/>
  <c r="V58" i="5"/>
  <c r="V59" i="5"/>
  <c r="V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3" i="5"/>
  <c r="V104" i="5"/>
  <c r="V105" i="5"/>
  <c r="V106" i="5"/>
  <c r="V107" i="5"/>
  <c r="V108" i="5"/>
  <c r="V109" i="5"/>
  <c r="V110" i="5"/>
  <c r="V111" i="5"/>
  <c r="V112" i="5"/>
  <c r="V113" i="5"/>
  <c r="V114" i="5"/>
  <c r="V115" i="5"/>
  <c r="V116" i="5"/>
  <c r="V117" i="5"/>
  <c r="V118" i="5"/>
  <c r="V119" i="5"/>
  <c r="V120" i="5"/>
  <c r="V121" i="5"/>
  <c r="V122" i="5"/>
  <c r="V123" i="5"/>
  <c r="V124" i="5"/>
  <c r="V125" i="5"/>
  <c r="V126" i="5"/>
  <c r="V127" i="5"/>
  <c r="V128" i="5"/>
  <c r="V129" i="5"/>
  <c r="V130" i="5"/>
  <c r="V131" i="5"/>
  <c r="V132" i="5"/>
  <c r="V133" i="5"/>
  <c r="V134" i="5"/>
  <c r="V135" i="5"/>
  <c r="V136" i="5"/>
  <c r="V137" i="5"/>
  <c r="V138" i="5"/>
  <c r="V139" i="5"/>
  <c r="V140" i="5"/>
  <c r="V141" i="5"/>
  <c r="V142" i="5"/>
  <c r="V143" i="5"/>
  <c r="V144" i="5"/>
  <c r="V145" i="5"/>
  <c r="V146" i="5"/>
  <c r="V147" i="5"/>
  <c r="V148" i="5"/>
  <c r="V149" i="5"/>
  <c r="V150" i="5"/>
  <c r="V151" i="5"/>
  <c r="V152" i="5"/>
  <c r="V153" i="5"/>
  <c r="V154" i="5"/>
  <c r="V155" i="5"/>
  <c r="V156" i="5"/>
  <c r="V157" i="5"/>
  <c r="V158" i="5"/>
  <c r="V159" i="5"/>
  <c r="V160" i="5"/>
  <c r="V161" i="5"/>
  <c r="V162" i="5"/>
  <c r="V163" i="5"/>
  <c r="V164" i="5"/>
  <c r="V165" i="5"/>
  <c r="V166" i="5"/>
  <c r="V167" i="5"/>
  <c r="V168" i="5"/>
  <c r="V169" i="5"/>
  <c r="V170" i="5"/>
  <c r="V171" i="5"/>
  <c r="V172" i="5"/>
  <c r="V173" i="5"/>
  <c r="V174" i="5"/>
  <c r="V175" i="5"/>
  <c r="V176" i="5"/>
  <c r="V177" i="5"/>
  <c r="V178" i="5"/>
  <c r="V179" i="5"/>
  <c r="V180" i="5"/>
  <c r="V181" i="5"/>
  <c r="V182" i="5"/>
  <c r="V183" i="5"/>
  <c r="V184" i="5"/>
  <c r="V185" i="5"/>
  <c r="V186" i="5"/>
  <c r="V187" i="5"/>
  <c r="V188" i="5"/>
  <c r="V189" i="5"/>
  <c r="V190" i="5"/>
  <c r="V191" i="5"/>
  <c r="V192" i="5"/>
  <c r="V193" i="5"/>
  <c r="V194" i="5"/>
  <c r="V195" i="5"/>
  <c r="V196" i="5"/>
  <c r="V197" i="5"/>
  <c r="V198" i="5"/>
  <c r="V199" i="5"/>
  <c r="V200" i="5"/>
  <c r="V201" i="5"/>
  <c r="V202" i="5"/>
  <c r="V203" i="5"/>
  <c r="V204" i="5"/>
  <c r="V205" i="5"/>
  <c r="V206" i="5"/>
  <c r="V207" i="5"/>
  <c r="V208" i="5"/>
  <c r="V209" i="5"/>
  <c r="V210" i="5"/>
  <c r="V211" i="5"/>
  <c r="V212" i="5"/>
  <c r="V213" i="5"/>
  <c r="V214" i="5"/>
  <c r="V215" i="5"/>
  <c r="V216" i="5"/>
  <c r="V217" i="5"/>
  <c r="V218" i="5"/>
  <c r="V219" i="5"/>
  <c r="V220" i="5"/>
  <c r="V221" i="5"/>
  <c r="V222" i="5"/>
  <c r="V223" i="5"/>
  <c r="V33" i="5"/>
  <c r="B25" i="15" l="1"/>
  <c r="B48" i="15" s="1"/>
  <c r="B49" i="15" s="1"/>
  <c r="B26" i="6"/>
  <c r="B14" i="14" l="1"/>
  <c r="B24" i="3"/>
  <c r="W34" i="5" l="1"/>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184" i="5"/>
  <c r="W185" i="5"/>
  <c r="W186" i="5"/>
  <c r="W187" i="5"/>
  <c r="W188" i="5"/>
  <c r="W189" i="5"/>
  <c r="W190" i="5"/>
  <c r="W191" i="5"/>
  <c r="W192" i="5"/>
  <c r="W193" i="5"/>
  <c r="W194" i="5"/>
  <c r="W195" i="5"/>
  <c r="W196" i="5"/>
  <c r="W197" i="5"/>
  <c r="W198" i="5"/>
  <c r="W199" i="5"/>
  <c r="W200" i="5"/>
  <c r="W201" i="5"/>
  <c r="W202" i="5"/>
  <c r="W203" i="5"/>
  <c r="W204" i="5"/>
  <c r="W205" i="5"/>
  <c r="W206" i="5"/>
  <c r="W207" i="5"/>
  <c r="W208" i="5"/>
  <c r="W209" i="5"/>
  <c r="W210" i="5"/>
  <c r="W211" i="5"/>
  <c r="W212" i="5"/>
  <c r="W213" i="5"/>
  <c r="W214" i="5"/>
  <c r="W215" i="5"/>
  <c r="W216" i="5"/>
  <c r="W217" i="5"/>
  <c r="W218" i="5"/>
  <c r="W219" i="5"/>
  <c r="W220" i="5"/>
  <c r="W221" i="5"/>
  <c r="W222" i="5"/>
  <c r="W223" i="5"/>
  <c r="W33"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34" i="5"/>
  <c r="B25" i="13"/>
  <c r="B23" i="13"/>
  <c r="B50" i="13" s="1"/>
  <c r="B18" i="13"/>
  <c r="B24" i="15"/>
  <c r="B28" i="16"/>
  <c r="B32" i="1"/>
  <c r="B13" i="14"/>
  <c r="B28" i="6" l="1"/>
  <c r="B55" i="6" s="1"/>
  <c r="B53" i="6"/>
  <c r="B25" i="6"/>
  <c r="B45" i="6" l="1"/>
  <c r="B43" i="6"/>
  <c r="B43" i="13"/>
  <c r="B41" i="13"/>
  <c r="B33" i="7"/>
  <c r="D110" i="7" s="1"/>
  <c r="B31" i="16"/>
  <c r="D279" i="16" s="1"/>
  <c r="B27" i="1"/>
  <c r="B52" i="1" s="1"/>
  <c r="B26" i="3"/>
  <c r="D122" i="3" s="1"/>
  <c r="B31" i="7"/>
  <c r="D109" i="7" s="1"/>
  <c r="B30" i="7"/>
  <c r="C85" i="3"/>
  <c r="C86" i="3"/>
  <c r="B32" i="13" l="1"/>
  <c r="B34" i="13"/>
  <c r="G31" i="13" s="1"/>
  <c r="G37" i="3"/>
  <c r="F37" i="3"/>
  <c r="E37" i="3"/>
  <c r="D37" i="3"/>
  <c r="C37" i="3"/>
  <c r="G36" i="3"/>
  <c r="F36" i="3"/>
  <c r="E36" i="3"/>
  <c r="D36" i="3"/>
  <c r="C36" i="3"/>
  <c r="G35" i="3"/>
  <c r="F35" i="3"/>
  <c r="E35" i="3"/>
  <c r="D35" i="3"/>
  <c r="C35" i="3"/>
  <c r="G34" i="3"/>
  <c r="F34" i="3"/>
  <c r="E34" i="3"/>
  <c r="D34" i="3"/>
  <c r="C34" i="3"/>
  <c r="G33" i="3"/>
  <c r="F33" i="3"/>
  <c r="E33" i="3"/>
  <c r="D33" i="3"/>
  <c r="B41" i="3" l="1"/>
  <c r="F41" i="3"/>
  <c r="C41" i="3"/>
  <c r="D41" i="3"/>
  <c r="E41" i="3"/>
  <c r="B26" i="5" l="1"/>
  <c r="Q22" i="8" s="1"/>
  <c r="B15" i="5"/>
  <c r="P282" i="14"/>
  <c r="P283" i="14"/>
  <c r="P284" i="14"/>
  <c r="P285" i="14"/>
  <c r="P286" i="14"/>
  <c r="J37" i="17" l="1"/>
  <c r="J36" i="17"/>
  <c r="N31" i="8"/>
  <c r="B24" i="1"/>
  <c r="J35" i="17" l="1"/>
  <c r="N24" i="8" s="1"/>
  <c r="S224" i="5"/>
  <c r="B26" i="19"/>
  <c r="U228" i="5"/>
  <c r="S237" i="5"/>
  <c r="S229" i="5"/>
  <c r="U238" i="5"/>
  <c r="U230" i="5"/>
  <c r="U225" i="5"/>
  <c r="S226" i="5"/>
  <c r="U227" i="5"/>
  <c r="S228" i="5"/>
  <c r="S235" i="5"/>
  <c r="U236" i="5"/>
  <c r="S243" i="5"/>
  <c r="U233" i="5"/>
  <c r="S242" i="5"/>
  <c r="S234" i="5"/>
  <c r="U243" i="5"/>
  <c r="U235" i="5"/>
  <c r="S236" i="5"/>
  <c r="U237" i="5"/>
  <c r="U241" i="5"/>
  <c r="S231" i="5"/>
  <c r="U240" i="5"/>
  <c r="U232" i="5"/>
  <c r="U224" i="5"/>
  <c r="S241" i="5"/>
  <c r="S233" i="5"/>
  <c r="S225" i="5"/>
  <c r="U242" i="5"/>
  <c r="U234" i="5"/>
  <c r="U226" i="5"/>
  <c r="S227" i="5"/>
  <c r="S239" i="5"/>
  <c r="U229" i="5"/>
  <c r="S238" i="5"/>
  <c r="S230" i="5"/>
  <c r="U239" i="5"/>
  <c r="U231" i="5"/>
  <c r="S240" i="5"/>
  <c r="S232" i="5"/>
  <c r="B15" i="14"/>
  <c r="B16" i="5"/>
  <c r="B24" i="13"/>
  <c r="B33" i="13" s="1"/>
  <c r="S165" i="5"/>
  <c r="S201" i="5"/>
  <c r="S160" i="5"/>
  <c r="S217" i="5"/>
  <c r="S121" i="5"/>
  <c r="S222" i="5"/>
  <c r="S75" i="5"/>
  <c r="S158" i="5"/>
  <c r="S118" i="5"/>
  <c r="S71" i="5"/>
  <c r="S127" i="5"/>
  <c r="S85" i="5"/>
  <c r="S190" i="5"/>
  <c r="S192" i="5"/>
  <c r="S109" i="5"/>
  <c r="U85" i="5"/>
  <c r="S218" i="5"/>
  <c r="S154" i="5"/>
  <c r="S113" i="5"/>
  <c r="S161" i="5"/>
  <c r="S77" i="5"/>
  <c r="S181" i="5"/>
  <c r="S188" i="5"/>
  <c r="S115" i="5"/>
  <c r="S223" i="5"/>
  <c r="S146" i="5"/>
  <c r="S103" i="5"/>
  <c r="U216" i="5"/>
  <c r="U181" i="5"/>
  <c r="U133" i="5"/>
  <c r="B26" i="1"/>
  <c r="C80" i="1" s="1"/>
  <c r="S189" i="5"/>
  <c r="S214" i="5"/>
  <c r="S182" i="5"/>
  <c r="S150" i="5"/>
  <c r="S107" i="5"/>
  <c r="S55" i="5"/>
  <c r="S157" i="5"/>
  <c r="S117" i="5"/>
  <c r="S69" i="5"/>
  <c r="S220" i="5"/>
  <c r="S184" i="5"/>
  <c r="S152" i="5"/>
  <c r="S110" i="5"/>
  <c r="S59" i="5"/>
  <c r="S215" i="5"/>
  <c r="S175" i="5"/>
  <c r="S141" i="5"/>
  <c r="S98" i="5"/>
  <c r="S51" i="5"/>
  <c r="U212" i="5"/>
  <c r="U175" i="5"/>
  <c r="U127" i="5"/>
  <c r="U63" i="5"/>
  <c r="B25" i="3"/>
  <c r="D120" i="3" s="1"/>
  <c r="S169" i="5"/>
  <c r="S210" i="5"/>
  <c r="S178" i="5"/>
  <c r="S145" i="5"/>
  <c r="S102" i="5"/>
  <c r="S41" i="5"/>
  <c r="S153" i="5"/>
  <c r="S111" i="5"/>
  <c r="S61" i="5"/>
  <c r="S212" i="5"/>
  <c r="S180" i="5"/>
  <c r="S147" i="5"/>
  <c r="S105" i="5"/>
  <c r="S49" i="5"/>
  <c r="S207" i="5"/>
  <c r="S171" i="5"/>
  <c r="S135" i="5"/>
  <c r="S93" i="5"/>
  <c r="S47" i="5"/>
  <c r="U208" i="5"/>
  <c r="U170" i="5"/>
  <c r="U117" i="5"/>
  <c r="U53" i="5"/>
  <c r="S151" i="5"/>
  <c r="U211" i="5"/>
  <c r="S216" i="5"/>
  <c r="S139" i="5"/>
  <c r="S106" i="5"/>
  <c r="S219" i="5"/>
  <c r="S33" i="5"/>
  <c r="S57" i="5"/>
  <c r="U186" i="5"/>
  <c r="S205" i="5"/>
  <c r="S206" i="5"/>
  <c r="S97" i="5"/>
  <c r="S149" i="5"/>
  <c r="S53" i="5"/>
  <c r="S176" i="5"/>
  <c r="S99" i="5"/>
  <c r="S209" i="5"/>
  <c r="S167" i="5"/>
  <c r="S87" i="5"/>
  <c r="U204" i="5"/>
  <c r="U165" i="5"/>
  <c r="U42" i="5"/>
  <c r="S202" i="5"/>
  <c r="S134" i="5"/>
  <c r="S221" i="5"/>
  <c r="S101" i="5"/>
  <c r="S204" i="5"/>
  <c r="S137" i="5"/>
  <c r="S193" i="5"/>
  <c r="S163" i="5"/>
  <c r="S81" i="5"/>
  <c r="U200" i="5"/>
  <c r="U106" i="5"/>
  <c r="S211" i="5"/>
  <c r="S198" i="5"/>
  <c r="S166" i="5"/>
  <c r="S129" i="5"/>
  <c r="S86" i="5"/>
  <c r="S197" i="5"/>
  <c r="S138" i="5"/>
  <c r="S95" i="5"/>
  <c r="U218" i="5"/>
  <c r="S200" i="5"/>
  <c r="S168" i="5"/>
  <c r="S131" i="5"/>
  <c r="S89" i="5"/>
  <c r="S185" i="5"/>
  <c r="S191" i="5"/>
  <c r="S159" i="5"/>
  <c r="S119" i="5"/>
  <c r="S73" i="5"/>
  <c r="S35" i="5"/>
  <c r="U196" i="5"/>
  <c r="U154" i="5"/>
  <c r="U95" i="5"/>
  <c r="S74" i="5"/>
  <c r="S183" i="5"/>
  <c r="U138" i="5"/>
  <c r="B32" i="7"/>
  <c r="D108" i="7" s="1"/>
  <c r="S174" i="5"/>
  <c r="U222" i="5"/>
  <c r="S208" i="5"/>
  <c r="S142" i="5"/>
  <c r="S199" i="5"/>
  <c r="S130" i="5"/>
  <c r="S43" i="5"/>
  <c r="U111" i="5"/>
  <c r="S170" i="5"/>
  <c r="S91" i="5"/>
  <c r="S143" i="5"/>
  <c r="S37" i="5"/>
  <c r="S172" i="5"/>
  <c r="S94" i="5"/>
  <c r="S195" i="5"/>
  <c r="S125" i="5"/>
  <c r="S39" i="5"/>
  <c r="U159" i="5"/>
  <c r="S82" i="5"/>
  <c r="B27" i="6"/>
  <c r="B44" i="6" s="1"/>
  <c r="S203" i="5"/>
  <c r="S194" i="5"/>
  <c r="S162" i="5"/>
  <c r="S123" i="5"/>
  <c r="S79" i="5"/>
  <c r="S177" i="5"/>
  <c r="S133" i="5"/>
  <c r="S90" i="5"/>
  <c r="S213" i="5"/>
  <c r="S196" i="5"/>
  <c r="S164" i="5"/>
  <c r="S126" i="5"/>
  <c r="S83" i="5"/>
  <c r="S173" i="5"/>
  <c r="S187" i="5"/>
  <c r="S155" i="5"/>
  <c r="S114" i="5"/>
  <c r="S65" i="5"/>
  <c r="U33" i="5"/>
  <c r="U191" i="5"/>
  <c r="U149" i="5"/>
  <c r="U90" i="5"/>
  <c r="S50" i="5"/>
  <c r="U220" i="5"/>
  <c r="B30" i="16"/>
  <c r="D277" i="16" s="1"/>
  <c r="S186" i="5"/>
  <c r="S63" i="5"/>
  <c r="S122" i="5"/>
  <c r="S156" i="5"/>
  <c r="S67" i="5"/>
  <c r="S179" i="5"/>
  <c r="S45" i="5"/>
  <c r="U69" i="5"/>
  <c r="U174" i="5"/>
  <c r="U153" i="5"/>
  <c r="S34" i="5"/>
  <c r="U173" i="5"/>
  <c r="U131" i="5"/>
  <c r="U67" i="5"/>
  <c r="U151" i="5"/>
  <c r="U87" i="5"/>
  <c r="U46" i="5"/>
  <c r="U66" i="5"/>
  <c r="U143" i="5"/>
  <c r="U122" i="5"/>
  <c r="U101" i="5"/>
  <c r="U74" i="5"/>
  <c r="U47" i="5"/>
  <c r="S66" i="5"/>
  <c r="U195" i="5"/>
  <c r="U110" i="5"/>
  <c r="U210" i="5"/>
  <c r="U130" i="5"/>
  <c r="U39" i="5"/>
  <c r="U89" i="5"/>
  <c r="U194" i="5"/>
  <c r="U109" i="5"/>
  <c r="S136" i="5"/>
  <c r="S108" i="5"/>
  <c r="S78" i="5"/>
  <c r="S62" i="5"/>
  <c r="S46" i="5"/>
  <c r="U223" i="5"/>
  <c r="U207" i="5"/>
  <c r="U190" i="5"/>
  <c r="U169" i="5"/>
  <c r="U147" i="5"/>
  <c r="U126" i="5"/>
  <c r="U105" i="5"/>
  <c r="U83" i="5"/>
  <c r="U62" i="5"/>
  <c r="U41" i="5"/>
  <c r="U206" i="5"/>
  <c r="U189" i="5"/>
  <c r="U167" i="5"/>
  <c r="U146" i="5"/>
  <c r="U125" i="5"/>
  <c r="U103" i="5"/>
  <c r="U82" i="5"/>
  <c r="U61" i="5"/>
  <c r="U34" i="5"/>
  <c r="S128" i="5"/>
  <c r="S104" i="5"/>
  <c r="S58" i="5"/>
  <c r="S42" i="5"/>
  <c r="U219" i="5"/>
  <c r="U203" i="5"/>
  <c r="U185" i="5"/>
  <c r="U163" i="5"/>
  <c r="U142" i="5"/>
  <c r="U121" i="5"/>
  <c r="U99" i="5"/>
  <c r="U78" i="5"/>
  <c r="U57" i="5"/>
  <c r="U35" i="5"/>
  <c r="U202" i="5"/>
  <c r="U183" i="5"/>
  <c r="U162" i="5"/>
  <c r="U141" i="5"/>
  <c r="U119" i="5"/>
  <c r="U98" i="5"/>
  <c r="U77" i="5"/>
  <c r="U55" i="5"/>
  <c r="S144" i="5"/>
  <c r="S124" i="5"/>
  <c r="S92" i="5"/>
  <c r="U79" i="5"/>
  <c r="U58" i="5"/>
  <c r="U37" i="5"/>
  <c r="S70" i="5"/>
  <c r="S54" i="5"/>
  <c r="S38" i="5"/>
  <c r="U215" i="5"/>
  <c r="U199" i="5"/>
  <c r="U179" i="5"/>
  <c r="U158" i="5"/>
  <c r="U137" i="5"/>
  <c r="U115" i="5"/>
  <c r="U94" i="5"/>
  <c r="U73" i="5"/>
  <c r="U51" i="5"/>
  <c r="U214" i="5"/>
  <c r="U198" i="5"/>
  <c r="U178" i="5"/>
  <c r="U157" i="5"/>
  <c r="U135" i="5"/>
  <c r="U114" i="5"/>
  <c r="U93" i="5"/>
  <c r="U71" i="5"/>
  <c r="U45" i="5"/>
  <c r="S140" i="5"/>
  <c r="S120" i="5"/>
  <c r="S52" i="5"/>
  <c r="S88" i="5"/>
  <c r="S48" i="5"/>
  <c r="S72" i="5"/>
  <c r="U187" i="5"/>
  <c r="S68" i="5"/>
  <c r="U166" i="5"/>
  <c r="U50" i="5"/>
  <c r="S148" i="5"/>
  <c r="S132" i="5"/>
  <c r="S116" i="5"/>
  <c r="S100" i="5"/>
  <c r="S84" i="5"/>
  <c r="S64" i="5"/>
  <c r="U221" i="5"/>
  <c r="U145" i="5"/>
  <c r="S112" i="5"/>
  <c r="S96" i="5"/>
  <c r="S80" i="5"/>
  <c r="S56" i="5"/>
  <c r="U205" i="5"/>
  <c r="U123" i="5"/>
  <c r="U75" i="5"/>
  <c r="U192" i="5"/>
  <c r="U160" i="5"/>
  <c r="U102" i="5"/>
  <c r="U96" i="5"/>
  <c r="U128" i="5"/>
  <c r="U64" i="5"/>
  <c r="S76" i="5"/>
  <c r="S60" i="5"/>
  <c r="S44" i="5"/>
  <c r="U217" i="5"/>
  <c r="U201" i="5"/>
  <c r="U182" i="5"/>
  <c r="U161" i="5"/>
  <c r="U139" i="5"/>
  <c r="U118" i="5"/>
  <c r="U97" i="5"/>
  <c r="U59" i="5"/>
  <c r="U180" i="5"/>
  <c r="U148" i="5"/>
  <c r="U116" i="5"/>
  <c r="U84" i="5"/>
  <c r="U52" i="5"/>
  <c r="S40" i="5"/>
  <c r="U213" i="5"/>
  <c r="U197" i="5"/>
  <c r="U177" i="5"/>
  <c r="U155" i="5"/>
  <c r="U134" i="5"/>
  <c r="U113" i="5"/>
  <c r="U86" i="5"/>
  <c r="U54" i="5"/>
  <c r="U176" i="5"/>
  <c r="U144" i="5"/>
  <c r="U112" i="5"/>
  <c r="U80" i="5"/>
  <c r="U48" i="5"/>
  <c r="S36" i="5"/>
  <c r="U209" i="5"/>
  <c r="U193" i="5"/>
  <c r="U171" i="5"/>
  <c r="U150" i="5"/>
  <c r="U129" i="5"/>
  <c r="U107" i="5"/>
  <c r="U81" i="5"/>
  <c r="U38" i="5"/>
  <c r="U164" i="5"/>
  <c r="U132" i="5"/>
  <c r="U100" i="5"/>
  <c r="U68" i="5"/>
  <c r="U36" i="5"/>
  <c r="U65" i="5"/>
  <c r="U43" i="5"/>
  <c r="U184" i="5"/>
  <c r="U168" i="5"/>
  <c r="U152" i="5"/>
  <c r="U136" i="5"/>
  <c r="U120" i="5"/>
  <c r="U104" i="5"/>
  <c r="U88" i="5"/>
  <c r="U72" i="5"/>
  <c r="U56" i="5"/>
  <c r="U40" i="5"/>
  <c r="U91" i="5"/>
  <c r="U70" i="5"/>
  <c r="U49" i="5"/>
  <c r="U188" i="5"/>
  <c r="U172" i="5"/>
  <c r="U156" i="5"/>
  <c r="U140" i="5"/>
  <c r="U124" i="5"/>
  <c r="U108" i="5"/>
  <c r="U92" i="5"/>
  <c r="U76" i="5"/>
  <c r="U60" i="5"/>
  <c r="U44" i="5"/>
  <c r="B23" i="3"/>
  <c r="X150" i="5" l="1"/>
  <c r="X38" i="5"/>
  <c r="B43" i="15"/>
  <c r="X35" i="5"/>
  <c r="B49" i="13"/>
  <c r="B42" i="13"/>
  <c r="X75" i="5"/>
  <c r="X127" i="5"/>
  <c r="X93" i="5"/>
  <c r="X119" i="5"/>
  <c r="X140" i="5"/>
  <c r="X201" i="5"/>
  <c r="X94" i="5"/>
  <c r="X212" i="5"/>
  <c r="X168" i="5"/>
  <c r="X123" i="5"/>
  <c r="X113" i="5"/>
  <c r="X134" i="5"/>
  <c r="X161" i="5"/>
  <c r="X211" i="5"/>
  <c r="X49" i="5"/>
  <c r="X217" i="5"/>
  <c r="X202" i="5"/>
  <c r="X149" i="5"/>
  <c r="X177" i="5"/>
  <c r="X60" i="5"/>
  <c r="X88" i="5"/>
  <c r="X175" i="5"/>
  <c r="X219" i="5"/>
  <c r="X59" i="5"/>
  <c r="X194" i="5"/>
  <c r="X172" i="5"/>
  <c r="X189" i="5"/>
  <c r="X118" i="5"/>
  <c r="X218" i="5"/>
  <c r="X163" i="5"/>
  <c r="X107" i="5"/>
  <c r="X147" i="5"/>
  <c r="X104" i="5"/>
  <c r="X36" i="5"/>
  <c r="X145" i="5"/>
  <c r="X111" i="5"/>
  <c r="X80" i="5"/>
  <c r="X71" i="5"/>
  <c r="X162" i="5"/>
  <c r="X128" i="5"/>
  <c r="X153" i="5"/>
  <c r="X152" i="5"/>
  <c r="X103" i="5"/>
  <c r="X87" i="5"/>
  <c r="X72" i="5"/>
  <c r="X200" i="5"/>
  <c r="X191" i="5"/>
  <c r="X221" i="5"/>
  <c r="X54" i="5"/>
  <c r="X179" i="5"/>
  <c r="X86" i="5"/>
  <c r="X116" i="5"/>
  <c r="X50" i="5"/>
  <c r="X188" i="5"/>
  <c r="X197" i="5"/>
  <c r="X99" i="5"/>
  <c r="X207" i="5"/>
  <c r="X216" i="5"/>
  <c r="X223" i="5"/>
  <c r="X39" i="5"/>
  <c r="X34" i="5"/>
  <c r="B54" i="6"/>
  <c r="X109" i="5"/>
  <c r="X165" i="5"/>
  <c r="X196" i="5"/>
  <c r="X199" i="5"/>
  <c r="X84" i="5"/>
  <c r="X125" i="5"/>
  <c r="X214" i="5"/>
  <c r="X167" i="5"/>
  <c r="X170" i="5"/>
  <c r="X46" i="5"/>
  <c r="X90" i="5"/>
  <c r="X139" i="5"/>
  <c r="X210" i="5"/>
  <c r="X151" i="5"/>
  <c r="X181" i="5"/>
  <c r="X174" i="5"/>
  <c r="X158" i="5"/>
  <c r="X192" i="5"/>
  <c r="X47" i="5"/>
  <c r="X178" i="5"/>
  <c r="X209" i="5"/>
  <c r="X176" i="5"/>
  <c r="X156" i="5"/>
  <c r="X171" i="5"/>
  <c r="X110" i="5"/>
  <c r="X91" i="5"/>
  <c r="X74" i="5"/>
  <c r="X76" i="5"/>
  <c r="X159" i="5"/>
  <c r="X79" i="5"/>
  <c r="X182" i="5"/>
  <c r="X195" i="5"/>
  <c r="X138" i="5"/>
  <c r="X98" i="5"/>
  <c r="X67" i="5"/>
  <c r="X204" i="5"/>
  <c r="X173" i="5"/>
  <c r="X131" i="5"/>
  <c r="X184" i="5"/>
  <c r="X95" i="5"/>
  <c r="X102" i="5"/>
  <c r="X206" i="5"/>
  <c r="X135" i="5"/>
  <c r="X169" i="5"/>
  <c r="X142" i="5"/>
  <c r="X70" i="5"/>
  <c r="X193" i="5"/>
  <c r="X208" i="5"/>
  <c r="X198" i="5"/>
  <c r="X58" i="5"/>
  <c r="X180" i="5"/>
  <c r="X57" i="5"/>
  <c r="X100" i="5"/>
  <c r="X68" i="5"/>
  <c r="X137" i="5"/>
  <c r="X164" i="5"/>
  <c r="X187" i="5"/>
  <c r="X83" i="5"/>
  <c r="X154" i="5"/>
  <c r="X205" i="5"/>
  <c r="X40" i="5"/>
  <c r="X64" i="5"/>
  <c r="X120" i="5"/>
  <c r="X78" i="5"/>
  <c r="X122" i="5"/>
  <c r="X166" i="5"/>
  <c r="X190" i="5"/>
  <c r="X203" i="5"/>
  <c r="X213" i="5"/>
  <c r="X51" i="5"/>
  <c r="X130" i="5"/>
  <c r="X220" i="5"/>
  <c r="X146" i="5"/>
  <c r="X96" i="5"/>
  <c r="X136" i="5"/>
  <c r="X66" i="5"/>
  <c r="X141" i="5"/>
  <c r="X81" i="5"/>
  <c r="X143" i="5"/>
  <c r="X222" i="5"/>
  <c r="X106" i="5"/>
  <c r="X126" i="5"/>
  <c r="X160" i="5"/>
  <c r="X155" i="5"/>
  <c r="X133" i="5"/>
  <c r="X129" i="5"/>
  <c r="X48" i="5"/>
  <c r="X55" i="5"/>
  <c r="X157" i="5"/>
  <c r="X105" i="5"/>
  <c r="X44" i="5"/>
  <c r="X85" i="5"/>
  <c r="X114" i="5"/>
  <c r="X73" i="5"/>
  <c r="X144" i="5"/>
  <c r="X186" i="5"/>
  <c r="X89" i="5"/>
  <c r="X108" i="5"/>
  <c r="X185" i="5"/>
  <c r="X183" i="5"/>
  <c r="X215" i="5"/>
  <c r="X69" i="5"/>
  <c r="X121" i="5"/>
  <c r="X124" i="5"/>
  <c r="X56" i="5"/>
  <c r="X92" i="5"/>
  <c r="X82" i="5"/>
  <c r="X97" i="5"/>
  <c r="X41" i="5"/>
  <c r="X115" i="5"/>
  <c r="X112" i="5"/>
  <c r="X148" i="5"/>
  <c r="X52" i="5"/>
  <c r="X43" i="5"/>
  <c r="X63" i="5"/>
  <c r="X37" i="5"/>
  <c r="X45" i="5"/>
  <c r="X42" i="5"/>
  <c r="X132" i="5"/>
  <c r="X77" i="5"/>
  <c r="X62" i="5"/>
  <c r="X101" i="5"/>
  <c r="X53" i="5"/>
  <c r="X117" i="5"/>
  <c r="X65" i="5"/>
  <c r="X61" i="5"/>
  <c r="B29" i="16"/>
  <c r="D278" i="16" s="1"/>
  <c r="B51" i="6"/>
  <c r="B50" i="6"/>
  <c r="B41" i="6"/>
  <c r="B40" i="6"/>
  <c r="B32" i="6"/>
  <c r="D248" i="14" l="1"/>
  <c r="P249" i="14"/>
  <c r="P250" i="14"/>
  <c r="P251" i="14"/>
  <c r="P252" i="14"/>
  <c r="P253" i="14"/>
  <c r="P254" i="14"/>
  <c r="P255" i="14"/>
  <c r="P256" i="14"/>
  <c r="P257" i="14"/>
  <c r="P258" i="14"/>
  <c r="P259" i="14"/>
  <c r="P260" i="14"/>
  <c r="P261" i="14"/>
  <c r="P262" i="14"/>
  <c r="P263" i="14"/>
  <c r="P264" i="14"/>
  <c r="P265" i="14"/>
  <c r="P266" i="14"/>
  <c r="P267" i="14"/>
  <c r="P268" i="14"/>
  <c r="P269" i="14"/>
  <c r="P270" i="14"/>
  <c r="P271" i="14"/>
  <c r="P272" i="14"/>
  <c r="P273" i="14"/>
  <c r="P274" i="14"/>
  <c r="P275" i="14"/>
  <c r="P276" i="14"/>
  <c r="P277" i="14"/>
  <c r="P278" i="14"/>
  <c r="P279" i="14"/>
  <c r="P280" i="14"/>
  <c r="P281" i="14"/>
  <c r="P248" i="14"/>
  <c r="B45" i="16" l="1"/>
  <c r="B25" i="1" l="1"/>
  <c r="C81" i="1" s="1"/>
  <c r="D121" i="3"/>
  <c r="E39" i="15" l="1"/>
  <c r="B39" i="15"/>
  <c r="D39" i="15" l="1"/>
  <c r="F39" i="15"/>
  <c r="B21" i="14" l="1"/>
  <c r="D249" i="14" s="1"/>
  <c r="B22" i="14" l="1"/>
  <c r="B23" i="14" s="1"/>
  <c r="D250" i="14" l="1"/>
  <c r="B24" i="14"/>
  <c r="D251" i="14"/>
  <c r="B25" i="14" l="1"/>
  <c r="D252" i="14"/>
  <c r="D253" i="14" l="1"/>
  <c r="B26" i="14"/>
  <c r="B27" i="14" l="1"/>
  <c r="D254" i="14"/>
  <c r="B28" i="14" l="1"/>
  <c r="D255" i="14"/>
  <c r="B29" i="14" l="1"/>
  <c r="D256" i="14"/>
  <c r="D257" i="14" l="1"/>
  <c r="B30" i="14"/>
  <c r="D258" i="14" l="1"/>
  <c r="B31" i="14"/>
  <c r="D259" i="14" l="1"/>
  <c r="B32" i="14"/>
  <c r="D260" i="14" l="1"/>
  <c r="B33" i="14"/>
  <c r="D261" i="14" l="1"/>
  <c r="B34" i="14"/>
  <c r="D262" i="14" l="1"/>
  <c r="B35" i="14"/>
  <c r="D263" i="14" l="1"/>
  <c r="B36" i="14"/>
  <c r="D264" i="14" l="1"/>
  <c r="B37" i="14"/>
  <c r="D265" i="14" l="1"/>
  <c r="B38" i="14"/>
  <c r="D266" i="14" l="1"/>
  <c r="B39" i="14"/>
  <c r="D267" i="14" l="1"/>
  <c r="B40" i="14"/>
  <c r="D268" i="14" l="1"/>
  <c r="B41" i="14"/>
  <c r="D269" i="14" l="1"/>
  <c r="B42" i="14"/>
  <c r="D270" i="14" l="1"/>
  <c r="B43" i="14"/>
  <c r="D271" i="14" l="1"/>
  <c r="B44" i="14"/>
  <c r="D272" i="14" l="1"/>
  <c r="B45" i="14"/>
  <c r="D273" i="14" l="1"/>
  <c r="B46" i="14"/>
  <c r="D274" i="14" l="1"/>
  <c r="B47" i="14"/>
  <c r="D275" i="14" l="1"/>
  <c r="B48" i="14"/>
  <c r="D276" i="14" l="1"/>
  <c r="B49" i="14"/>
  <c r="D277" i="14" l="1"/>
  <c r="B50" i="14"/>
  <c r="D278" i="14" l="1"/>
  <c r="B51" i="14"/>
  <c r="D279" i="14" l="1"/>
  <c r="B52" i="14"/>
  <c r="D280" i="14" l="1"/>
  <c r="B53" i="14"/>
  <c r="D281" i="14" l="1"/>
  <c r="B54" i="14"/>
  <c r="D282" i="14" l="1"/>
  <c r="B55" i="14"/>
  <c r="D283" i="14" l="1"/>
  <c r="B56" i="14"/>
  <c r="D284" i="14" l="1"/>
  <c r="B57" i="14"/>
  <c r="D285" i="14" l="1"/>
  <c r="B58" i="14"/>
  <c r="D286" i="14" l="1"/>
  <c r="B59" i="14"/>
  <c r="D287" i="14" l="1"/>
  <c r="B60" i="14"/>
  <c r="D288" i="14" l="1"/>
  <c r="B61" i="14"/>
  <c r="D289" i="14" l="1"/>
  <c r="B62" i="14"/>
  <c r="D290" i="14" l="1"/>
  <c r="B63" i="14"/>
  <c r="D291" i="14" l="1"/>
  <c r="B64" i="14"/>
  <c r="D292" i="14" l="1"/>
  <c r="B65" i="14"/>
  <c r="D293" i="14" l="1"/>
  <c r="B66" i="14"/>
  <c r="D294" i="14" l="1"/>
  <c r="B67" i="14"/>
  <c r="D295" i="14" l="1"/>
  <c r="B68" i="14"/>
  <c r="D296" i="14" l="1"/>
  <c r="B69" i="14"/>
  <c r="D297" i="14" l="1"/>
  <c r="B70" i="14"/>
  <c r="D298" i="14" l="1"/>
  <c r="B71" i="14"/>
  <c r="D299" i="14" l="1"/>
  <c r="B72" i="14"/>
  <c r="D300" i="14" l="1"/>
  <c r="B73" i="14"/>
  <c r="D301" i="14" l="1"/>
  <c r="B74" i="14"/>
  <c r="D302" i="14" l="1"/>
  <c r="B75" i="14"/>
  <c r="D303" i="14" l="1"/>
  <c r="B76" i="14"/>
  <c r="D304" i="14" l="1"/>
  <c r="B77" i="14"/>
  <c r="D305" i="14" l="1"/>
  <c r="B78" i="14"/>
  <c r="D306" i="14" l="1"/>
  <c r="B79" i="14"/>
  <c r="D307" i="14" l="1"/>
  <c r="B80" i="14"/>
  <c r="D308" i="14" l="1"/>
  <c r="B81" i="14"/>
  <c r="D309" i="14" l="1"/>
  <c r="B82" i="14"/>
  <c r="D310" i="14" l="1"/>
  <c r="B83" i="14"/>
  <c r="D311" i="14" l="1"/>
  <c r="B84" i="14"/>
  <c r="D312" i="14" l="1"/>
  <c r="B85" i="14"/>
  <c r="D313" i="14" l="1"/>
  <c r="B86" i="14"/>
  <c r="D314" i="14" l="1"/>
  <c r="B87" i="14"/>
  <c r="D315" i="14" l="1"/>
  <c r="B88" i="14"/>
  <c r="D316" i="14" l="1"/>
  <c r="B89" i="14"/>
  <c r="D317" i="14" l="1"/>
  <c r="B90" i="14"/>
  <c r="D318" i="14" l="1"/>
  <c r="B91" i="14"/>
  <c r="D319" i="14" l="1"/>
  <c r="B92" i="14"/>
  <c r="D320" i="14" l="1"/>
  <c r="B93" i="14"/>
  <c r="D321" i="14" l="1"/>
  <c r="B94" i="14"/>
  <c r="D322" i="14" l="1"/>
  <c r="B95" i="14"/>
  <c r="D323" i="14" l="1"/>
  <c r="B96" i="14"/>
  <c r="D324" i="14" l="1"/>
  <c r="B97" i="14"/>
  <c r="D325" i="14" l="1"/>
  <c r="B98" i="14"/>
  <c r="D326" i="14" l="1"/>
  <c r="B99" i="14"/>
  <c r="D327" i="14" l="1"/>
  <c r="B100" i="14"/>
  <c r="D328" i="14" l="1"/>
  <c r="B101" i="14"/>
  <c r="D329" i="14" l="1"/>
  <c r="B102" i="14"/>
  <c r="D330" i="14" l="1"/>
  <c r="B103" i="14"/>
  <c r="D331" i="14" l="1"/>
  <c r="B104" i="14"/>
  <c r="D332" i="14" l="1"/>
  <c r="B105" i="14"/>
  <c r="D333" i="14" l="1"/>
  <c r="B106" i="14"/>
  <c r="D334" i="14" l="1"/>
  <c r="B107" i="14"/>
  <c r="D335" i="14" l="1"/>
  <c r="B108" i="14"/>
  <c r="D336" i="14" l="1"/>
  <c r="B109" i="14"/>
  <c r="D337" i="14" l="1"/>
  <c r="B110" i="14"/>
  <c r="D338" i="14" l="1"/>
  <c r="B111" i="14"/>
  <c r="D339" i="14" l="1"/>
  <c r="B112" i="14"/>
  <c r="D340" i="14" l="1"/>
  <c r="B113" i="14"/>
  <c r="D341" i="14" l="1"/>
  <c r="B114" i="14"/>
  <c r="D342" i="14" l="1"/>
  <c r="B115" i="14"/>
  <c r="D343" i="14" l="1"/>
  <c r="B116" i="14"/>
  <c r="D344" i="14" l="1"/>
  <c r="B117" i="14"/>
  <c r="D345" i="14" l="1"/>
  <c r="B118" i="14"/>
  <c r="D346" i="14" l="1"/>
  <c r="B119" i="14"/>
  <c r="D347" i="14" l="1"/>
  <c r="B120" i="14"/>
  <c r="D348" i="14" l="1"/>
  <c r="B121" i="14"/>
  <c r="D349" i="14" l="1"/>
  <c r="B122" i="14"/>
  <c r="D350" i="14" l="1"/>
  <c r="B123" i="14"/>
  <c r="D351" i="14" l="1"/>
  <c r="B124" i="14"/>
  <c r="D352" i="14" l="1"/>
  <c r="B125" i="14"/>
  <c r="D353" i="14" l="1"/>
  <c r="B126" i="14"/>
  <c r="D354" i="14" l="1"/>
  <c r="B127" i="14"/>
  <c r="D355" i="14" l="1"/>
  <c r="B128" i="14"/>
  <c r="D356" i="14" l="1"/>
  <c r="B129" i="14"/>
  <c r="D357" i="14" l="1"/>
  <c r="B130" i="14"/>
  <c r="D358" i="14" l="1"/>
  <c r="B131" i="14"/>
  <c r="D359" i="14" l="1"/>
  <c r="B132" i="14"/>
  <c r="D360" i="14" l="1"/>
  <c r="B133" i="14"/>
  <c r="D361" i="14" l="1"/>
  <c r="B134" i="14"/>
  <c r="D362" i="14" l="1"/>
  <c r="B135" i="14"/>
  <c r="D363" i="14" l="1"/>
  <c r="B136" i="14"/>
  <c r="D364" i="14" l="1"/>
  <c r="B137" i="14"/>
  <c r="D365" i="14" l="1"/>
  <c r="B138" i="14"/>
  <c r="D366" i="14" l="1"/>
  <c r="B139" i="14"/>
  <c r="D367" i="14" l="1"/>
  <c r="B140" i="14"/>
  <c r="D368" i="14" l="1"/>
  <c r="B141" i="14"/>
  <c r="D369" i="14" l="1"/>
  <c r="B142" i="14"/>
  <c r="D370" i="14" l="1"/>
  <c r="B143" i="14"/>
  <c r="D371" i="14" l="1"/>
  <c r="B144" i="14"/>
  <c r="D372" i="14" l="1"/>
  <c r="B145" i="14"/>
  <c r="D373" i="14" l="1"/>
  <c r="B146" i="14"/>
  <c r="D374" i="14" l="1"/>
  <c r="B147" i="14"/>
  <c r="D375" i="14" l="1"/>
  <c r="B148" i="14"/>
  <c r="D376" i="14" l="1"/>
  <c r="B149" i="14"/>
  <c r="D377" i="14" l="1"/>
  <c r="B150" i="14"/>
  <c r="D378" i="14" l="1"/>
  <c r="B151" i="14"/>
  <c r="D379" i="14" l="1"/>
  <c r="B152" i="14"/>
  <c r="D380" i="14" l="1"/>
  <c r="B153" i="14"/>
  <c r="D381" i="14" l="1"/>
  <c r="B154" i="14"/>
  <c r="D382" i="14" l="1"/>
  <c r="B155" i="14"/>
  <c r="D383" i="14" l="1"/>
  <c r="B156" i="14"/>
  <c r="D384" i="14" l="1"/>
  <c r="B157" i="14"/>
  <c r="D385" i="14" l="1"/>
  <c r="B158" i="14"/>
  <c r="D386" i="14" l="1"/>
  <c r="B159" i="14"/>
  <c r="D387" i="14" l="1"/>
  <c r="B160" i="14"/>
  <c r="D388" i="14" l="1"/>
  <c r="B161" i="14"/>
  <c r="D389" i="14" l="1"/>
  <c r="B162" i="14"/>
  <c r="D390" i="14" l="1"/>
  <c r="B163" i="14"/>
  <c r="D391" i="14" l="1"/>
  <c r="B164" i="14"/>
  <c r="D392" i="14" l="1"/>
  <c r="B165" i="14"/>
  <c r="D393" i="14" l="1"/>
  <c r="B166" i="14"/>
  <c r="D394" i="14" l="1"/>
  <c r="B167" i="14"/>
  <c r="D395" i="14" l="1"/>
  <c r="B168" i="14"/>
  <c r="D396" i="14" l="1"/>
  <c r="B169" i="14"/>
  <c r="D397" i="14" l="1"/>
  <c r="B170" i="14"/>
  <c r="D398" i="14" l="1"/>
  <c r="B171" i="14"/>
  <c r="D399" i="14" l="1"/>
  <c r="B172" i="14"/>
  <c r="D400" i="14" l="1"/>
  <c r="B173" i="14"/>
  <c r="D401" i="14" l="1"/>
  <c r="B174" i="14"/>
  <c r="D402" i="14" l="1"/>
  <c r="B175" i="14"/>
  <c r="D403" i="14" l="1"/>
  <c r="B176" i="14"/>
  <c r="D404" i="14" l="1"/>
  <c r="B177" i="14"/>
  <c r="D405" i="14" l="1"/>
  <c r="B178" i="14"/>
  <c r="D406" i="14" l="1"/>
  <c r="B179" i="14"/>
  <c r="D407" i="14" l="1"/>
  <c r="B180" i="14"/>
  <c r="D408" i="14" l="1"/>
  <c r="B181" i="14"/>
  <c r="D409" i="14" l="1"/>
  <c r="B182" i="14"/>
  <c r="C51" i="13"/>
  <c r="E51" i="13" s="1"/>
  <c r="G41" i="13"/>
  <c r="G40" i="13"/>
  <c r="G32" i="13"/>
  <c r="G22" i="13"/>
  <c r="G23" i="13" s="1"/>
  <c r="D410" i="14" l="1"/>
  <c r="B183" i="14"/>
  <c r="D411" i="14" l="1"/>
  <c r="B184" i="14"/>
  <c r="D412" i="14" l="1"/>
  <c r="B185" i="14"/>
  <c r="B186" i="14" s="1"/>
  <c r="B187" i="14" l="1"/>
  <c r="D414" i="14"/>
  <c r="D413" i="14"/>
  <c r="C52" i="1"/>
  <c r="D46" i="1"/>
  <c r="D32" i="1"/>
  <c r="E35" i="1" s="1"/>
  <c r="D31" i="1"/>
  <c r="E34" i="1" s="1"/>
  <c r="D30" i="1"/>
  <c r="E33" i="1" s="1"/>
  <c r="E52" i="1" l="1"/>
  <c r="B188" i="14"/>
  <c r="D415" i="14"/>
  <c r="D47" i="1" l="1"/>
  <c r="C82" i="1"/>
  <c r="B189" i="14"/>
  <c r="D416" i="14"/>
  <c r="B190" i="14" l="1"/>
  <c r="D417" i="14"/>
  <c r="B18" i="5"/>
  <c r="C78" i="3"/>
  <c r="B191" i="14" l="1"/>
  <c r="D418" i="14"/>
  <c r="B33" i="6"/>
  <c r="B192" i="14" l="1"/>
  <c r="D419" i="14"/>
  <c r="C79" i="3"/>
  <c r="B19" i="5"/>
  <c r="B193" i="14" l="1"/>
  <c r="D420" i="14"/>
  <c r="B34" i="6"/>
  <c r="B194" i="14" l="1"/>
  <c r="D421" i="14"/>
  <c r="B20" i="5"/>
  <c r="C80" i="3"/>
  <c r="B195" i="14" l="1"/>
  <c r="D422" i="14"/>
  <c r="B35" i="6"/>
  <c r="B196" i="14" l="1"/>
  <c r="D423" i="14"/>
  <c r="C81" i="3"/>
  <c r="B21" i="5"/>
  <c r="B197" i="14" l="1"/>
  <c r="D424" i="14"/>
  <c r="B36" i="6"/>
  <c r="E173" i="14"/>
  <c r="D173" i="14" s="1"/>
  <c r="F173" i="14" l="1"/>
  <c r="E186" i="5" s="1"/>
  <c r="C173" i="14"/>
  <c r="C186" i="5" s="1"/>
  <c r="D186" i="5"/>
  <c r="C199" i="16"/>
  <c r="G401" i="14"/>
  <c r="B198" i="14"/>
  <c r="E198" i="14" s="1"/>
  <c r="D198" i="14" s="1"/>
  <c r="C224" i="16" s="1"/>
  <c r="D425" i="14"/>
  <c r="E183" i="14"/>
  <c r="D183" i="14" s="1"/>
  <c r="E77" i="14"/>
  <c r="D77" i="14" s="1"/>
  <c r="E186" i="14"/>
  <c r="D186" i="14" s="1"/>
  <c r="C212" i="16" s="1"/>
  <c r="E196" i="14"/>
  <c r="D196" i="14" s="1"/>
  <c r="C222" i="16" s="1"/>
  <c r="E195" i="14"/>
  <c r="D195" i="14" s="1"/>
  <c r="E189" i="14"/>
  <c r="D189" i="14" s="1"/>
  <c r="C215" i="16" s="1"/>
  <c r="E193" i="14"/>
  <c r="D193" i="14" s="1"/>
  <c r="C219" i="16" s="1"/>
  <c r="E197" i="14"/>
  <c r="D197" i="14" s="1"/>
  <c r="C223" i="16" s="1"/>
  <c r="E187" i="14"/>
  <c r="D187" i="14" s="1"/>
  <c r="C213" i="16" s="1"/>
  <c r="E194" i="14"/>
  <c r="D194" i="14" s="1"/>
  <c r="C220" i="16" s="1"/>
  <c r="E188" i="14"/>
  <c r="D188" i="14" s="1"/>
  <c r="C214" i="16" s="1"/>
  <c r="E190" i="14"/>
  <c r="D190" i="14" s="1"/>
  <c r="E192" i="14"/>
  <c r="D192" i="14" s="1"/>
  <c r="C218" i="16" s="1"/>
  <c r="E191" i="14"/>
  <c r="D191" i="14" s="1"/>
  <c r="C217" i="16" s="1"/>
  <c r="E182" i="14"/>
  <c r="D182" i="14" s="1"/>
  <c r="E94" i="14"/>
  <c r="D94" i="14" s="1"/>
  <c r="F94" i="14" s="1"/>
  <c r="E176" i="14"/>
  <c r="D176" i="14" s="1"/>
  <c r="E74" i="14"/>
  <c r="D74" i="14" s="1"/>
  <c r="E109" i="14"/>
  <c r="D109" i="14" s="1"/>
  <c r="F109" i="14" s="1"/>
  <c r="E114" i="14"/>
  <c r="D114" i="14" s="1"/>
  <c r="F114" i="14" s="1"/>
  <c r="E104" i="14"/>
  <c r="D104" i="14" s="1"/>
  <c r="F104" i="14" s="1"/>
  <c r="E88" i="14"/>
  <c r="D88" i="14" s="1"/>
  <c r="E62" i="14"/>
  <c r="D62" i="14" s="1"/>
  <c r="E174" i="14"/>
  <c r="D174" i="14" s="1"/>
  <c r="E110" i="14"/>
  <c r="D110" i="14" s="1"/>
  <c r="E98" i="14"/>
  <c r="D98" i="14" s="1"/>
  <c r="F98" i="14" s="1"/>
  <c r="E80" i="14"/>
  <c r="D80" i="14" s="1"/>
  <c r="P32" i="14" s="1"/>
  <c r="E50" i="14"/>
  <c r="D50" i="14" s="1"/>
  <c r="P26" i="14" s="1"/>
  <c r="C56" i="7" s="1"/>
  <c r="E179" i="14"/>
  <c r="D179" i="14" s="1"/>
  <c r="E171" i="14"/>
  <c r="D171" i="14" s="1"/>
  <c r="E105" i="14"/>
  <c r="D105" i="14" s="1"/>
  <c r="E93" i="14"/>
  <c r="D93" i="14" s="1"/>
  <c r="F93" i="14" s="1"/>
  <c r="E70" i="14"/>
  <c r="D70" i="14" s="1"/>
  <c r="P30" i="14" s="1"/>
  <c r="E66" i="14"/>
  <c r="D66" i="14" s="1"/>
  <c r="E57" i="14"/>
  <c r="D57" i="14" s="1"/>
  <c r="E42" i="14"/>
  <c r="D42" i="14" s="1"/>
  <c r="E82" i="14"/>
  <c r="D82" i="14" s="1"/>
  <c r="E71" i="14"/>
  <c r="D71" i="14" s="1"/>
  <c r="E63" i="14"/>
  <c r="D63" i="14" s="1"/>
  <c r="E53" i="14"/>
  <c r="D53" i="14" s="1"/>
  <c r="E27" i="14"/>
  <c r="D27" i="14" s="1"/>
  <c r="E100" i="14"/>
  <c r="D100" i="14" s="1"/>
  <c r="E89" i="14"/>
  <c r="D89" i="14" s="1"/>
  <c r="E75" i="14"/>
  <c r="D75" i="14" s="1"/>
  <c r="P31" i="14" s="1"/>
  <c r="E67" i="14"/>
  <c r="D67" i="14" s="1"/>
  <c r="E58" i="14"/>
  <c r="D58" i="14" s="1"/>
  <c r="E45" i="14"/>
  <c r="D45" i="14" s="1"/>
  <c r="P25" i="14" s="1"/>
  <c r="C55" i="7" s="1"/>
  <c r="E184" i="14"/>
  <c r="D184" i="14" s="1"/>
  <c r="E180" i="14"/>
  <c r="D180" i="14" s="1"/>
  <c r="P52" i="14" s="1"/>
  <c r="C82" i="7" s="1"/>
  <c r="E177" i="14"/>
  <c r="D177" i="14" s="1"/>
  <c r="E172" i="14"/>
  <c r="D172" i="14" s="1"/>
  <c r="E112" i="14"/>
  <c r="D112" i="14" s="1"/>
  <c r="F112" i="14" s="1"/>
  <c r="E106" i="14"/>
  <c r="D106" i="14" s="1"/>
  <c r="F106" i="14" s="1"/>
  <c r="E101" i="14"/>
  <c r="D101" i="14" s="1"/>
  <c r="F101" i="14" s="1"/>
  <c r="E96" i="14"/>
  <c r="D96" i="14" s="1"/>
  <c r="F96" i="14" s="1"/>
  <c r="E90" i="14"/>
  <c r="D90" i="14" s="1"/>
  <c r="E84" i="14"/>
  <c r="D84" i="14" s="1"/>
  <c r="E76" i="14"/>
  <c r="D76" i="14" s="1"/>
  <c r="E72" i="14"/>
  <c r="D72" i="14" s="1"/>
  <c r="E68" i="14"/>
  <c r="D68" i="14" s="1"/>
  <c r="E64" i="14"/>
  <c r="D64" i="14" s="1"/>
  <c r="E59" i="14"/>
  <c r="D59" i="14" s="1"/>
  <c r="E54" i="14"/>
  <c r="D54" i="14" s="1"/>
  <c r="E46" i="14"/>
  <c r="D46" i="14" s="1"/>
  <c r="E35" i="14"/>
  <c r="D35" i="14" s="1"/>
  <c r="P23" i="14" s="1"/>
  <c r="C53" i="7" s="1"/>
  <c r="E185" i="14"/>
  <c r="D185" i="14" s="1"/>
  <c r="E181" i="14"/>
  <c r="D181" i="14" s="1"/>
  <c r="E178" i="14"/>
  <c r="D178" i="14" s="1"/>
  <c r="E175" i="14"/>
  <c r="D175" i="14" s="1"/>
  <c r="E113" i="14"/>
  <c r="D113" i="14" s="1"/>
  <c r="F113" i="14" s="1"/>
  <c r="E108" i="14"/>
  <c r="D108" i="14" s="1"/>
  <c r="F108" i="14" s="1"/>
  <c r="E102" i="14"/>
  <c r="D102" i="14" s="1"/>
  <c r="F102" i="14" s="1"/>
  <c r="E97" i="14"/>
  <c r="D97" i="14" s="1"/>
  <c r="F97" i="14" s="1"/>
  <c r="E92" i="14"/>
  <c r="D92" i="14" s="1"/>
  <c r="F92" i="14" s="1"/>
  <c r="E86" i="14"/>
  <c r="D86" i="14" s="1"/>
  <c r="E78" i="14"/>
  <c r="D78" i="14" s="1"/>
  <c r="E73" i="14"/>
  <c r="D73" i="14" s="1"/>
  <c r="E69" i="14"/>
  <c r="D69" i="14" s="1"/>
  <c r="E65" i="14"/>
  <c r="D65" i="14" s="1"/>
  <c r="P29" i="14" s="1"/>
  <c r="E61" i="14"/>
  <c r="D61" i="14" s="1"/>
  <c r="E55" i="14"/>
  <c r="D55" i="14" s="1"/>
  <c r="P27" i="14" s="1"/>
  <c r="C57" i="7" s="1"/>
  <c r="E49" i="14"/>
  <c r="D49" i="14" s="1"/>
  <c r="E41" i="14"/>
  <c r="D41" i="14" s="1"/>
  <c r="E51" i="14"/>
  <c r="D51" i="14" s="1"/>
  <c r="E47" i="14"/>
  <c r="D47" i="14" s="1"/>
  <c r="E43" i="14"/>
  <c r="D43" i="14" s="1"/>
  <c r="E39" i="14"/>
  <c r="D39" i="14" s="1"/>
  <c r="E31" i="14"/>
  <c r="D31" i="14" s="1"/>
  <c r="E23" i="14"/>
  <c r="D23" i="14" s="1"/>
  <c r="E37" i="14"/>
  <c r="D37" i="14" s="1"/>
  <c r="E29" i="14"/>
  <c r="D29" i="14" s="1"/>
  <c r="E60" i="14"/>
  <c r="D60" i="14" s="1"/>
  <c r="P28" i="14" s="1"/>
  <c r="E56" i="14"/>
  <c r="D56" i="14" s="1"/>
  <c r="E52" i="14"/>
  <c r="D52" i="14" s="1"/>
  <c r="E48" i="14"/>
  <c r="D48" i="14" s="1"/>
  <c r="E44" i="14"/>
  <c r="D44" i="14" s="1"/>
  <c r="E40" i="14"/>
  <c r="D40" i="14" s="1"/>
  <c r="P24" i="14" s="1"/>
  <c r="C54" i="7" s="1"/>
  <c r="E33" i="14"/>
  <c r="D33" i="14" s="1"/>
  <c r="E25" i="14"/>
  <c r="D25" i="14" s="1"/>
  <c r="P21" i="14" s="1"/>
  <c r="C51" i="7" s="1"/>
  <c r="E38" i="14"/>
  <c r="D38" i="14" s="1"/>
  <c r="E36" i="14"/>
  <c r="D36" i="14" s="1"/>
  <c r="E34" i="14"/>
  <c r="D34" i="14" s="1"/>
  <c r="E32" i="14"/>
  <c r="D32" i="14" s="1"/>
  <c r="E30" i="14"/>
  <c r="D30" i="14" s="1"/>
  <c r="P22" i="14" s="1"/>
  <c r="C52" i="7" s="1"/>
  <c r="E28" i="14"/>
  <c r="D28" i="14" s="1"/>
  <c r="E26" i="14"/>
  <c r="D26" i="14" s="1"/>
  <c r="E24" i="14"/>
  <c r="D24" i="14" s="1"/>
  <c r="E22" i="14"/>
  <c r="D22" i="14" s="1"/>
  <c r="E85" i="14"/>
  <c r="D85" i="14" s="1"/>
  <c r="P33" i="14" s="1"/>
  <c r="E81" i="14"/>
  <c r="D81" i="14" s="1"/>
  <c r="C82" i="3"/>
  <c r="C87" i="3" s="1"/>
  <c r="B22" i="5"/>
  <c r="E21" i="14"/>
  <c r="D21" i="14" s="1"/>
  <c r="E20" i="14"/>
  <c r="E170" i="14"/>
  <c r="D170" i="14" s="1"/>
  <c r="E169" i="14"/>
  <c r="D169" i="14" s="1"/>
  <c r="E168" i="14"/>
  <c r="D168" i="14" s="1"/>
  <c r="E167" i="14"/>
  <c r="D167" i="14" s="1"/>
  <c r="E166" i="14"/>
  <c r="D166" i="14" s="1"/>
  <c r="E165" i="14"/>
  <c r="D165" i="14" s="1"/>
  <c r="E164" i="14"/>
  <c r="D164" i="14" s="1"/>
  <c r="E163" i="14"/>
  <c r="D163" i="14" s="1"/>
  <c r="E162" i="14"/>
  <c r="D162" i="14" s="1"/>
  <c r="E161" i="14"/>
  <c r="D161" i="14" s="1"/>
  <c r="E160" i="14"/>
  <c r="D160" i="14" s="1"/>
  <c r="E159" i="14"/>
  <c r="D159" i="14" s="1"/>
  <c r="E158" i="14"/>
  <c r="D158" i="14" s="1"/>
  <c r="E157" i="14"/>
  <c r="D157" i="14" s="1"/>
  <c r="E156" i="14"/>
  <c r="D156" i="14" s="1"/>
  <c r="E155" i="14"/>
  <c r="D155" i="14" s="1"/>
  <c r="E154" i="14"/>
  <c r="D154" i="14" s="1"/>
  <c r="E153" i="14"/>
  <c r="D153" i="14" s="1"/>
  <c r="E152" i="14"/>
  <c r="D152" i="14" s="1"/>
  <c r="E151" i="14"/>
  <c r="D151" i="14" s="1"/>
  <c r="E150" i="14"/>
  <c r="D150" i="14" s="1"/>
  <c r="E149" i="14"/>
  <c r="D149" i="14" s="1"/>
  <c r="E148" i="14"/>
  <c r="D148" i="14" s="1"/>
  <c r="E147" i="14"/>
  <c r="D147" i="14" s="1"/>
  <c r="E146" i="14"/>
  <c r="D146" i="14" s="1"/>
  <c r="E145" i="14"/>
  <c r="D145" i="14" s="1"/>
  <c r="E144" i="14"/>
  <c r="D144" i="14" s="1"/>
  <c r="E143" i="14"/>
  <c r="D143" i="14" s="1"/>
  <c r="E142" i="14"/>
  <c r="D142" i="14" s="1"/>
  <c r="E141" i="14"/>
  <c r="D141" i="14" s="1"/>
  <c r="E140" i="14"/>
  <c r="D140" i="14" s="1"/>
  <c r="E139" i="14"/>
  <c r="D139" i="14" s="1"/>
  <c r="E138" i="14"/>
  <c r="D138" i="14" s="1"/>
  <c r="E137" i="14"/>
  <c r="D137" i="14" s="1"/>
  <c r="E136" i="14"/>
  <c r="D136" i="14" s="1"/>
  <c r="E135" i="14"/>
  <c r="D135" i="14" s="1"/>
  <c r="E134" i="14"/>
  <c r="D134" i="14" s="1"/>
  <c r="E133" i="14"/>
  <c r="D133" i="14" s="1"/>
  <c r="E132" i="14"/>
  <c r="D132" i="14" s="1"/>
  <c r="E131" i="14"/>
  <c r="D131" i="14" s="1"/>
  <c r="E130" i="14"/>
  <c r="D130" i="14" s="1"/>
  <c r="E129" i="14"/>
  <c r="D129" i="14" s="1"/>
  <c r="F129" i="14" s="1"/>
  <c r="E128" i="14"/>
  <c r="D128" i="14" s="1"/>
  <c r="F128" i="14" s="1"/>
  <c r="E127" i="14"/>
  <c r="D127" i="14" s="1"/>
  <c r="F127" i="14" s="1"/>
  <c r="E126" i="14"/>
  <c r="D126" i="14" s="1"/>
  <c r="F126" i="14" s="1"/>
  <c r="E125" i="14"/>
  <c r="D125" i="14" s="1"/>
  <c r="E124" i="14"/>
  <c r="D124" i="14" s="1"/>
  <c r="F124" i="14" s="1"/>
  <c r="E123" i="14"/>
  <c r="D123" i="14" s="1"/>
  <c r="F123" i="14" s="1"/>
  <c r="E122" i="14"/>
  <c r="D122" i="14" s="1"/>
  <c r="F122" i="14" s="1"/>
  <c r="E121" i="14"/>
  <c r="D121" i="14" s="1"/>
  <c r="F121" i="14" s="1"/>
  <c r="E120" i="14"/>
  <c r="D120" i="14" s="1"/>
  <c r="E119" i="14"/>
  <c r="D119" i="14" s="1"/>
  <c r="F119" i="14" s="1"/>
  <c r="E118" i="14"/>
  <c r="D118" i="14" s="1"/>
  <c r="F118" i="14" s="1"/>
  <c r="E117" i="14"/>
  <c r="D117" i="14" s="1"/>
  <c r="F117" i="14" s="1"/>
  <c r="E116" i="14"/>
  <c r="D116" i="14" s="1"/>
  <c r="F116" i="14" s="1"/>
  <c r="E115" i="14"/>
  <c r="D115" i="14" s="1"/>
  <c r="E111" i="14"/>
  <c r="D111" i="14" s="1"/>
  <c r="F111" i="14" s="1"/>
  <c r="E107" i="14"/>
  <c r="D107" i="14" s="1"/>
  <c r="F107" i="14" s="1"/>
  <c r="E103" i="14"/>
  <c r="D103" i="14" s="1"/>
  <c r="F103" i="14" s="1"/>
  <c r="E99" i="14"/>
  <c r="D99" i="14" s="1"/>
  <c r="F99" i="14" s="1"/>
  <c r="E95" i="14"/>
  <c r="D95" i="14" s="1"/>
  <c r="E91" i="14"/>
  <c r="D91" i="14" s="1"/>
  <c r="F91" i="14" s="1"/>
  <c r="E87" i="14"/>
  <c r="D87" i="14" s="1"/>
  <c r="E83" i="14"/>
  <c r="D83" i="14" s="1"/>
  <c r="E79" i="14"/>
  <c r="D79" i="14" s="1"/>
  <c r="P54" i="14" l="1"/>
  <c r="C84" i="7" s="1"/>
  <c r="C216" i="16"/>
  <c r="P55" i="14"/>
  <c r="C85" i="7" s="1"/>
  <c r="C221" i="16"/>
  <c r="P39" i="14"/>
  <c r="Q39" i="14" s="1"/>
  <c r="F115" i="14"/>
  <c r="E128" i="5" s="1"/>
  <c r="P36" i="14"/>
  <c r="Q36" i="14" s="1"/>
  <c r="F100" i="14"/>
  <c r="E113" i="5" s="1"/>
  <c r="P40" i="14"/>
  <c r="Q40" i="14" s="1"/>
  <c r="F120" i="14"/>
  <c r="E133" i="5" s="1"/>
  <c r="P38" i="14"/>
  <c r="Q38" i="14" s="1"/>
  <c r="F110" i="14"/>
  <c r="E123" i="5" s="1"/>
  <c r="P41" i="14"/>
  <c r="Q41" i="14" s="1"/>
  <c r="F125" i="14"/>
  <c r="E138" i="5" s="1"/>
  <c r="P34" i="14"/>
  <c r="Q34" i="14" s="1"/>
  <c r="F90" i="14"/>
  <c r="E103" i="5" s="1"/>
  <c r="P35" i="14"/>
  <c r="C65" i="7" s="1"/>
  <c r="F95" i="14"/>
  <c r="E108" i="5" s="1"/>
  <c r="P42" i="14"/>
  <c r="C72" i="7" s="1"/>
  <c r="F130" i="14"/>
  <c r="E143" i="5" s="1"/>
  <c r="P37" i="14"/>
  <c r="C67" i="7" s="1"/>
  <c r="F105" i="14"/>
  <c r="E118" i="5" s="1"/>
  <c r="C58" i="7"/>
  <c r="Q28" i="14"/>
  <c r="C60" i="7"/>
  <c r="Q30" i="14"/>
  <c r="C61" i="7"/>
  <c r="Q31" i="14"/>
  <c r="C59" i="7"/>
  <c r="Q29" i="14"/>
  <c r="C62" i="7"/>
  <c r="Q32" i="14"/>
  <c r="C63" i="7"/>
  <c r="Q33" i="14"/>
  <c r="K186" i="5"/>
  <c r="G186" i="5"/>
  <c r="P43" i="14"/>
  <c r="F135" i="14"/>
  <c r="E148" i="5" s="1"/>
  <c r="C135" i="14"/>
  <c r="C148" i="5" s="1"/>
  <c r="F151" i="14"/>
  <c r="E164" i="5" s="1"/>
  <c r="C151" i="14"/>
  <c r="C164" i="5" s="1"/>
  <c r="F167" i="14"/>
  <c r="E180" i="5" s="1"/>
  <c r="C167" i="14"/>
  <c r="C180" i="5" s="1"/>
  <c r="F171" i="14"/>
  <c r="E184" i="5" s="1"/>
  <c r="C171" i="14"/>
  <c r="C184" i="5" s="1"/>
  <c r="F147" i="14"/>
  <c r="E160" i="5" s="1"/>
  <c r="C147" i="14"/>
  <c r="C160" i="5" s="1"/>
  <c r="F163" i="14"/>
  <c r="E176" i="5" s="1"/>
  <c r="C163" i="14"/>
  <c r="C176" i="5" s="1"/>
  <c r="F132" i="14"/>
  <c r="E145" i="5" s="1"/>
  <c r="C132" i="14"/>
  <c r="C145" i="5" s="1"/>
  <c r="C136" i="14"/>
  <c r="C149" i="5" s="1"/>
  <c r="F136" i="14"/>
  <c r="E149" i="5" s="1"/>
  <c r="P44" i="14"/>
  <c r="F140" i="14"/>
  <c r="E153" i="5" s="1"/>
  <c r="C140" i="14"/>
  <c r="C153" i="5" s="1"/>
  <c r="F144" i="14"/>
  <c r="E157" i="5" s="1"/>
  <c r="C144" i="14"/>
  <c r="C157" i="5" s="1"/>
  <c r="C148" i="14"/>
  <c r="C161" i="5" s="1"/>
  <c r="F148" i="14"/>
  <c r="E161" i="5" s="1"/>
  <c r="F152" i="14"/>
  <c r="E165" i="5" s="1"/>
  <c r="C152" i="14"/>
  <c r="C165" i="5" s="1"/>
  <c r="C156" i="14"/>
  <c r="C169" i="5" s="1"/>
  <c r="F156" i="14"/>
  <c r="E169" i="5" s="1"/>
  <c r="P48" i="14"/>
  <c r="F160" i="14"/>
  <c r="E173" i="5" s="1"/>
  <c r="C160" i="14"/>
  <c r="C164" i="14"/>
  <c r="C177" i="5" s="1"/>
  <c r="F164" i="14"/>
  <c r="E177" i="5" s="1"/>
  <c r="F168" i="14"/>
  <c r="E181" i="5" s="1"/>
  <c r="C168" i="14"/>
  <c r="C181" i="5" s="1"/>
  <c r="P51" i="14"/>
  <c r="F175" i="14"/>
  <c r="E188" i="5" s="1"/>
  <c r="C175" i="14"/>
  <c r="C188" i="5" s="1"/>
  <c r="F131" i="14"/>
  <c r="E144" i="5" s="1"/>
  <c r="C131" i="14"/>
  <c r="C144" i="5" s="1"/>
  <c r="F143" i="14"/>
  <c r="E156" i="5" s="1"/>
  <c r="C143" i="14"/>
  <c r="C156" i="5" s="1"/>
  <c r="F159" i="14"/>
  <c r="E172" i="5" s="1"/>
  <c r="C159" i="14"/>
  <c r="C133" i="14"/>
  <c r="C146" i="5" s="1"/>
  <c r="F133" i="14"/>
  <c r="E146" i="5" s="1"/>
  <c r="F137" i="14"/>
  <c r="E150" i="5" s="1"/>
  <c r="C137" i="14"/>
  <c r="C150" i="5" s="1"/>
  <c r="C141" i="14"/>
  <c r="C154" i="5" s="1"/>
  <c r="F141" i="14"/>
  <c r="E154" i="5" s="1"/>
  <c r="P45" i="14"/>
  <c r="F145" i="14"/>
  <c r="E158" i="5" s="1"/>
  <c r="C145" i="14"/>
  <c r="C158" i="5" s="1"/>
  <c r="F149" i="14"/>
  <c r="E162" i="5" s="1"/>
  <c r="C149" i="14"/>
  <c r="C162" i="5" s="1"/>
  <c r="F153" i="14"/>
  <c r="E166" i="5" s="1"/>
  <c r="C153" i="14"/>
  <c r="C166" i="5" s="1"/>
  <c r="C157" i="14"/>
  <c r="C170" i="5" s="1"/>
  <c r="F157" i="14"/>
  <c r="E170" i="5" s="1"/>
  <c r="F161" i="14"/>
  <c r="E174" i="5" s="1"/>
  <c r="C161" i="14"/>
  <c r="C174" i="5" s="1"/>
  <c r="P49" i="14"/>
  <c r="C165" i="14"/>
  <c r="C178" i="5" s="1"/>
  <c r="F165" i="14"/>
  <c r="E178" i="5" s="1"/>
  <c r="F169" i="14"/>
  <c r="E182" i="5" s="1"/>
  <c r="C169" i="14"/>
  <c r="C182" i="5" s="1"/>
  <c r="C174" i="14"/>
  <c r="C187" i="5" s="1"/>
  <c r="F174" i="14"/>
  <c r="E187" i="5" s="1"/>
  <c r="F139" i="14"/>
  <c r="E152" i="5" s="1"/>
  <c r="C139" i="14"/>
  <c r="C152" i="5" s="1"/>
  <c r="P47" i="14"/>
  <c r="F155" i="14"/>
  <c r="E168" i="5" s="1"/>
  <c r="C155" i="14"/>
  <c r="C168" i="5" s="1"/>
  <c r="C134" i="14"/>
  <c r="C147" i="5" s="1"/>
  <c r="F134" i="14"/>
  <c r="E147" i="5" s="1"/>
  <c r="C138" i="14"/>
  <c r="C151" i="5" s="1"/>
  <c r="F138" i="14"/>
  <c r="E151" i="5" s="1"/>
  <c r="C142" i="14"/>
  <c r="C155" i="5" s="1"/>
  <c r="F142" i="14"/>
  <c r="E155" i="5" s="1"/>
  <c r="C146" i="14"/>
  <c r="C159" i="5" s="1"/>
  <c r="F146" i="14"/>
  <c r="E159" i="5" s="1"/>
  <c r="P46" i="14"/>
  <c r="C150" i="14"/>
  <c r="C163" i="5" s="1"/>
  <c r="F150" i="14"/>
  <c r="E163" i="5" s="1"/>
  <c r="C154" i="14"/>
  <c r="C167" i="5" s="1"/>
  <c r="F154" i="14"/>
  <c r="E167" i="5" s="1"/>
  <c r="C158" i="14"/>
  <c r="C171" i="5" s="1"/>
  <c r="F158" i="14"/>
  <c r="E171" i="5" s="1"/>
  <c r="C162" i="14"/>
  <c r="C175" i="5" s="1"/>
  <c r="F162" i="14"/>
  <c r="E175" i="5" s="1"/>
  <c r="C166" i="14"/>
  <c r="C179" i="5" s="1"/>
  <c r="F166" i="14"/>
  <c r="E179" i="5" s="1"/>
  <c r="P50" i="14"/>
  <c r="C170" i="14"/>
  <c r="C183" i="5" s="1"/>
  <c r="F170" i="14"/>
  <c r="E183" i="5" s="1"/>
  <c r="F172" i="14"/>
  <c r="E185" i="5" s="1"/>
  <c r="C172" i="14"/>
  <c r="C185" i="5" s="1"/>
  <c r="D20" i="14"/>
  <c r="P20" i="14" s="1"/>
  <c r="C50" i="7" s="1"/>
  <c r="P53" i="14"/>
  <c r="C83" i="7" s="1"/>
  <c r="G55" i="13"/>
  <c r="G57" i="13" s="1"/>
  <c r="G59" i="13" s="1"/>
  <c r="C176" i="16"/>
  <c r="C71" i="16"/>
  <c r="Q25" i="14"/>
  <c r="C151" i="16"/>
  <c r="C171" i="16"/>
  <c r="C191" i="16"/>
  <c r="C56" i="16"/>
  <c r="C86" i="16"/>
  <c r="C116" i="16"/>
  <c r="C101" i="16"/>
  <c r="C76" i="16"/>
  <c r="C121" i="16"/>
  <c r="C196" i="16"/>
  <c r="C51" i="16"/>
  <c r="C106" i="16"/>
  <c r="C141" i="16"/>
  <c r="C161" i="16"/>
  <c r="C181" i="16"/>
  <c r="C126" i="16"/>
  <c r="C156" i="16"/>
  <c r="C91" i="16"/>
  <c r="C131" i="16"/>
  <c r="C146" i="16"/>
  <c r="C166" i="16"/>
  <c r="C186" i="16"/>
  <c r="C111" i="16"/>
  <c r="C66" i="16"/>
  <c r="C81" i="16"/>
  <c r="C201" i="16"/>
  <c r="C61" i="16"/>
  <c r="C206" i="16"/>
  <c r="C96" i="16"/>
  <c r="C136" i="16"/>
  <c r="L186" i="5"/>
  <c r="C211" i="16"/>
  <c r="D104" i="5"/>
  <c r="C117" i="16"/>
  <c r="D120" i="5"/>
  <c r="C133" i="16"/>
  <c r="D130" i="5"/>
  <c r="C143" i="16"/>
  <c r="D134" i="5"/>
  <c r="C147" i="16"/>
  <c r="D142" i="5"/>
  <c r="C155" i="16"/>
  <c r="D146" i="5"/>
  <c r="C159" i="16"/>
  <c r="D150" i="5"/>
  <c r="C163" i="16"/>
  <c r="D154" i="5"/>
  <c r="C167" i="16"/>
  <c r="D162" i="5"/>
  <c r="C175" i="16"/>
  <c r="D166" i="5"/>
  <c r="C179" i="16"/>
  <c r="D170" i="5"/>
  <c r="C183" i="16"/>
  <c r="D174" i="5"/>
  <c r="C187" i="16"/>
  <c r="D182" i="5"/>
  <c r="C195" i="16"/>
  <c r="D35" i="5"/>
  <c r="C48" i="16"/>
  <c r="D51" i="5"/>
  <c r="C64" i="16"/>
  <c r="D57" i="5"/>
  <c r="C70" i="16"/>
  <c r="D44" i="5"/>
  <c r="C57" i="16"/>
  <c r="D64" i="5"/>
  <c r="C77" i="16"/>
  <c r="D74" i="5"/>
  <c r="C87" i="16"/>
  <c r="D91" i="5"/>
  <c r="C104" i="16"/>
  <c r="D115" i="5"/>
  <c r="C128" i="16"/>
  <c r="D191" i="5"/>
  <c r="C204" i="16"/>
  <c r="D59" i="5"/>
  <c r="C72" i="16"/>
  <c r="D81" i="5"/>
  <c r="C94" i="16"/>
  <c r="D125" i="5"/>
  <c r="C138" i="16"/>
  <c r="D197" i="5"/>
  <c r="C210" i="16"/>
  <c r="D66" i="5"/>
  <c r="C79" i="16"/>
  <c r="D55" i="5"/>
  <c r="C68" i="16"/>
  <c r="D106" i="5"/>
  <c r="C119" i="16"/>
  <c r="D187" i="5"/>
  <c r="C200" i="16"/>
  <c r="D127" i="5"/>
  <c r="C140" i="16"/>
  <c r="D107" i="5"/>
  <c r="C120" i="16"/>
  <c r="D211" i="5"/>
  <c r="D196" i="5"/>
  <c r="C209" i="16"/>
  <c r="D92" i="5"/>
  <c r="C105" i="16"/>
  <c r="D124" i="5"/>
  <c r="C137" i="16"/>
  <c r="D131" i="5"/>
  <c r="C144" i="16"/>
  <c r="D135" i="5"/>
  <c r="C148" i="16"/>
  <c r="D139" i="5"/>
  <c r="C152" i="16"/>
  <c r="D147" i="5"/>
  <c r="C160" i="16"/>
  <c r="D151" i="5"/>
  <c r="C164" i="16"/>
  <c r="D155" i="5"/>
  <c r="C168" i="16"/>
  <c r="D159" i="5"/>
  <c r="C172" i="16"/>
  <c r="D167" i="5"/>
  <c r="C180" i="16"/>
  <c r="D171" i="5"/>
  <c r="C184" i="16"/>
  <c r="D175" i="5"/>
  <c r="C188" i="16"/>
  <c r="D179" i="5"/>
  <c r="C192" i="16"/>
  <c r="D37" i="5"/>
  <c r="C50" i="16"/>
  <c r="D45" i="5"/>
  <c r="C58" i="16"/>
  <c r="D61" i="5"/>
  <c r="C74" i="16"/>
  <c r="D42" i="5"/>
  <c r="C55" i="16"/>
  <c r="D52" i="5"/>
  <c r="C65" i="16"/>
  <c r="D54" i="5"/>
  <c r="C67" i="16"/>
  <c r="D99" i="5"/>
  <c r="C112" i="16"/>
  <c r="D121" i="5"/>
  <c r="C134" i="16"/>
  <c r="D194" i="5"/>
  <c r="C207" i="16"/>
  <c r="D67" i="5"/>
  <c r="C80" i="16"/>
  <c r="D85" i="5"/>
  <c r="C98" i="16"/>
  <c r="D109" i="5"/>
  <c r="C122" i="16"/>
  <c r="D185" i="5"/>
  <c r="C198" i="16"/>
  <c r="D102" i="5"/>
  <c r="C115" i="16"/>
  <c r="D76" i="5"/>
  <c r="C89" i="16"/>
  <c r="D70" i="5"/>
  <c r="C83" i="16"/>
  <c r="D75" i="5"/>
  <c r="C88" i="16"/>
  <c r="D122" i="5"/>
  <c r="C135" i="16"/>
  <c r="D195" i="5"/>
  <c r="C208" i="16"/>
  <c r="D201" i="5"/>
  <c r="D210" i="5"/>
  <c r="D209" i="5"/>
  <c r="D112" i="5"/>
  <c r="C125" i="16"/>
  <c r="D132" i="5"/>
  <c r="C145" i="16"/>
  <c r="D136" i="5"/>
  <c r="C149" i="16"/>
  <c r="D140" i="5"/>
  <c r="C153" i="16"/>
  <c r="D144" i="5"/>
  <c r="C157" i="16"/>
  <c r="D152" i="5"/>
  <c r="C165" i="16"/>
  <c r="D156" i="5"/>
  <c r="C169" i="16"/>
  <c r="D160" i="5"/>
  <c r="C173" i="16"/>
  <c r="D164" i="5"/>
  <c r="C177" i="16"/>
  <c r="D172" i="5"/>
  <c r="C185" i="16"/>
  <c r="D176" i="5"/>
  <c r="C189" i="16"/>
  <c r="D180" i="5"/>
  <c r="C193" i="16"/>
  <c r="D94" i="5"/>
  <c r="C107" i="16"/>
  <c r="D39" i="5"/>
  <c r="C52" i="16"/>
  <c r="D47" i="5"/>
  <c r="C60" i="16"/>
  <c r="D46" i="5"/>
  <c r="C59" i="16"/>
  <c r="D65" i="5"/>
  <c r="C78" i="16"/>
  <c r="D50" i="5"/>
  <c r="C63" i="16"/>
  <c r="D56" i="5"/>
  <c r="C69" i="16"/>
  <c r="D62" i="5"/>
  <c r="C75" i="16"/>
  <c r="D82" i="5"/>
  <c r="C95" i="16"/>
  <c r="D105" i="5"/>
  <c r="C118" i="16"/>
  <c r="D126" i="5"/>
  <c r="C139" i="16"/>
  <c r="D72" i="5"/>
  <c r="C85" i="16"/>
  <c r="D89" i="5"/>
  <c r="C102" i="16"/>
  <c r="D114" i="5"/>
  <c r="C127" i="16"/>
  <c r="D190" i="5"/>
  <c r="C203" i="16"/>
  <c r="D71" i="5"/>
  <c r="C84" i="16"/>
  <c r="D84" i="5"/>
  <c r="C97" i="16"/>
  <c r="D79" i="5"/>
  <c r="C92" i="16"/>
  <c r="D184" i="5"/>
  <c r="C197" i="16"/>
  <c r="D111" i="5"/>
  <c r="C124" i="16"/>
  <c r="D101" i="5"/>
  <c r="C114" i="16"/>
  <c r="D87" i="5"/>
  <c r="C100" i="16"/>
  <c r="D204" i="5"/>
  <c r="D207" i="5"/>
  <c r="D206" i="5"/>
  <c r="D199" i="5"/>
  <c r="D96" i="5"/>
  <c r="C109" i="16"/>
  <c r="D100" i="5"/>
  <c r="C113" i="16"/>
  <c r="D116" i="5"/>
  <c r="C129" i="16"/>
  <c r="D129" i="5"/>
  <c r="C142" i="16"/>
  <c r="D137" i="5"/>
  <c r="C150" i="16"/>
  <c r="D141" i="5"/>
  <c r="C154" i="16"/>
  <c r="D145" i="5"/>
  <c r="C158" i="16"/>
  <c r="D149" i="5"/>
  <c r="C162" i="16"/>
  <c r="D157" i="5"/>
  <c r="C170" i="16"/>
  <c r="D161" i="5"/>
  <c r="C174" i="16"/>
  <c r="D165" i="5"/>
  <c r="C178" i="16"/>
  <c r="D169" i="5"/>
  <c r="C182" i="16"/>
  <c r="D177" i="5"/>
  <c r="C190" i="16"/>
  <c r="D181" i="5"/>
  <c r="C194" i="16"/>
  <c r="D34" i="5"/>
  <c r="C47" i="16"/>
  <c r="D41" i="5"/>
  <c r="C54" i="16"/>
  <c r="D49" i="5"/>
  <c r="C62" i="16"/>
  <c r="D69" i="5"/>
  <c r="C82" i="16"/>
  <c r="D36" i="5"/>
  <c r="C49" i="16"/>
  <c r="D60" i="5"/>
  <c r="C73" i="16"/>
  <c r="D86" i="5"/>
  <c r="C99" i="16"/>
  <c r="D110" i="5"/>
  <c r="C123" i="16"/>
  <c r="D77" i="5"/>
  <c r="C90" i="16"/>
  <c r="D97" i="5"/>
  <c r="C110" i="16"/>
  <c r="D119" i="5"/>
  <c r="C132" i="16"/>
  <c r="D80" i="5"/>
  <c r="C93" i="16"/>
  <c r="D40" i="5"/>
  <c r="C53" i="16"/>
  <c r="D95" i="5"/>
  <c r="C108" i="16"/>
  <c r="D192" i="5"/>
  <c r="C205" i="16"/>
  <c r="D117" i="5"/>
  <c r="C130" i="16"/>
  <c r="D189" i="5"/>
  <c r="C202" i="16"/>
  <c r="D205" i="5"/>
  <c r="D200" i="5"/>
  <c r="D202" i="5"/>
  <c r="D90" i="5"/>
  <c r="C103" i="16"/>
  <c r="D158" i="5"/>
  <c r="D178" i="5"/>
  <c r="D43" i="5"/>
  <c r="D73" i="5"/>
  <c r="D103" i="5"/>
  <c r="D88" i="5"/>
  <c r="D63" i="5"/>
  <c r="D203" i="5"/>
  <c r="D208" i="5"/>
  <c r="D138" i="5"/>
  <c r="D108" i="5"/>
  <c r="D143" i="5"/>
  <c r="D163" i="5"/>
  <c r="D183" i="5"/>
  <c r="D38" i="5"/>
  <c r="D78" i="5"/>
  <c r="D58" i="5"/>
  <c r="O25" i="14"/>
  <c r="D118" i="5"/>
  <c r="D93" i="5"/>
  <c r="D128" i="5"/>
  <c r="D148" i="5"/>
  <c r="D168" i="5"/>
  <c r="D198" i="5"/>
  <c r="D113" i="5"/>
  <c r="D133" i="5"/>
  <c r="D153" i="5"/>
  <c r="D173" i="5"/>
  <c r="D98" i="5"/>
  <c r="D53" i="5"/>
  <c r="D68" i="5"/>
  <c r="D188" i="5"/>
  <c r="D48" i="5"/>
  <c r="D193" i="5"/>
  <c r="D83" i="5"/>
  <c r="D123" i="5"/>
  <c r="E112" i="5"/>
  <c r="C99" i="14"/>
  <c r="C112" i="5" s="1"/>
  <c r="C115" i="14"/>
  <c r="C128" i="5" s="1"/>
  <c r="E132" i="5"/>
  <c r="C119" i="14"/>
  <c r="C132" i="5" s="1"/>
  <c r="C123" i="14"/>
  <c r="C136" i="5" s="1"/>
  <c r="E136" i="5"/>
  <c r="E140" i="5"/>
  <c r="C127" i="14"/>
  <c r="C140" i="5" s="1"/>
  <c r="F81" i="14"/>
  <c r="E94" i="5" s="1"/>
  <c r="C81" i="14"/>
  <c r="C94" i="5" s="1"/>
  <c r="F69" i="14"/>
  <c r="E82" i="5" s="1"/>
  <c r="C69" i="14"/>
  <c r="C82" i="5" s="1"/>
  <c r="E105" i="5"/>
  <c r="C92" i="14"/>
  <c r="C105" i="5" s="1"/>
  <c r="E126" i="5"/>
  <c r="C113" i="14"/>
  <c r="C126" i="5" s="1"/>
  <c r="F76" i="14"/>
  <c r="E89" i="5" s="1"/>
  <c r="C76" i="14"/>
  <c r="C89" i="5" s="1"/>
  <c r="E114" i="5"/>
  <c r="C101" i="14"/>
  <c r="C114" i="5" s="1"/>
  <c r="C100" i="14"/>
  <c r="C113" i="5" s="1"/>
  <c r="C71" i="14"/>
  <c r="C84" i="5" s="1"/>
  <c r="F71" i="14"/>
  <c r="E84" i="5" s="1"/>
  <c r="F66" i="14"/>
  <c r="E79" i="5" s="1"/>
  <c r="C66" i="14"/>
  <c r="C79" i="5" s="1"/>
  <c r="E111" i="5"/>
  <c r="C98" i="14"/>
  <c r="C111" i="5" s="1"/>
  <c r="F88" i="14"/>
  <c r="E101" i="5" s="1"/>
  <c r="C88" i="14"/>
  <c r="C101" i="5" s="1"/>
  <c r="F74" i="14"/>
  <c r="E87" i="5" s="1"/>
  <c r="C74" i="14"/>
  <c r="C87" i="5" s="1"/>
  <c r="F83" i="14"/>
  <c r="E96" i="5" s="1"/>
  <c r="C83" i="14"/>
  <c r="C96" i="5" s="1"/>
  <c r="E129" i="5"/>
  <c r="C116" i="14"/>
  <c r="C129" i="5" s="1"/>
  <c r="C120" i="14"/>
  <c r="C133" i="5" s="1"/>
  <c r="E137" i="5"/>
  <c r="C124" i="14"/>
  <c r="C137" i="5" s="1"/>
  <c r="E141" i="5"/>
  <c r="C128" i="14"/>
  <c r="C141" i="5" s="1"/>
  <c r="F85" i="14"/>
  <c r="E98" i="5" s="1"/>
  <c r="C85" i="14"/>
  <c r="C98" i="5" s="1"/>
  <c r="F73" i="14"/>
  <c r="E86" i="5" s="1"/>
  <c r="C73" i="14"/>
  <c r="C86" i="5" s="1"/>
  <c r="E110" i="5"/>
  <c r="C97" i="14"/>
  <c r="C110" i="5" s="1"/>
  <c r="F64" i="14"/>
  <c r="E77" i="5" s="1"/>
  <c r="C64" i="14"/>
  <c r="C77" i="5" s="1"/>
  <c r="F84" i="14"/>
  <c r="E97" i="5" s="1"/>
  <c r="C84" i="14"/>
  <c r="C97" i="5" s="1"/>
  <c r="E119" i="5"/>
  <c r="C106" i="14"/>
  <c r="C119" i="5" s="1"/>
  <c r="F67" i="14"/>
  <c r="E80" i="5" s="1"/>
  <c r="C67" i="14"/>
  <c r="C80" i="5" s="1"/>
  <c r="F82" i="14"/>
  <c r="E95" i="5" s="1"/>
  <c r="C82" i="14"/>
  <c r="C95" i="5" s="1"/>
  <c r="C70" i="14"/>
  <c r="C83" i="5" s="1"/>
  <c r="F70" i="14"/>
  <c r="E83" i="5" s="1"/>
  <c r="C110" i="14"/>
  <c r="C123" i="5" s="1"/>
  <c r="E117" i="5"/>
  <c r="C104" i="14"/>
  <c r="C117" i="5" s="1"/>
  <c r="F77" i="14"/>
  <c r="E90" i="5" s="1"/>
  <c r="C77" i="14"/>
  <c r="C90" i="5" s="1"/>
  <c r="C87" i="14"/>
  <c r="C100" i="5" s="1"/>
  <c r="F87" i="14"/>
  <c r="E100" i="5" s="1"/>
  <c r="E104" i="5"/>
  <c r="C91" i="14"/>
  <c r="C104" i="5" s="1"/>
  <c r="E130" i="5"/>
  <c r="C117" i="14"/>
  <c r="C130" i="5" s="1"/>
  <c r="C125" i="14"/>
  <c r="C138" i="5" s="1"/>
  <c r="E142" i="5"/>
  <c r="C129" i="14"/>
  <c r="C142" i="5" s="1"/>
  <c r="C60" i="14"/>
  <c r="C73" i="5" s="1"/>
  <c r="F60" i="14"/>
  <c r="E73" i="5" s="1"/>
  <c r="F61" i="14"/>
  <c r="E74" i="5" s="1"/>
  <c r="C61" i="14"/>
  <c r="C74" i="5" s="1"/>
  <c r="C78" i="14"/>
  <c r="C91" i="5" s="1"/>
  <c r="F78" i="14"/>
  <c r="E91" i="5" s="1"/>
  <c r="C102" i="14"/>
  <c r="C115" i="5" s="1"/>
  <c r="E115" i="5"/>
  <c r="F68" i="14"/>
  <c r="E81" i="5" s="1"/>
  <c r="C68" i="14"/>
  <c r="C81" i="5" s="1"/>
  <c r="C90" i="14"/>
  <c r="C103" i="5" s="1"/>
  <c r="E125" i="5"/>
  <c r="C112" i="14"/>
  <c r="C125" i="5" s="1"/>
  <c r="F75" i="14"/>
  <c r="E88" i="5" s="1"/>
  <c r="C75" i="14"/>
  <c r="C88" i="5" s="1"/>
  <c r="E106" i="5"/>
  <c r="C93" i="14"/>
  <c r="C106" i="5" s="1"/>
  <c r="E127" i="5"/>
  <c r="C114" i="14"/>
  <c r="C127" i="5" s="1"/>
  <c r="C94" i="14"/>
  <c r="C107" i="5" s="1"/>
  <c r="E107" i="5"/>
  <c r="E116" i="5"/>
  <c r="C103" i="14"/>
  <c r="C116" i="5" s="1"/>
  <c r="E120" i="5"/>
  <c r="C107" i="14"/>
  <c r="C120" i="5" s="1"/>
  <c r="E134" i="5"/>
  <c r="C121" i="14"/>
  <c r="C134" i="5" s="1"/>
  <c r="C79" i="14"/>
  <c r="C92" i="5" s="1"/>
  <c r="F79" i="14"/>
  <c r="E92" i="5" s="1"/>
  <c r="C95" i="14"/>
  <c r="C108" i="5" s="1"/>
  <c r="C111" i="14"/>
  <c r="C124" i="5" s="1"/>
  <c r="E124" i="5"/>
  <c r="C118" i="14"/>
  <c r="C131" i="5" s="1"/>
  <c r="E131" i="5"/>
  <c r="C122" i="14"/>
  <c r="C135" i="5" s="1"/>
  <c r="E135" i="5"/>
  <c r="E139" i="5"/>
  <c r="C126" i="14"/>
  <c r="C139" i="5" s="1"/>
  <c r="C130" i="14"/>
  <c r="C143" i="5" s="1"/>
  <c r="F65" i="14"/>
  <c r="E78" i="5" s="1"/>
  <c r="C65" i="14"/>
  <c r="C78" i="5" s="1"/>
  <c r="C86" i="14"/>
  <c r="C99" i="5" s="1"/>
  <c r="F86" i="14"/>
  <c r="E99" i="5" s="1"/>
  <c r="E121" i="5"/>
  <c r="C108" i="14"/>
  <c r="C121" i="5" s="1"/>
  <c r="F72" i="14"/>
  <c r="E85" i="5" s="1"/>
  <c r="C72" i="14"/>
  <c r="C85" i="5" s="1"/>
  <c r="E109" i="5"/>
  <c r="C96" i="14"/>
  <c r="C109" i="5" s="1"/>
  <c r="F89" i="14"/>
  <c r="E102" i="5" s="1"/>
  <c r="C89" i="14"/>
  <c r="C102" i="5" s="1"/>
  <c r="C63" i="14"/>
  <c r="C76" i="5" s="1"/>
  <c r="F63" i="14"/>
  <c r="E76" i="5" s="1"/>
  <c r="C105" i="14"/>
  <c r="C118" i="5" s="1"/>
  <c r="F80" i="14"/>
  <c r="E93" i="5" s="1"/>
  <c r="C80" i="14"/>
  <c r="C93" i="5" s="1"/>
  <c r="C62" i="14"/>
  <c r="C75" i="5" s="1"/>
  <c r="F62" i="14"/>
  <c r="E75" i="5" s="1"/>
  <c r="E122" i="5"/>
  <c r="C109" i="14"/>
  <c r="C122" i="5" s="1"/>
  <c r="F32" i="14"/>
  <c r="E45" i="5" s="1"/>
  <c r="C32" i="14"/>
  <c r="C45" i="5" s="1"/>
  <c r="F29" i="14"/>
  <c r="E42" i="5" s="1"/>
  <c r="C29" i="14"/>
  <c r="C42" i="5" s="1"/>
  <c r="F41" i="14"/>
  <c r="E54" i="5" s="1"/>
  <c r="C41" i="14"/>
  <c r="C54" i="5" s="1"/>
  <c r="F181" i="14"/>
  <c r="E194" i="5" s="1"/>
  <c r="C181" i="14"/>
  <c r="C194" i="5" s="1"/>
  <c r="F45" i="14"/>
  <c r="E58" i="5" s="1"/>
  <c r="C45" i="14"/>
  <c r="C58" i="5" s="1"/>
  <c r="C57" i="14"/>
  <c r="C70" i="5" s="1"/>
  <c r="F57" i="14"/>
  <c r="E70" i="5" s="1"/>
  <c r="F196" i="14"/>
  <c r="E209" i="5" s="1"/>
  <c r="C196" i="14"/>
  <c r="C209" i="5" s="1"/>
  <c r="F22" i="14"/>
  <c r="E35" i="5" s="1"/>
  <c r="C22" i="14"/>
  <c r="C35" i="5" s="1"/>
  <c r="F30" i="14"/>
  <c r="E43" i="5" s="1"/>
  <c r="C30" i="14"/>
  <c r="C43" i="5" s="1"/>
  <c r="C38" i="14"/>
  <c r="C51" i="5" s="1"/>
  <c r="F38" i="14"/>
  <c r="E51" i="5" s="1"/>
  <c r="F44" i="14"/>
  <c r="E57" i="5" s="1"/>
  <c r="C44" i="14"/>
  <c r="C57" i="5" s="1"/>
  <c r="F31" i="14"/>
  <c r="E44" i="5" s="1"/>
  <c r="C31" i="14"/>
  <c r="C44" i="5" s="1"/>
  <c r="F51" i="14"/>
  <c r="E64" i="5" s="1"/>
  <c r="C51" i="14"/>
  <c r="C64" i="5" s="1"/>
  <c r="F178" i="14"/>
  <c r="E191" i="5" s="1"/>
  <c r="C178" i="14"/>
  <c r="C191" i="5" s="1"/>
  <c r="F46" i="14"/>
  <c r="E59" i="5" s="1"/>
  <c r="C46" i="14"/>
  <c r="C59" i="5" s="1"/>
  <c r="F184" i="14"/>
  <c r="E197" i="5" s="1"/>
  <c r="C184" i="14"/>
  <c r="C197" i="5" s="1"/>
  <c r="C53" i="14"/>
  <c r="C66" i="5" s="1"/>
  <c r="F53" i="14"/>
  <c r="E66" i="5" s="1"/>
  <c r="F42" i="14"/>
  <c r="E55" i="5" s="1"/>
  <c r="C42" i="14"/>
  <c r="C55" i="5" s="1"/>
  <c r="F50" i="14"/>
  <c r="E63" i="5" s="1"/>
  <c r="C50" i="14"/>
  <c r="C63" i="5" s="1"/>
  <c r="F190" i="14"/>
  <c r="E203" i="5" s="1"/>
  <c r="C190" i="14"/>
  <c r="C203" i="5" s="1"/>
  <c r="F198" i="14"/>
  <c r="E211" i="5" s="1"/>
  <c r="C198" i="14"/>
  <c r="C211" i="5" s="1"/>
  <c r="F195" i="14"/>
  <c r="E208" i="5" s="1"/>
  <c r="C195" i="14"/>
  <c r="C208" i="5" s="1"/>
  <c r="F183" i="14"/>
  <c r="E196" i="5" s="1"/>
  <c r="C183" i="14"/>
  <c r="C196" i="5" s="1"/>
  <c r="F24" i="14"/>
  <c r="E37" i="5" s="1"/>
  <c r="C24" i="14"/>
  <c r="C37" i="5" s="1"/>
  <c r="F48" i="14"/>
  <c r="E61" i="5" s="1"/>
  <c r="C48" i="14"/>
  <c r="C61" i="5" s="1"/>
  <c r="F188" i="14"/>
  <c r="E201" i="5" s="1"/>
  <c r="C188" i="14"/>
  <c r="C201" i="5" s="1"/>
  <c r="F26" i="14"/>
  <c r="E39" i="5" s="1"/>
  <c r="C26" i="14"/>
  <c r="C39" i="5" s="1"/>
  <c r="F34" i="14"/>
  <c r="E47" i="5" s="1"/>
  <c r="C34" i="14"/>
  <c r="C47" i="5" s="1"/>
  <c r="C33" i="14"/>
  <c r="C46" i="5" s="1"/>
  <c r="F33" i="14"/>
  <c r="E46" i="5" s="1"/>
  <c r="F52" i="14"/>
  <c r="E65" i="5" s="1"/>
  <c r="C52" i="14"/>
  <c r="C65" i="5" s="1"/>
  <c r="F37" i="14"/>
  <c r="E50" i="5" s="1"/>
  <c r="C37" i="14"/>
  <c r="C50" i="5" s="1"/>
  <c r="F43" i="14"/>
  <c r="E56" i="5" s="1"/>
  <c r="C43" i="14"/>
  <c r="C56" i="5" s="1"/>
  <c r="C49" i="14"/>
  <c r="C62" i="5" s="1"/>
  <c r="F49" i="14"/>
  <c r="E62" i="5" s="1"/>
  <c r="F185" i="14"/>
  <c r="E198" i="5" s="1"/>
  <c r="C185" i="14"/>
  <c r="F59" i="14"/>
  <c r="E72" i="5" s="1"/>
  <c r="C59" i="14"/>
  <c r="C72" i="5" s="1"/>
  <c r="C177" i="14"/>
  <c r="C190" i="5" s="1"/>
  <c r="F177" i="14"/>
  <c r="E190" i="5" s="1"/>
  <c r="F58" i="14"/>
  <c r="E71" i="5" s="1"/>
  <c r="C58" i="14"/>
  <c r="C71" i="5" s="1"/>
  <c r="F191" i="14"/>
  <c r="E204" i="5" s="1"/>
  <c r="C191" i="14"/>
  <c r="C204" i="5" s="1"/>
  <c r="F194" i="14"/>
  <c r="E207" i="5" s="1"/>
  <c r="C194" i="14"/>
  <c r="C207" i="5" s="1"/>
  <c r="F193" i="14"/>
  <c r="E206" i="5" s="1"/>
  <c r="C193" i="14"/>
  <c r="C206" i="5" s="1"/>
  <c r="F186" i="14"/>
  <c r="E199" i="5" s="1"/>
  <c r="C186" i="14"/>
  <c r="C199" i="5" s="1"/>
  <c r="F25" i="14"/>
  <c r="E38" i="5" s="1"/>
  <c r="C25" i="14"/>
  <c r="C38" i="5" s="1"/>
  <c r="F39" i="14"/>
  <c r="E52" i="5" s="1"/>
  <c r="C39" i="14"/>
  <c r="C52" i="5" s="1"/>
  <c r="F54" i="14"/>
  <c r="E67" i="5" s="1"/>
  <c r="C54" i="14"/>
  <c r="C67" i="5" s="1"/>
  <c r="F182" i="14"/>
  <c r="E195" i="5" s="1"/>
  <c r="C182" i="14"/>
  <c r="C195" i="5" s="1"/>
  <c r="C197" i="14"/>
  <c r="C210" i="5" s="1"/>
  <c r="F197" i="14"/>
  <c r="E210" i="5" s="1"/>
  <c r="F21" i="14"/>
  <c r="E34" i="5" s="1"/>
  <c r="C21" i="14"/>
  <c r="C34" i="5" s="1"/>
  <c r="F28" i="14"/>
  <c r="E41" i="5" s="1"/>
  <c r="C28" i="14"/>
  <c r="C41" i="5" s="1"/>
  <c r="F36" i="14"/>
  <c r="E49" i="5" s="1"/>
  <c r="C36" i="14"/>
  <c r="C49" i="5" s="1"/>
  <c r="F40" i="14"/>
  <c r="E53" i="5" s="1"/>
  <c r="C40" i="14"/>
  <c r="C53" i="5" s="1"/>
  <c r="F56" i="14"/>
  <c r="E69" i="5" s="1"/>
  <c r="C56" i="14"/>
  <c r="C69" i="5" s="1"/>
  <c r="F23" i="14"/>
  <c r="E36" i="5" s="1"/>
  <c r="C23" i="14"/>
  <c r="C36" i="5" s="1"/>
  <c r="F47" i="14"/>
  <c r="E60" i="5" s="1"/>
  <c r="C47" i="14"/>
  <c r="C60" i="5" s="1"/>
  <c r="F55" i="14"/>
  <c r="E68" i="5" s="1"/>
  <c r="C55" i="14"/>
  <c r="C68" i="5" s="1"/>
  <c r="F35" i="14"/>
  <c r="E48" i="5" s="1"/>
  <c r="C35" i="14"/>
  <c r="C48" i="5" s="1"/>
  <c r="F180" i="14"/>
  <c r="E193" i="5" s="1"/>
  <c r="C180" i="14"/>
  <c r="C193" i="5" s="1"/>
  <c r="C27" i="14"/>
  <c r="C40" i="5" s="1"/>
  <c r="F27" i="14"/>
  <c r="E40" i="5" s="1"/>
  <c r="F179" i="14"/>
  <c r="E192" i="5" s="1"/>
  <c r="C179" i="14"/>
  <c r="C192" i="5" s="1"/>
  <c r="F176" i="14"/>
  <c r="E189" i="5" s="1"/>
  <c r="C176" i="14"/>
  <c r="C189" i="5" s="1"/>
  <c r="F192" i="14"/>
  <c r="E205" i="5" s="1"/>
  <c r="C192" i="14"/>
  <c r="C205" i="5" s="1"/>
  <c r="F187" i="14"/>
  <c r="E200" i="5" s="1"/>
  <c r="C187" i="14"/>
  <c r="C200" i="5" s="1"/>
  <c r="F189" i="14"/>
  <c r="E202" i="5" s="1"/>
  <c r="C189" i="14"/>
  <c r="C202" i="5" s="1"/>
  <c r="F186" i="5"/>
  <c r="J186" i="5"/>
  <c r="G349" i="14"/>
  <c r="G357" i="14"/>
  <c r="G361" i="14"/>
  <c r="G365" i="14"/>
  <c r="G369" i="14"/>
  <c r="G373" i="14"/>
  <c r="G377" i="14"/>
  <c r="G381" i="14"/>
  <c r="G385" i="14"/>
  <c r="G389" i="14"/>
  <c r="G393" i="14"/>
  <c r="G397" i="14"/>
  <c r="G250" i="14"/>
  <c r="G258" i="14"/>
  <c r="G266" i="14"/>
  <c r="G272" i="14"/>
  <c r="G288" i="14"/>
  <c r="G259" i="14"/>
  <c r="G279" i="14"/>
  <c r="G289" i="14"/>
  <c r="G306" i="14"/>
  <c r="G330" i="14"/>
  <c r="G406" i="14"/>
  <c r="G274" i="14"/>
  <c r="G296" i="14"/>
  <c r="G318" i="14"/>
  <c r="G340" i="14"/>
  <c r="G412" i="14"/>
  <c r="G303" i="14"/>
  <c r="G281" i="14"/>
  <c r="G270" i="14"/>
  <c r="G321" i="14"/>
  <c r="G278" i="14"/>
  <c r="G402" i="14"/>
  <c r="G342" i="14"/>
  <c r="G322" i="14"/>
  <c r="G418" i="14"/>
  <c r="G426" i="14"/>
  <c r="G423" i="14"/>
  <c r="G411" i="14"/>
  <c r="G319" i="14"/>
  <c r="G353" i="14"/>
  <c r="G323" i="14"/>
  <c r="G346" i="14"/>
  <c r="G350" i="14"/>
  <c r="G354" i="14"/>
  <c r="G358" i="14"/>
  <c r="G362" i="14"/>
  <c r="G366" i="14"/>
  <c r="G370" i="14"/>
  <c r="G374" i="14"/>
  <c r="G378" i="14"/>
  <c r="G382" i="14"/>
  <c r="G386" i="14"/>
  <c r="G390" i="14"/>
  <c r="G394" i="14"/>
  <c r="G398" i="14"/>
  <c r="G252" i="14"/>
  <c r="G260" i="14"/>
  <c r="G253" i="14"/>
  <c r="G276" i="14"/>
  <c r="G257" i="14"/>
  <c r="G267" i="14"/>
  <c r="G269" i="14"/>
  <c r="G293" i="14"/>
  <c r="G314" i="14"/>
  <c r="G336" i="14"/>
  <c r="G409" i="14"/>
  <c r="G282" i="14"/>
  <c r="G300" i="14"/>
  <c r="G324" i="14"/>
  <c r="G400" i="14"/>
  <c r="G273" i="14"/>
  <c r="G317" i="14"/>
  <c r="G291" i="14"/>
  <c r="G285" i="14"/>
  <c r="G333" i="14"/>
  <c r="G308" i="14"/>
  <c r="G290" i="14"/>
  <c r="G337" i="14"/>
  <c r="G410" i="14"/>
  <c r="G416" i="14"/>
  <c r="G425" i="14"/>
  <c r="G424" i="14"/>
  <c r="G345" i="14"/>
  <c r="G307" i="14"/>
  <c r="G339" i="14"/>
  <c r="G311" i="14"/>
  <c r="G327" i="14"/>
  <c r="G343" i="14"/>
  <c r="G347" i="14"/>
  <c r="G351" i="14"/>
  <c r="G355" i="14"/>
  <c r="G359" i="14"/>
  <c r="G363" i="14"/>
  <c r="G367" i="14"/>
  <c r="G371" i="14"/>
  <c r="G375" i="14"/>
  <c r="G379" i="14"/>
  <c r="G383" i="14"/>
  <c r="G387" i="14"/>
  <c r="G391" i="14"/>
  <c r="G395" i="14"/>
  <c r="G309" i="14"/>
  <c r="G254" i="14"/>
  <c r="G262" i="14"/>
  <c r="G261" i="14"/>
  <c r="G280" i="14"/>
  <c r="G265" i="14"/>
  <c r="G271" i="14"/>
  <c r="G277" i="14"/>
  <c r="G297" i="14"/>
  <c r="G320" i="14"/>
  <c r="G341" i="14"/>
  <c r="G413" i="14"/>
  <c r="G287" i="14"/>
  <c r="G304" i="14"/>
  <c r="G329" i="14"/>
  <c r="G405" i="14"/>
  <c r="G286" i="14"/>
  <c r="G328" i="14"/>
  <c r="G299" i="14"/>
  <c r="G294" i="14"/>
  <c r="G399" i="14"/>
  <c r="G326" i="14"/>
  <c r="G316" i="14"/>
  <c r="G302" i="14"/>
  <c r="G419" i="14"/>
  <c r="G422" i="14"/>
  <c r="G421" i="14"/>
  <c r="G414" i="14"/>
  <c r="G335" i="14"/>
  <c r="G315" i="14"/>
  <c r="G331" i="14"/>
  <c r="G344" i="14"/>
  <c r="G348" i="14"/>
  <c r="G352" i="14"/>
  <c r="G356" i="14"/>
  <c r="G360" i="14"/>
  <c r="G364" i="14"/>
  <c r="G368" i="14"/>
  <c r="G372" i="14"/>
  <c r="G376" i="14"/>
  <c r="G380" i="14"/>
  <c r="G384" i="14"/>
  <c r="G388" i="14"/>
  <c r="G392" i="14"/>
  <c r="G396" i="14"/>
  <c r="G249" i="14"/>
  <c r="G313" i="14"/>
  <c r="G256" i="14"/>
  <c r="G264" i="14"/>
  <c r="G268" i="14"/>
  <c r="G284" i="14"/>
  <c r="G251" i="14"/>
  <c r="G275" i="14"/>
  <c r="G283" i="14"/>
  <c r="G301" i="14"/>
  <c r="G325" i="14"/>
  <c r="G403" i="14"/>
  <c r="G263" i="14"/>
  <c r="G292" i="14"/>
  <c r="G312" i="14"/>
  <c r="G334" i="14"/>
  <c r="G408" i="14"/>
  <c r="G295" i="14"/>
  <c r="G255" i="14"/>
  <c r="G310" i="14"/>
  <c r="G298" i="14"/>
  <c r="G407" i="14"/>
  <c r="G338" i="14"/>
  <c r="G332" i="14"/>
  <c r="G404" i="14"/>
  <c r="G420" i="14"/>
  <c r="G415" i="14"/>
  <c r="G417" i="14"/>
  <c r="G305" i="14"/>
  <c r="C31" i="1"/>
  <c r="B199" i="14"/>
  <c r="D426" i="14"/>
  <c r="C30" i="1"/>
  <c r="B60" i="1"/>
  <c r="B61" i="1"/>
  <c r="B37" i="6"/>
  <c r="C198" i="5" l="1"/>
  <c r="B54" i="13"/>
  <c r="I186" i="5"/>
  <c r="C69" i="7"/>
  <c r="C70" i="7"/>
  <c r="C68" i="7"/>
  <c r="Q37" i="14"/>
  <c r="C66" i="7"/>
  <c r="Q42" i="14"/>
  <c r="Q35" i="14"/>
  <c r="C64" i="7"/>
  <c r="C71" i="7"/>
  <c r="C81" i="7"/>
  <c r="O51" i="14"/>
  <c r="C77" i="7"/>
  <c r="O47" i="14"/>
  <c r="C75" i="7"/>
  <c r="O45" i="14"/>
  <c r="C76" i="7"/>
  <c r="O46" i="14"/>
  <c r="C79" i="7"/>
  <c r="O49" i="14"/>
  <c r="C74" i="7"/>
  <c r="O44" i="14"/>
  <c r="C80" i="7"/>
  <c r="O50" i="14"/>
  <c r="C78" i="7"/>
  <c r="O48" i="14"/>
  <c r="C73" i="7"/>
  <c r="O43" i="14"/>
  <c r="L64" i="5"/>
  <c r="K48" i="5"/>
  <c r="G48" i="5"/>
  <c r="K98" i="5"/>
  <c r="G98" i="5"/>
  <c r="K113" i="5"/>
  <c r="G113" i="5"/>
  <c r="K128" i="5"/>
  <c r="G128" i="5"/>
  <c r="K58" i="5"/>
  <c r="G58" i="5"/>
  <c r="K163" i="5"/>
  <c r="G163" i="5"/>
  <c r="K208" i="5"/>
  <c r="G208" i="5"/>
  <c r="K103" i="5"/>
  <c r="G103" i="5"/>
  <c r="K158" i="5"/>
  <c r="G158" i="5"/>
  <c r="K202" i="5"/>
  <c r="G202" i="5"/>
  <c r="K205" i="5"/>
  <c r="G205" i="5"/>
  <c r="K117" i="5"/>
  <c r="G117" i="5"/>
  <c r="K95" i="5"/>
  <c r="G95" i="5"/>
  <c r="K80" i="5"/>
  <c r="G80" i="5"/>
  <c r="F97" i="5"/>
  <c r="K97" i="5"/>
  <c r="G97" i="5"/>
  <c r="K110" i="5"/>
  <c r="G110" i="5"/>
  <c r="K60" i="5"/>
  <c r="G60" i="5"/>
  <c r="K69" i="5"/>
  <c r="G69" i="5"/>
  <c r="K41" i="5"/>
  <c r="G41" i="5"/>
  <c r="K181" i="5"/>
  <c r="G181" i="5"/>
  <c r="K169" i="5"/>
  <c r="G169" i="5"/>
  <c r="K161" i="5"/>
  <c r="G161" i="5"/>
  <c r="K149" i="5"/>
  <c r="G149" i="5"/>
  <c r="K141" i="5"/>
  <c r="G141" i="5"/>
  <c r="K129" i="5"/>
  <c r="G129" i="5"/>
  <c r="K100" i="5"/>
  <c r="G100" i="5"/>
  <c r="K199" i="5"/>
  <c r="G199" i="5"/>
  <c r="K207" i="5"/>
  <c r="G207" i="5"/>
  <c r="K87" i="5"/>
  <c r="G87" i="5"/>
  <c r="K111" i="5"/>
  <c r="G111" i="5"/>
  <c r="K79" i="5"/>
  <c r="G79" i="5"/>
  <c r="K71" i="5"/>
  <c r="G71" i="5"/>
  <c r="K114" i="5"/>
  <c r="G114" i="5"/>
  <c r="K72" i="5"/>
  <c r="G72" i="5"/>
  <c r="K105" i="5"/>
  <c r="G105" i="5"/>
  <c r="K62" i="5"/>
  <c r="G62" i="5"/>
  <c r="K50" i="5"/>
  <c r="G50" i="5"/>
  <c r="K46" i="5"/>
  <c r="G46" i="5"/>
  <c r="K39" i="5"/>
  <c r="G39" i="5"/>
  <c r="K180" i="5"/>
  <c r="G180" i="5"/>
  <c r="G172" i="5"/>
  <c r="K160" i="5"/>
  <c r="G160" i="5"/>
  <c r="K152" i="5"/>
  <c r="G152" i="5"/>
  <c r="K140" i="5"/>
  <c r="G140" i="5"/>
  <c r="K132" i="5"/>
  <c r="G132" i="5"/>
  <c r="K209" i="5"/>
  <c r="G209" i="5"/>
  <c r="K201" i="5"/>
  <c r="G201" i="5"/>
  <c r="K122" i="5"/>
  <c r="G122" i="5"/>
  <c r="K70" i="5"/>
  <c r="G70" i="5"/>
  <c r="K102" i="5"/>
  <c r="G102" i="5"/>
  <c r="K109" i="5"/>
  <c r="G109" i="5"/>
  <c r="K67" i="5"/>
  <c r="G67" i="5"/>
  <c r="K121" i="5"/>
  <c r="G121" i="5"/>
  <c r="K54" i="5"/>
  <c r="G54" i="5"/>
  <c r="K42" i="5"/>
  <c r="G42" i="5"/>
  <c r="K45" i="5"/>
  <c r="G45" i="5"/>
  <c r="K179" i="5"/>
  <c r="G179" i="5"/>
  <c r="K171" i="5"/>
  <c r="G171" i="5"/>
  <c r="K159" i="5"/>
  <c r="G159" i="5"/>
  <c r="K151" i="5"/>
  <c r="G151" i="5"/>
  <c r="K139" i="5"/>
  <c r="G139" i="5"/>
  <c r="K131" i="5"/>
  <c r="G131" i="5"/>
  <c r="K92" i="5"/>
  <c r="G92" i="5"/>
  <c r="K211" i="5"/>
  <c r="G211" i="5"/>
  <c r="K127" i="5"/>
  <c r="G127" i="5"/>
  <c r="K106" i="5"/>
  <c r="G106" i="5"/>
  <c r="K66" i="5"/>
  <c r="G66" i="5"/>
  <c r="K125" i="5"/>
  <c r="G125" i="5"/>
  <c r="K59" i="5"/>
  <c r="G59" i="5"/>
  <c r="K115" i="5"/>
  <c r="G115" i="5"/>
  <c r="K74" i="5"/>
  <c r="G74" i="5"/>
  <c r="K44" i="5"/>
  <c r="G44" i="5"/>
  <c r="K51" i="5"/>
  <c r="G51" i="5"/>
  <c r="K182" i="5"/>
  <c r="G182" i="5"/>
  <c r="K170" i="5"/>
  <c r="G170" i="5"/>
  <c r="K162" i="5"/>
  <c r="G162" i="5"/>
  <c r="K150" i="5"/>
  <c r="G150" i="5"/>
  <c r="K142" i="5"/>
  <c r="G142" i="5"/>
  <c r="K130" i="5"/>
  <c r="G130" i="5"/>
  <c r="K104" i="5"/>
  <c r="G104" i="5"/>
  <c r="K123" i="5"/>
  <c r="G123" i="5"/>
  <c r="K188" i="5"/>
  <c r="G188" i="5"/>
  <c r="G173" i="5"/>
  <c r="K198" i="5"/>
  <c r="G198" i="5"/>
  <c r="K93" i="5"/>
  <c r="G93" i="5"/>
  <c r="K78" i="5"/>
  <c r="G78" i="5"/>
  <c r="K143" i="5"/>
  <c r="G143" i="5"/>
  <c r="K203" i="5"/>
  <c r="G203" i="5"/>
  <c r="K73" i="5"/>
  <c r="G73" i="5"/>
  <c r="K83" i="5"/>
  <c r="G83" i="5"/>
  <c r="K68" i="5"/>
  <c r="G68" i="5"/>
  <c r="K153" i="5"/>
  <c r="G153" i="5"/>
  <c r="K168" i="5"/>
  <c r="G168" i="5"/>
  <c r="K118" i="5"/>
  <c r="G118" i="5"/>
  <c r="K38" i="5"/>
  <c r="G38" i="5"/>
  <c r="K108" i="5"/>
  <c r="G108" i="5"/>
  <c r="K63" i="5"/>
  <c r="G63" i="5"/>
  <c r="K43" i="5"/>
  <c r="G43" i="5"/>
  <c r="K90" i="5"/>
  <c r="G90" i="5"/>
  <c r="K200" i="5"/>
  <c r="G200" i="5"/>
  <c r="K189" i="5"/>
  <c r="G189" i="5"/>
  <c r="K192" i="5"/>
  <c r="G192" i="5"/>
  <c r="K40" i="5"/>
  <c r="G40" i="5"/>
  <c r="K119" i="5"/>
  <c r="G119" i="5"/>
  <c r="K77" i="5"/>
  <c r="G77" i="5"/>
  <c r="K86" i="5"/>
  <c r="G86" i="5"/>
  <c r="K36" i="5"/>
  <c r="G36" i="5"/>
  <c r="K49" i="5"/>
  <c r="G49" i="5"/>
  <c r="K34" i="5"/>
  <c r="G34" i="5"/>
  <c r="K177" i="5"/>
  <c r="G177" i="5"/>
  <c r="K165" i="5"/>
  <c r="G165" i="5"/>
  <c r="K157" i="5"/>
  <c r="G157" i="5"/>
  <c r="K145" i="5"/>
  <c r="G145" i="5"/>
  <c r="K137" i="5"/>
  <c r="G137" i="5"/>
  <c r="K116" i="5"/>
  <c r="G116" i="5"/>
  <c r="K96" i="5"/>
  <c r="G96" i="5"/>
  <c r="K206" i="5"/>
  <c r="G206" i="5"/>
  <c r="K204" i="5"/>
  <c r="G204" i="5"/>
  <c r="K101" i="5"/>
  <c r="G101" i="5"/>
  <c r="K184" i="5"/>
  <c r="G184" i="5"/>
  <c r="K84" i="5"/>
  <c r="G84" i="5"/>
  <c r="K190" i="5"/>
  <c r="G190" i="5"/>
  <c r="K89" i="5"/>
  <c r="G89" i="5"/>
  <c r="K126" i="5"/>
  <c r="G126" i="5"/>
  <c r="K82" i="5"/>
  <c r="G82" i="5"/>
  <c r="K56" i="5"/>
  <c r="G56" i="5"/>
  <c r="K65" i="5"/>
  <c r="G65" i="5"/>
  <c r="K47" i="5"/>
  <c r="G47" i="5"/>
  <c r="K94" i="5"/>
  <c r="G94" i="5"/>
  <c r="K176" i="5"/>
  <c r="G176" i="5"/>
  <c r="K164" i="5"/>
  <c r="G164" i="5"/>
  <c r="K156" i="5"/>
  <c r="G156" i="5"/>
  <c r="K144" i="5"/>
  <c r="G144" i="5"/>
  <c r="K136" i="5"/>
  <c r="G136" i="5"/>
  <c r="K112" i="5"/>
  <c r="G112" i="5"/>
  <c r="K210" i="5"/>
  <c r="G210" i="5"/>
  <c r="K195" i="5"/>
  <c r="G195" i="5"/>
  <c r="K75" i="5"/>
  <c r="G75" i="5"/>
  <c r="K76" i="5"/>
  <c r="G76" i="5"/>
  <c r="K185" i="5"/>
  <c r="G185" i="5"/>
  <c r="K85" i="5"/>
  <c r="G85" i="5"/>
  <c r="K194" i="5"/>
  <c r="G194" i="5"/>
  <c r="K99" i="5"/>
  <c r="G99" i="5"/>
  <c r="K52" i="5"/>
  <c r="G52" i="5"/>
  <c r="K61" i="5"/>
  <c r="G61" i="5"/>
  <c r="K37" i="5"/>
  <c r="G37" i="5"/>
  <c r="K175" i="5"/>
  <c r="G175" i="5"/>
  <c r="K167" i="5"/>
  <c r="G167" i="5"/>
  <c r="K155" i="5"/>
  <c r="G155" i="5"/>
  <c r="K147" i="5"/>
  <c r="G147" i="5"/>
  <c r="K135" i="5"/>
  <c r="G135" i="5"/>
  <c r="K124" i="5"/>
  <c r="G124" i="5"/>
  <c r="K196" i="5"/>
  <c r="G196" i="5"/>
  <c r="K107" i="5"/>
  <c r="G107" i="5"/>
  <c r="K187" i="5"/>
  <c r="G187" i="5"/>
  <c r="K55" i="5"/>
  <c r="G55" i="5"/>
  <c r="K197" i="5"/>
  <c r="G197" i="5"/>
  <c r="K81" i="5"/>
  <c r="G81" i="5"/>
  <c r="K191" i="5"/>
  <c r="G191" i="5"/>
  <c r="K91" i="5"/>
  <c r="G91" i="5"/>
  <c r="K64" i="5"/>
  <c r="G64" i="5"/>
  <c r="K57" i="5"/>
  <c r="G57" i="5"/>
  <c r="K35" i="5"/>
  <c r="G35" i="5"/>
  <c r="K174" i="5"/>
  <c r="G174" i="5"/>
  <c r="K166" i="5"/>
  <c r="G166" i="5"/>
  <c r="K154" i="5"/>
  <c r="G154" i="5"/>
  <c r="K146" i="5"/>
  <c r="G146" i="5"/>
  <c r="K134" i="5"/>
  <c r="G134" i="5"/>
  <c r="K120" i="5"/>
  <c r="G120" i="5"/>
  <c r="K193" i="5"/>
  <c r="G193" i="5"/>
  <c r="K53" i="5"/>
  <c r="G53" i="5"/>
  <c r="K133" i="5"/>
  <c r="G133" i="5"/>
  <c r="K148" i="5"/>
  <c r="G148" i="5"/>
  <c r="K183" i="5"/>
  <c r="G183" i="5"/>
  <c r="K138" i="5"/>
  <c r="G138" i="5"/>
  <c r="K88" i="5"/>
  <c r="G88" i="5"/>
  <c r="K178" i="5"/>
  <c r="G178" i="5"/>
  <c r="G248" i="14"/>
  <c r="C20" i="14"/>
  <c r="C33" i="5" s="1"/>
  <c r="F20" i="14"/>
  <c r="E33" i="5" s="1"/>
  <c r="D33" i="5"/>
  <c r="C46" i="16"/>
  <c r="Q45" i="14"/>
  <c r="Q53" i="14"/>
  <c r="O53" i="14"/>
  <c r="B52" i="6"/>
  <c r="G49" i="6" s="1"/>
  <c r="G50" i="6" s="1"/>
  <c r="B42" i="6"/>
  <c r="G39" i="6" s="1"/>
  <c r="G40" i="6" s="1"/>
  <c r="L197" i="5"/>
  <c r="L83" i="5"/>
  <c r="L99" i="5"/>
  <c r="L144" i="5"/>
  <c r="L90" i="5"/>
  <c r="L77" i="5"/>
  <c r="L94" i="5"/>
  <c r="L84" i="5"/>
  <c r="L93" i="5"/>
  <c r="L148" i="5"/>
  <c r="L203" i="5"/>
  <c r="L208" i="5"/>
  <c r="L168" i="5"/>
  <c r="L152" i="5"/>
  <c r="L185" i="5"/>
  <c r="L143" i="5"/>
  <c r="L119" i="5"/>
  <c r="L111" i="5"/>
  <c r="L207" i="5"/>
  <c r="L141" i="5"/>
  <c r="L140" i="5"/>
  <c r="L193" i="5"/>
  <c r="L199" i="5"/>
  <c r="L42" i="5"/>
  <c r="L181" i="5"/>
  <c r="L149" i="5"/>
  <c r="L133" i="5"/>
  <c r="L43" i="5"/>
  <c r="O38" i="14"/>
  <c r="O52" i="14"/>
  <c r="Q52" i="14"/>
  <c r="O24" i="14"/>
  <c r="Q24" i="14"/>
  <c r="Q48" i="14"/>
  <c r="O40" i="14"/>
  <c r="O29" i="14"/>
  <c r="O36" i="14"/>
  <c r="Q47" i="14"/>
  <c r="O39" i="14"/>
  <c r="O21" i="14"/>
  <c r="Q21" i="14"/>
  <c r="O35" i="14"/>
  <c r="O54" i="14"/>
  <c r="Q54" i="14"/>
  <c r="O31" i="14"/>
  <c r="O28" i="14"/>
  <c r="O41" i="14"/>
  <c r="Q46" i="14"/>
  <c r="Q51" i="14"/>
  <c r="Q49" i="14"/>
  <c r="O30" i="14"/>
  <c r="O23" i="14"/>
  <c r="Q23" i="14"/>
  <c r="O27" i="14"/>
  <c r="Q27" i="14"/>
  <c r="O33" i="14"/>
  <c r="Q44" i="14"/>
  <c r="O37" i="14"/>
  <c r="O42" i="14"/>
  <c r="Q43" i="14"/>
  <c r="O32" i="14"/>
  <c r="Q50" i="14"/>
  <c r="O26" i="14"/>
  <c r="Q26" i="14"/>
  <c r="O34" i="14"/>
  <c r="O22" i="14"/>
  <c r="Q22" i="14"/>
  <c r="O20" i="14"/>
  <c r="Q20" i="14"/>
  <c r="L163" i="5"/>
  <c r="L173" i="5"/>
  <c r="L73" i="5"/>
  <c r="L165" i="5"/>
  <c r="L34" i="5"/>
  <c r="L136" i="5"/>
  <c r="L204" i="5"/>
  <c r="L61" i="5"/>
  <c r="L81" i="5"/>
  <c r="L191" i="5"/>
  <c r="L154" i="5"/>
  <c r="L138" i="5"/>
  <c r="L155" i="5"/>
  <c r="L200" i="5"/>
  <c r="L189" i="5"/>
  <c r="L49" i="5"/>
  <c r="L157" i="5"/>
  <c r="L190" i="5"/>
  <c r="L198" i="5"/>
  <c r="L65" i="5"/>
  <c r="L78" i="5"/>
  <c r="L37" i="5"/>
  <c r="L196" i="5"/>
  <c r="L57" i="5"/>
  <c r="L167" i="5"/>
  <c r="L118" i="5"/>
  <c r="L187" i="5"/>
  <c r="L174" i="5"/>
  <c r="L75" i="5"/>
  <c r="L91" i="5"/>
  <c r="L86" i="5"/>
  <c r="L82" i="5"/>
  <c r="L164" i="5"/>
  <c r="L156" i="5"/>
  <c r="L112" i="5"/>
  <c r="L41" i="5"/>
  <c r="C172" i="5"/>
  <c r="K172" i="5" s="1"/>
  <c r="L44" i="5"/>
  <c r="L158" i="5"/>
  <c r="L142" i="5"/>
  <c r="L58" i="5"/>
  <c r="L171" i="5"/>
  <c r="L98" i="5"/>
  <c r="C173" i="5"/>
  <c r="K173" i="5" s="1"/>
  <c r="L180" i="5"/>
  <c r="L172" i="5"/>
  <c r="L201" i="5"/>
  <c r="L211" i="5"/>
  <c r="L170" i="5"/>
  <c r="L70" i="5"/>
  <c r="L54" i="5"/>
  <c r="L45" i="5"/>
  <c r="L115" i="5"/>
  <c r="L205" i="5"/>
  <c r="L95" i="5"/>
  <c r="L69" i="5"/>
  <c r="L62" i="5"/>
  <c r="L46" i="5"/>
  <c r="L121" i="5"/>
  <c r="L127" i="5"/>
  <c r="L66" i="5"/>
  <c r="L202" i="5"/>
  <c r="L117" i="5"/>
  <c r="L188" i="5"/>
  <c r="L60" i="5"/>
  <c r="L38" i="5"/>
  <c r="L147" i="5"/>
  <c r="L206" i="5"/>
  <c r="L101" i="5"/>
  <c r="L56" i="5"/>
  <c r="L47" i="5"/>
  <c r="L102" i="5"/>
  <c r="L151" i="5"/>
  <c r="L107" i="5"/>
  <c r="L106" i="5"/>
  <c r="L59" i="5"/>
  <c r="L74" i="5"/>
  <c r="L166" i="5"/>
  <c r="L209" i="5"/>
  <c r="L109" i="5"/>
  <c r="L40" i="5"/>
  <c r="L48" i="5"/>
  <c r="L110" i="5"/>
  <c r="L68" i="5"/>
  <c r="L53" i="5"/>
  <c r="L169" i="5"/>
  <c r="L153" i="5"/>
  <c r="L137" i="5"/>
  <c r="L100" i="5"/>
  <c r="L96" i="5"/>
  <c r="L76" i="5"/>
  <c r="L52" i="5"/>
  <c r="L159" i="5"/>
  <c r="L87" i="5"/>
  <c r="L79" i="5"/>
  <c r="L132" i="5"/>
  <c r="L92" i="5"/>
  <c r="L63" i="5"/>
  <c r="L88" i="5"/>
  <c r="L51" i="5"/>
  <c r="L35" i="5"/>
  <c r="L162" i="5"/>
  <c r="L104" i="5"/>
  <c r="H186" i="5"/>
  <c r="L123" i="5"/>
  <c r="L192" i="5"/>
  <c r="L80" i="5"/>
  <c r="L97" i="5"/>
  <c r="L36" i="5"/>
  <c r="L177" i="5"/>
  <c r="L161" i="5"/>
  <c r="L145" i="5"/>
  <c r="L129" i="5"/>
  <c r="L116" i="5"/>
  <c r="L128" i="5"/>
  <c r="L210" i="5"/>
  <c r="L195" i="5"/>
  <c r="L67" i="5"/>
  <c r="L179" i="5"/>
  <c r="L135" i="5"/>
  <c r="L108" i="5"/>
  <c r="L184" i="5"/>
  <c r="L113" i="5"/>
  <c r="L71" i="5"/>
  <c r="L114" i="5"/>
  <c r="L89" i="5"/>
  <c r="L72" i="5"/>
  <c r="L126" i="5"/>
  <c r="L105" i="5"/>
  <c r="L50" i="5"/>
  <c r="L39" i="5"/>
  <c r="L176" i="5"/>
  <c r="L160" i="5"/>
  <c r="L85" i="5"/>
  <c r="L175" i="5"/>
  <c r="L139" i="5"/>
  <c r="L124" i="5"/>
  <c r="L55" i="5"/>
  <c r="L125" i="5"/>
  <c r="L103" i="5"/>
  <c r="L182" i="5"/>
  <c r="L178" i="5"/>
  <c r="L150" i="5"/>
  <c r="L146" i="5"/>
  <c r="L134" i="5"/>
  <c r="L130" i="5"/>
  <c r="L120" i="5"/>
  <c r="L122" i="5"/>
  <c r="L194" i="5"/>
  <c r="L183" i="5"/>
  <c r="L131" i="5"/>
  <c r="F192" i="5"/>
  <c r="H192" i="5"/>
  <c r="J192" i="5"/>
  <c r="H80" i="5"/>
  <c r="F80" i="5"/>
  <c r="J80" i="5"/>
  <c r="H202" i="5"/>
  <c r="F202" i="5"/>
  <c r="I202" i="5" s="1"/>
  <c r="J202" i="5"/>
  <c r="H117" i="5"/>
  <c r="F117" i="5"/>
  <c r="J117" i="5"/>
  <c r="H48" i="5"/>
  <c r="F48" i="5"/>
  <c r="J48" i="5"/>
  <c r="F188" i="5"/>
  <c r="H188" i="5"/>
  <c r="J188" i="5"/>
  <c r="F68" i="5"/>
  <c r="H68" i="5"/>
  <c r="J68" i="5"/>
  <c r="F60" i="5"/>
  <c r="H60" i="5"/>
  <c r="J60" i="5"/>
  <c r="H53" i="5"/>
  <c r="F53" i="5"/>
  <c r="J53" i="5"/>
  <c r="H169" i="5"/>
  <c r="F169" i="5"/>
  <c r="J169" i="5"/>
  <c r="H153" i="5"/>
  <c r="F153" i="5"/>
  <c r="J153" i="5"/>
  <c r="H137" i="5"/>
  <c r="F137" i="5"/>
  <c r="J137" i="5"/>
  <c r="F100" i="5"/>
  <c r="H100" i="5"/>
  <c r="J100" i="5"/>
  <c r="H96" i="5"/>
  <c r="F96" i="5"/>
  <c r="J96" i="5"/>
  <c r="H210" i="5"/>
  <c r="F210" i="5"/>
  <c r="I210" i="5" s="1"/>
  <c r="J210" i="5"/>
  <c r="F76" i="5"/>
  <c r="H76" i="5"/>
  <c r="J76" i="5"/>
  <c r="F52" i="5"/>
  <c r="H52" i="5"/>
  <c r="J52" i="5"/>
  <c r="H38" i="5"/>
  <c r="F38" i="5"/>
  <c r="J38" i="5"/>
  <c r="H147" i="5"/>
  <c r="F147" i="5"/>
  <c r="J147" i="5"/>
  <c r="H206" i="5"/>
  <c r="F206" i="5"/>
  <c r="I206" i="5" s="1"/>
  <c r="J206" i="5"/>
  <c r="F87" i="5"/>
  <c r="H87" i="5"/>
  <c r="J87" i="5"/>
  <c r="H101" i="5"/>
  <c r="F101" i="5"/>
  <c r="J101" i="5"/>
  <c r="F71" i="5"/>
  <c r="H71" i="5"/>
  <c r="J71" i="5"/>
  <c r="F114" i="5"/>
  <c r="H114" i="5"/>
  <c r="J114" i="5"/>
  <c r="H126" i="5"/>
  <c r="F126" i="5"/>
  <c r="J126" i="5"/>
  <c r="F56" i="5"/>
  <c r="H56" i="5"/>
  <c r="J56" i="5"/>
  <c r="H47" i="5"/>
  <c r="F47" i="5"/>
  <c r="J47" i="5"/>
  <c r="H102" i="5"/>
  <c r="F102" i="5"/>
  <c r="J102" i="5"/>
  <c r="H175" i="5"/>
  <c r="F175" i="5"/>
  <c r="J175" i="5"/>
  <c r="F151" i="5"/>
  <c r="H151" i="5"/>
  <c r="J151" i="5"/>
  <c r="F92" i="5"/>
  <c r="H92" i="5"/>
  <c r="J92" i="5"/>
  <c r="H107" i="5"/>
  <c r="F107" i="5"/>
  <c r="J107" i="5"/>
  <c r="F63" i="5"/>
  <c r="H63" i="5"/>
  <c r="J63" i="5"/>
  <c r="H106" i="5"/>
  <c r="F106" i="5"/>
  <c r="J106" i="5"/>
  <c r="F88" i="5"/>
  <c r="H88" i="5"/>
  <c r="J88" i="5"/>
  <c r="H59" i="5"/>
  <c r="F59" i="5"/>
  <c r="J59" i="5"/>
  <c r="H74" i="5"/>
  <c r="F74" i="5"/>
  <c r="J74" i="5"/>
  <c r="H182" i="5"/>
  <c r="F182" i="5"/>
  <c r="J182" i="5"/>
  <c r="H166" i="5"/>
  <c r="F166" i="5"/>
  <c r="J166" i="5"/>
  <c r="H150" i="5"/>
  <c r="F150" i="5"/>
  <c r="J150" i="5"/>
  <c r="H134" i="5"/>
  <c r="F134" i="5"/>
  <c r="J134" i="5"/>
  <c r="F104" i="5"/>
  <c r="H104" i="5"/>
  <c r="J104" i="5"/>
  <c r="H209" i="5"/>
  <c r="F209" i="5"/>
  <c r="I209" i="5" s="1"/>
  <c r="J209" i="5"/>
  <c r="H109" i="5"/>
  <c r="F109" i="5"/>
  <c r="J109" i="5"/>
  <c r="F189" i="5"/>
  <c r="H189" i="5"/>
  <c r="J189" i="5"/>
  <c r="H83" i="5"/>
  <c r="F83" i="5"/>
  <c r="J83" i="5"/>
  <c r="F34" i="5"/>
  <c r="J34" i="5"/>
  <c r="F108" i="5"/>
  <c r="H108" i="5"/>
  <c r="J108" i="5"/>
  <c r="F72" i="5"/>
  <c r="H72" i="5"/>
  <c r="J72" i="5"/>
  <c r="H62" i="5"/>
  <c r="F62" i="5"/>
  <c r="J62" i="5"/>
  <c r="H46" i="5"/>
  <c r="F46" i="5"/>
  <c r="J46" i="5"/>
  <c r="F180" i="5"/>
  <c r="H180" i="5"/>
  <c r="J180" i="5"/>
  <c r="H176" i="5"/>
  <c r="F176" i="5"/>
  <c r="J176" i="5"/>
  <c r="F172" i="5"/>
  <c r="H172" i="5"/>
  <c r="J172" i="5"/>
  <c r="H160" i="5"/>
  <c r="F160" i="5"/>
  <c r="J160" i="5"/>
  <c r="F156" i="5"/>
  <c r="H156" i="5"/>
  <c r="J156" i="5"/>
  <c r="H118" i="5"/>
  <c r="F118" i="5"/>
  <c r="J118" i="5"/>
  <c r="F78" i="5"/>
  <c r="H78" i="5"/>
  <c r="J78" i="5"/>
  <c r="F163" i="5"/>
  <c r="H163" i="5"/>
  <c r="J163" i="5"/>
  <c r="F124" i="5"/>
  <c r="H124" i="5"/>
  <c r="J124" i="5"/>
  <c r="H203" i="5"/>
  <c r="F203" i="5"/>
  <c r="I203" i="5" s="1"/>
  <c r="J203" i="5"/>
  <c r="H103" i="5"/>
  <c r="F103" i="5"/>
  <c r="J103" i="5"/>
  <c r="H81" i="5"/>
  <c r="F81" i="5"/>
  <c r="J81" i="5"/>
  <c r="H91" i="5"/>
  <c r="F91" i="5"/>
  <c r="J91" i="5"/>
  <c r="H73" i="5"/>
  <c r="F73" i="5"/>
  <c r="J73" i="5"/>
  <c r="F170" i="5"/>
  <c r="H170" i="5"/>
  <c r="J170" i="5"/>
  <c r="H154" i="5"/>
  <c r="F154" i="5"/>
  <c r="J154" i="5"/>
  <c r="H138" i="5"/>
  <c r="F138" i="5"/>
  <c r="J138" i="5"/>
  <c r="F120" i="5"/>
  <c r="H120" i="5"/>
  <c r="J120" i="5"/>
  <c r="H58" i="5"/>
  <c r="F58" i="5"/>
  <c r="J58" i="5"/>
  <c r="F42" i="5"/>
  <c r="H42" i="5"/>
  <c r="J42" i="5"/>
  <c r="H155" i="5"/>
  <c r="F155" i="5"/>
  <c r="J155" i="5"/>
  <c r="F200" i="5"/>
  <c r="I200" i="5" s="1"/>
  <c r="H200" i="5"/>
  <c r="J200" i="5"/>
  <c r="F205" i="5"/>
  <c r="I205" i="5" s="1"/>
  <c r="H205" i="5"/>
  <c r="J205" i="5"/>
  <c r="H77" i="5"/>
  <c r="F77" i="5"/>
  <c r="J77" i="5"/>
  <c r="H86" i="5"/>
  <c r="F86" i="5"/>
  <c r="J86" i="5"/>
  <c r="H69" i="5"/>
  <c r="F69" i="5"/>
  <c r="J69" i="5"/>
  <c r="H41" i="5"/>
  <c r="F41" i="5"/>
  <c r="J41" i="5"/>
  <c r="F98" i="5"/>
  <c r="H98" i="5"/>
  <c r="J98" i="5"/>
  <c r="H173" i="5"/>
  <c r="F173" i="5"/>
  <c r="J173" i="5"/>
  <c r="H157" i="5"/>
  <c r="F157" i="5"/>
  <c r="J157" i="5"/>
  <c r="H141" i="5"/>
  <c r="F141" i="5"/>
  <c r="J141" i="5"/>
  <c r="F136" i="5"/>
  <c r="H136" i="5"/>
  <c r="J136" i="5"/>
  <c r="H93" i="5"/>
  <c r="F93" i="5"/>
  <c r="J93" i="5"/>
  <c r="F99" i="5"/>
  <c r="H99" i="5"/>
  <c r="J99" i="5"/>
  <c r="H167" i="5"/>
  <c r="F167" i="5"/>
  <c r="J167" i="5"/>
  <c r="H207" i="5"/>
  <c r="F207" i="5"/>
  <c r="I207" i="5" s="1"/>
  <c r="J207" i="5"/>
  <c r="F204" i="5"/>
  <c r="I204" i="5" s="1"/>
  <c r="H204" i="5"/>
  <c r="J204" i="5"/>
  <c r="H82" i="5"/>
  <c r="F82" i="5"/>
  <c r="J82" i="5"/>
  <c r="H65" i="5"/>
  <c r="F65" i="5"/>
  <c r="J65" i="5"/>
  <c r="F94" i="5"/>
  <c r="H94" i="5"/>
  <c r="J94" i="5"/>
  <c r="F164" i="5"/>
  <c r="H164" i="5"/>
  <c r="J164" i="5"/>
  <c r="F148" i="5"/>
  <c r="H148" i="5"/>
  <c r="J148" i="5"/>
  <c r="F140" i="5"/>
  <c r="H140" i="5"/>
  <c r="J140" i="5"/>
  <c r="H201" i="5"/>
  <c r="F201" i="5"/>
  <c r="I201" i="5" s="1"/>
  <c r="J201" i="5"/>
  <c r="H75" i="5"/>
  <c r="F75" i="5"/>
  <c r="J75" i="5"/>
  <c r="H121" i="5"/>
  <c r="F121" i="5"/>
  <c r="J121" i="5"/>
  <c r="H37" i="5"/>
  <c r="F37" i="5"/>
  <c r="J37" i="5"/>
  <c r="F208" i="5"/>
  <c r="I208" i="5" s="1"/>
  <c r="H208" i="5"/>
  <c r="J208" i="5"/>
  <c r="H211" i="5"/>
  <c r="F211" i="5"/>
  <c r="I211" i="5" s="1"/>
  <c r="J211" i="5"/>
  <c r="F127" i="5"/>
  <c r="H127" i="5"/>
  <c r="J127" i="5"/>
  <c r="H187" i="5"/>
  <c r="F187" i="5"/>
  <c r="J187" i="5"/>
  <c r="F66" i="5"/>
  <c r="H66" i="5"/>
  <c r="J66" i="5"/>
  <c r="H191" i="5"/>
  <c r="F191" i="5"/>
  <c r="J191" i="5"/>
  <c r="F115" i="5"/>
  <c r="H115" i="5"/>
  <c r="J115" i="5"/>
  <c r="H64" i="5"/>
  <c r="F64" i="5"/>
  <c r="J64" i="5"/>
  <c r="F44" i="5"/>
  <c r="H44" i="5"/>
  <c r="J44" i="5"/>
  <c r="H43" i="5"/>
  <c r="F43" i="5"/>
  <c r="J43" i="5"/>
  <c r="H174" i="5"/>
  <c r="F174" i="5"/>
  <c r="J174" i="5"/>
  <c r="F158" i="5"/>
  <c r="H158" i="5"/>
  <c r="J158" i="5"/>
  <c r="F142" i="5"/>
  <c r="H142" i="5"/>
  <c r="J142" i="5"/>
  <c r="H70" i="5"/>
  <c r="F70" i="5"/>
  <c r="J70" i="5"/>
  <c r="H54" i="5"/>
  <c r="F54" i="5"/>
  <c r="J54" i="5"/>
  <c r="H171" i="5"/>
  <c r="F171" i="5"/>
  <c r="J171" i="5"/>
  <c r="H90" i="5"/>
  <c r="F90" i="5"/>
  <c r="J90" i="5"/>
  <c r="H193" i="5"/>
  <c r="F193" i="5"/>
  <c r="J193" i="5"/>
  <c r="F116" i="5"/>
  <c r="H116" i="5"/>
  <c r="J116" i="5"/>
  <c r="H128" i="5"/>
  <c r="F128" i="5"/>
  <c r="J128" i="5"/>
  <c r="F199" i="5"/>
  <c r="I199" i="5" s="1"/>
  <c r="H199" i="5"/>
  <c r="J199" i="5"/>
  <c r="H111" i="5"/>
  <c r="F111" i="5"/>
  <c r="J111" i="5"/>
  <c r="F184" i="5"/>
  <c r="H184" i="5"/>
  <c r="J184" i="5"/>
  <c r="H190" i="5"/>
  <c r="F190" i="5"/>
  <c r="J190" i="5"/>
  <c r="H198" i="5"/>
  <c r="F198" i="5"/>
  <c r="J198" i="5"/>
  <c r="H123" i="5"/>
  <c r="F123" i="5"/>
  <c r="J123" i="5"/>
  <c r="H95" i="5"/>
  <c r="F95" i="5"/>
  <c r="J95" i="5"/>
  <c r="F40" i="5"/>
  <c r="H40" i="5"/>
  <c r="J40" i="5"/>
  <c r="F119" i="5"/>
  <c r="H119" i="5"/>
  <c r="J119" i="5"/>
  <c r="H97" i="5"/>
  <c r="J97" i="5"/>
  <c r="H110" i="5"/>
  <c r="F110" i="5"/>
  <c r="J110" i="5"/>
  <c r="F36" i="5"/>
  <c r="H36" i="5"/>
  <c r="J36" i="5"/>
  <c r="H49" i="5"/>
  <c r="F49" i="5"/>
  <c r="J49" i="5"/>
  <c r="H181" i="5"/>
  <c r="F181" i="5"/>
  <c r="J181" i="5"/>
  <c r="H177" i="5"/>
  <c r="F177" i="5"/>
  <c r="J177" i="5"/>
  <c r="H165" i="5"/>
  <c r="F165" i="5"/>
  <c r="J165" i="5"/>
  <c r="H161" i="5"/>
  <c r="F161" i="5"/>
  <c r="J161" i="5"/>
  <c r="H149" i="5"/>
  <c r="F149" i="5"/>
  <c r="J149" i="5"/>
  <c r="H145" i="5"/>
  <c r="F145" i="5"/>
  <c r="J145" i="5"/>
  <c r="H133" i="5"/>
  <c r="F133" i="5"/>
  <c r="J133" i="5"/>
  <c r="H129" i="5"/>
  <c r="F129" i="5"/>
  <c r="J129" i="5"/>
  <c r="H144" i="5"/>
  <c r="F144" i="5"/>
  <c r="J144" i="5"/>
  <c r="H195" i="5"/>
  <c r="F195" i="5"/>
  <c r="J195" i="5"/>
  <c r="F185" i="5"/>
  <c r="H185" i="5"/>
  <c r="J185" i="5"/>
  <c r="H67" i="5"/>
  <c r="F67" i="5"/>
  <c r="J67" i="5"/>
  <c r="F179" i="5"/>
  <c r="H179" i="5"/>
  <c r="J179" i="5"/>
  <c r="H159" i="5"/>
  <c r="F159" i="5"/>
  <c r="J159" i="5"/>
  <c r="F135" i="5"/>
  <c r="H135" i="5"/>
  <c r="J135" i="5"/>
  <c r="H79" i="5"/>
  <c r="F79" i="5"/>
  <c r="J79" i="5"/>
  <c r="F84" i="5"/>
  <c r="H84" i="5"/>
  <c r="J84" i="5"/>
  <c r="H113" i="5"/>
  <c r="F113" i="5"/>
  <c r="J113" i="5"/>
  <c r="H89" i="5"/>
  <c r="F89" i="5"/>
  <c r="J89" i="5"/>
  <c r="H105" i="5"/>
  <c r="F105" i="5"/>
  <c r="J105" i="5"/>
  <c r="F50" i="5"/>
  <c r="H50" i="5"/>
  <c r="J50" i="5"/>
  <c r="H39" i="5"/>
  <c r="F39" i="5"/>
  <c r="J39" i="5"/>
  <c r="F168" i="5"/>
  <c r="H168" i="5"/>
  <c r="J168" i="5"/>
  <c r="F152" i="5"/>
  <c r="H152" i="5"/>
  <c r="J152" i="5"/>
  <c r="F132" i="5"/>
  <c r="H132" i="5"/>
  <c r="J132" i="5"/>
  <c r="H112" i="5"/>
  <c r="F112" i="5"/>
  <c r="J112" i="5"/>
  <c r="H85" i="5"/>
  <c r="F85" i="5"/>
  <c r="J85" i="5"/>
  <c r="H61" i="5"/>
  <c r="F61" i="5"/>
  <c r="J61" i="5"/>
  <c r="H139" i="5"/>
  <c r="F139" i="5"/>
  <c r="J139" i="5"/>
  <c r="F196" i="5"/>
  <c r="H196" i="5"/>
  <c r="J196" i="5"/>
  <c r="F55" i="5"/>
  <c r="H55" i="5"/>
  <c r="J55" i="5"/>
  <c r="H197" i="5"/>
  <c r="F197" i="5"/>
  <c r="J197" i="5"/>
  <c r="H125" i="5"/>
  <c r="F125" i="5"/>
  <c r="J125" i="5"/>
  <c r="H57" i="5"/>
  <c r="F57" i="5"/>
  <c r="J57" i="5"/>
  <c r="F51" i="5"/>
  <c r="H51" i="5"/>
  <c r="J51" i="5"/>
  <c r="F35" i="5"/>
  <c r="H35" i="5"/>
  <c r="J35" i="5"/>
  <c r="F178" i="5"/>
  <c r="H178" i="5"/>
  <c r="J178" i="5"/>
  <c r="F162" i="5"/>
  <c r="H162" i="5"/>
  <c r="J162" i="5"/>
  <c r="H146" i="5"/>
  <c r="F146" i="5"/>
  <c r="J146" i="5"/>
  <c r="F130" i="5"/>
  <c r="H130" i="5"/>
  <c r="J130" i="5"/>
  <c r="H122" i="5"/>
  <c r="F122" i="5"/>
  <c r="J122" i="5"/>
  <c r="H194" i="5"/>
  <c r="F194" i="5"/>
  <c r="J194" i="5"/>
  <c r="H45" i="5"/>
  <c r="F45" i="5"/>
  <c r="J45" i="5"/>
  <c r="F183" i="5"/>
  <c r="H183" i="5"/>
  <c r="J183" i="5"/>
  <c r="H143" i="5"/>
  <c r="F143" i="5"/>
  <c r="J143" i="5"/>
  <c r="H131" i="5"/>
  <c r="F131" i="5"/>
  <c r="J131" i="5"/>
  <c r="R269" i="14"/>
  <c r="R278" i="14"/>
  <c r="R273" i="14"/>
  <c r="R267" i="14"/>
  <c r="R276" i="14"/>
  <c r="R275" i="14"/>
  <c r="R268" i="14"/>
  <c r="R277" i="14"/>
  <c r="R265" i="14"/>
  <c r="R264" i="14"/>
  <c r="R279" i="14"/>
  <c r="R254" i="14"/>
  <c r="R266" i="14"/>
  <c r="B200" i="14"/>
  <c r="D427" i="14"/>
  <c r="E199" i="14"/>
  <c r="D199" i="14" s="1"/>
  <c r="C225" i="16" s="1"/>
  <c r="R274" i="14"/>
  <c r="R271" i="14"/>
  <c r="R253" i="14"/>
  <c r="R263" i="14"/>
  <c r="R262" i="14"/>
  <c r="R261" i="14"/>
  <c r="R251" i="14"/>
  <c r="R249" i="14"/>
  <c r="R252" i="14"/>
  <c r="R258" i="14"/>
  <c r="R255" i="14"/>
  <c r="R250" i="14"/>
  <c r="B62" i="1"/>
  <c r="B64" i="1" s="1"/>
  <c r="R260" i="14"/>
  <c r="R256" i="14"/>
  <c r="R259" i="14"/>
  <c r="E30" i="1"/>
  <c r="R257" i="14"/>
  <c r="E31" i="1"/>
  <c r="B63" i="1"/>
  <c r="B65" i="1" s="1"/>
  <c r="R248" i="14"/>
  <c r="I67" i="5" l="1"/>
  <c r="I123" i="5"/>
  <c r="I142" i="5"/>
  <c r="I126" i="5"/>
  <c r="I197" i="5"/>
  <c r="I194" i="5"/>
  <c r="I178" i="5"/>
  <c r="I146" i="5"/>
  <c r="I133" i="5"/>
  <c r="I170" i="5"/>
  <c r="I81" i="5"/>
  <c r="I78" i="5"/>
  <c r="I160" i="5"/>
  <c r="I34" i="5"/>
  <c r="I109" i="5"/>
  <c r="I59" i="5"/>
  <c r="I92" i="5"/>
  <c r="I102" i="5"/>
  <c r="I71" i="5"/>
  <c r="I137" i="5"/>
  <c r="I68" i="5"/>
  <c r="I117" i="5"/>
  <c r="I36" i="5"/>
  <c r="I98" i="5"/>
  <c r="I53" i="5"/>
  <c r="I183" i="5"/>
  <c r="I122" i="5"/>
  <c r="I35" i="5"/>
  <c r="I125" i="5"/>
  <c r="I144" i="5"/>
  <c r="I181" i="5"/>
  <c r="I54" i="5"/>
  <c r="I121" i="5"/>
  <c r="I164" i="5"/>
  <c r="I82" i="5"/>
  <c r="I157" i="5"/>
  <c r="I73" i="5"/>
  <c r="I124" i="5"/>
  <c r="I118" i="5"/>
  <c r="I180" i="5"/>
  <c r="I83" i="5"/>
  <c r="I182" i="5"/>
  <c r="I63" i="5"/>
  <c r="I101" i="5"/>
  <c r="I52" i="5"/>
  <c r="I96" i="5"/>
  <c r="I192" i="5"/>
  <c r="I168" i="5"/>
  <c r="I161" i="5"/>
  <c r="I66" i="5"/>
  <c r="I93" i="5"/>
  <c r="I86" i="5"/>
  <c r="I39" i="5"/>
  <c r="I84" i="5"/>
  <c r="I145" i="5"/>
  <c r="I110" i="5"/>
  <c r="I184" i="5"/>
  <c r="I128" i="5"/>
  <c r="I115" i="5"/>
  <c r="I187" i="5"/>
  <c r="I167" i="5"/>
  <c r="I41" i="5"/>
  <c r="I58" i="5"/>
  <c r="I103" i="5"/>
  <c r="I72" i="5"/>
  <c r="I151" i="5"/>
  <c r="I47" i="5"/>
  <c r="I147" i="5"/>
  <c r="I153" i="5"/>
  <c r="I188" i="5"/>
  <c r="I135" i="5"/>
  <c r="I119" i="5"/>
  <c r="I138" i="5"/>
  <c r="I134" i="5"/>
  <c r="I131" i="5"/>
  <c r="I132" i="5"/>
  <c r="I159" i="5"/>
  <c r="I45" i="5"/>
  <c r="I162" i="5"/>
  <c r="I196" i="5"/>
  <c r="I85" i="5"/>
  <c r="I89" i="5"/>
  <c r="I165" i="5"/>
  <c r="I40" i="5"/>
  <c r="I198" i="5"/>
  <c r="I90" i="5"/>
  <c r="I158" i="5"/>
  <c r="I140" i="5"/>
  <c r="I77" i="5"/>
  <c r="I154" i="5"/>
  <c r="I172" i="5"/>
  <c r="I46" i="5"/>
  <c r="I150" i="5"/>
  <c r="I88" i="5"/>
  <c r="I107" i="5"/>
  <c r="I79" i="5"/>
  <c r="I185" i="5"/>
  <c r="I129" i="5"/>
  <c r="I49" i="5"/>
  <c r="I111" i="5"/>
  <c r="I70" i="5"/>
  <c r="I44" i="5"/>
  <c r="I191" i="5"/>
  <c r="I75" i="5"/>
  <c r="I94" i="5"/>
  <c r="I136" i="5"/>
  <c r="I173" i="5"/>
  <c r="I155" i="5"/>
  <c r="I91" i="5"/>
  <c r="I163" i="5"/>
  <c r="I74" i="5"/>
  <c r="I175" i="5"/>
  <c r="I114" i="5"/>
  <c r="I76" i="5"/>
  <c r="I60" i="5"/>
  <c r="I48" i="5"/>
  <c r="I97" i="5"/>
  <c r="I61" i="5"/>
  <c r="I193" i="5"/>
  <c r="I43" i="5"/>
  <c r="I143" i="5"/>
  <c r="I130" i="5"/>
  <c r="I139" i="5"/>
  <c r="I152" i="5"/>
  <c r="I149" i="5"/>
  <c r="I95" i="5"/>
  <c r="I174" i="5"/>
  <c r="I69" i="5"/>
  <c r="I156" i="5"/>
  <c r="I176" i="5"/>
  <c r="I108" i="5"/>
  <c r="I189" i="5"/>
  <c r="I106" i="5"/>
  <c r="I87" i="5"/>
  <c r="I38" i="5"/>
  <c r="I100" i="5"/>
  <c r="I169" i="5"/>
  <c r="I80" i="5"/>
  <c r="I55" i="5"/>
  <c r="I105" i="5"/>
  <c r="I42" i="5"/>
  <c r="I51" i="5"/>
  <c r="I57" i="5"/>
  <c r="I112" i="5"/>
  <c r="I50" i="5"/>
  <c r="I113" i="5"/>
  <c r="I179" i="5"/>
  <c r="I195" i="5"/>
  <c r="I177" i="5"/>
  <c r="I190" i="5"/>
  <c r="I116" i="5"/>
  <c r="I171" i="5"/>
  <c r="I64" i="5"/>
  <c r="I127" i="5"/>
  <c r="I37" i="5"/>
  <c r="I148" i="5"/>
  <c r="I65" i="5"/>
  <c r="I99" i="5"/>
  <c r="I141" i="5"/>
  <c r="I120" i="5"/>
  <c r="I62" i="5"/>
  <c r="I104" i="5"/>
  <c r="I166" i="5"/>
  <c r="I56" i="5"/>
  <c r="M178" i="5"/>
  <c r="M43" i="5"/>
  <c r="M187" i="5"/>
  <c r="M97" i="5"/>
  <c r="M93" i="5"/>
  <c r="M138" i="5"/>
  <c r="M54" i="5"/>
  <c r="H34" i="5"/>
  <c r="K33" i="5"/>
  <c r="G33" i="5"/>
  <c r="M190" i="5"/>
  <c r="M154" i="5"/>
  <c r="M61" i="5"/>
  <c r="L33" i="5"/>
  <c r="J33" i="5"/>
  <c r="F33" i="5"/>
  <c r="M204" i="5"/>
  <c r="M176" i="5"/>
  <c r="M81" i="5"/>
  <c r="M183" i="5"/>
  <c r="M49" i="5"/>
  <c r="M64" i="5"/>
  <c r="M177" i="5"/>
  <c r="M77" i="5"/>
  <c r="M115" i="5"/>
  <c r="M152" i="5"/>
  <c r="M171" i="5"/>
  <c r="M148" i="5"/>
  <c r="M189" i="5"/>
  <c r="M89" i="5"/>
  <c r="M193" i="5"/>
  <c r="M45" i="5"/>
  <c r="M157" i="5"/>
  <c r="M159" i="5"/>
  <c r="M116" i="5"/>
  <c r="M79" i="5"/>
  <c r="M82" i="5"/>
  <c r="M167" i="5"/>
  <c r="M57" i="5"/>
  <c r="M70" i="5"/>
  <c r="M75" i="5"/>
  <c r="M94" i="5"/>
  <c r="M211" i="5"/>
  <c r="M105" i="5"/>
  <c r="M161" i="5"/>
  <c r="M203" i="5"/>
  <c r="M130" i="5"/>
  <c r="M149" i="5"/>
  <c r="M128" i="5"/>
  <c r="M101" i="5"/>
  <c r="M158" i="5"/>
  <c r="M55" i="5"/>
  <c r="M135" i="5"/>
  <c r="M119" i="5"/>
  <c r="M127" i="5"/>
  <c r="M122" i="5"/>
  <c r="M125" i="5"/>
  <c r="M181" i="5"/>
  <c r="M165" i="5"/>
  <c r="M35" i="5"/>
  <c r="M139" i="5"/>
  <c r="M67" i="5"/>
  <c r="M174" i="5"/>
  <c r="M164" i="5"/>
  <c r="M69" i="5"/>
  <c r="M118" i="5"/>
  <c r="M103" i="5"/>
  <c r="M72" i="5"/>
  <c r="M143" i="5"/>
  <c r="M194" i="5"/>
  <c r="M112" i="5"/>
  <c r="M110" i="5"/>
  <c r="M95" i="5"/>
  <c r="M207" i="5"/>
  <c r="M170" i="5"/>
  <c r="M39" i="5"/>
  <c r="M84" i="5"/>
  <c r="M168" i="5"/>
  <c r="M197" i="5"/>
  <c r="M108" i="5"/>
  <c r="D212" i="5"/>
  <c r="M162" i="5"/>
  <c r="M51" i="5"/>
  <c r="M146" i="5"/>
  <c r="M173" i="5"/>
  <c r="M196" i="5"/>
  <c r="M208" i="5"/>
  <c r="M121" i="5"/>
  <c r="M142" i="5"/>
  <c r="M73" i="5"/>
  <c r="M50" i="5"/>
  <c r="M201" i="5"/>
  <c r="M99" i="5"/>
  <c r="M185" i="5"/>
  <c r="M129" i="5"/>
  <c r="M36" i="5"/>
  <c r="M40" i="5"/>
  <c r="M124" i="5"/>
  <c r="M156" i="5"/>
  <c r="M180" i="5"/>
  <c r="M134" i="5"/>
  <c r="M74" i="5"/>
  <c r="M175" i="5"/>
  <c r="M126" i="5"/>
  <c r="M114" i="5"/>
  <c r="M76" i="5"/>
  <c r="M53" i="5"/>
  <c r="M60" i="5"/>
  <c r="M48" i="5"/>
  <c r="M144" i="5"/>
  <c r="M123" i="5"/>
  <c r="M184" i="5"/>
  <c r="M37" i="5"/>
  <c r="M65" i="5"/>
  <c r="M141" i="5"/>
  <c r="M41" i="5"/>
  <c r="M200" i="5"/>
  <c r="M58" i="5"/>
  <c r="M120" i="5"/>
  <c r="M62" i="5"/>
  <c r="M83" i="5"/>
  <c r="M182" i="5"/>
  <c r="M106" i="5"/>
  <c r="M63" i="5"/>
  <c r="M87" i="5"/>
  <c r="M38" i="5"/>
  <c r="M52" i="5"/>
  <c r="M96" i="5"/>
  <c r="M100" i="5"/>
  <c r="M169" i="5"/>
  <c r="M131" i="5"/>
  <c r="M132" i="5"/>
  <c r="M113" i="5"/>
  <c r="M179" i="5"/>
  <c r="M195" i="5"/>
  <c r="M145" i="5"/>
  <c r="M198" i="5"/>
  <c r="M90" i="5"/>
  <c r="M140" i="5"/>
  <c r="M205" i="5"/>
  <c r="M78" i="5"/>
  <c r="M160" i="5"/>
  <c r="M172" i="5"/>
  <c r="M46" i="5"/>
  <c r="M209" i="5"/>
  <c r="M104" i="5"/>
  <c r="M166" i="5"/>
  <c r="M151" i="5"/>
  <c r="M47" i="5"/>
  <c r="M56" i="5"/>
  <c r="M147" i="5"/>
  <c r="M210" i="5"/>
  <c r="M153" i="5"/>
  <c r="M188" i="5"/>
  <c r="M202" i="5"/>
  <c r="M80" i="5"/>
  <c r="M192" i="5"/>
  <c r="M186" i="5"/>
  <c r="M85" i="5"/>
  <c r="M133" i="5"/>
  <c r="M111" i="5"/>
  <c r="M199" i="5"/>
  <c r="M44" i="5"/>
  <c r="M191" i="5"/>
  <c r="M66" i="5"/>
  <c r="M136" i="5"/>
  <c r="M98" i="5"/>
  <c r="M86" i="5"/>
  <c r="M155" i="5"/>
  <c r="M42" i="5"/>
  <c r="M91" i="5"/>
  <c r="M163" i="5"/>
  <c r="M109" i="5"/>
  <c r="M150" i="5"/>
  <c r="M59" i="5"/>
  <c r="M88" i="5"/>
  <c r="M107" i="5"/>
  <c r="M92" i="5"/>
  <c r="M102" i="5"/>
  <c r="M71" i="5"/>
  <c r="M206" i="5"/>
  <c r="M137" i="5"/>
  <c r="M68" i="5"/>
  <c r="M117" i="5"/>
  <c r="F199" i="14"/>
  <c r="E212" i="5" s="1"/>
  <c r="C199" i="14"/>
  <c r="C212" i="5" s="1"/>
  <c r="G427" i="14"/>
  <c r="B201" i="14"/>
  <c r="D428" i="14"/>
  <c r="E200" i="14"/>
  <c r="D200" i="14" s="1"/>
  <c r="B66" i="1"/>
  <c r="E66" i="1" s="1"/>
  <c r="E36" i="1"/>
  <c r="R270" i="14"/>
  <c r="R272" i="14"/>
  <c r="I33" i="5" l="1"/>
  <c r="M34" i="5"/>
  <c r="P56" i="14"/>
  <c r="C86" i="7" s="1"/>
  <c r="C226" i="16"/>
  <c r="K212" i="5"/>
  <c r="G212" i="5"/>
  <c r="O55" i="14"/>
  <c r="Q55" i="14"/>
  <c r="R283" i="14"/>
  <c r="D213" i="5"/>
  <c r="L212" i="5"/>
  <c r="F200" i="14"/>
  <c r="E213" i="5" s="1"/>
  <c r="C200" i="14"/>
  <c r="C213" i="5" s="1"/>
  <c r="F212" i="5"/>
  <c r="I212" i="5" s="1"/>
  <c r="H212" i="5"/>
  <c r="J212" i="5"/>
  <c r="G428" i="14"/>
  <c r="B202" i="14"/>
  <c r="D429" i="14"/>
  <c r="E201" i="14"/>
  <c r="D201" i="14" s="1"/>
  <c r="C227" i="16" s="1"/>
  <c r="M212" i="5" l="1"/>
  <c r="K213" i="5"/>
  <c r="G213" i="5"/>
  <c r="D214" i="5"/>
  <c r="L213" i="5"/>
  <c r="H213" i="5"/>
  <c r="F213" i="5"/>
  <c r="I213" i="5" s="1"/>
  <c r="J213" i="5"/>
  <c r="C201" i="14"/>
  <c r="C214" i="5" s="1"/>
  <c r="F201" i="14"/>
  <c r="E214" i="5" s="1"/>
  <c r="G429" i="14"/>
  <c r="R280" i="14"/>
  <c r="B203" i="14"/>
  <c r="D430" i="14"/>
  <c r="E202" i="14"/>
  <c r="D202" i="14" s="1"/>
  <c r="C228" i="16" s="1"/>
  <c r="M213" i="5" l="1"/>
  <c r="K214" i="5"/>
  <c r="G214" i="5"/>
  <c r="D215" i="5"/>
  <c r="L214" i="5"/>
  <c r="H214" i="5"/>
  <c r="F214" i="5"/>
  <c r="I214" i="5" s="1"/>
  <c r="J214" i="5"/>
  <c r="F202" i="14"/>
  <c r="E215" i="5" s="1"/>
  <c r="C202" i="14"/>
  <c r="C215" i="5" s="1"/>
  <c r="G430" i="14"/>
  <c r="B204" i="14"/>
  <c r="D431" i="14"/>
  <c r="E203" i="14"/>
  <c r="D203" i="14" s="1"/>
  <c r="C229" i="16" s="1"/>
  <c r="M214" i="5" l="1"/>
  <c r="K215" i="5"/>
  <c r="G215" i="5"/>
  <c r="L215" i="5"/>
  <c r="D216" i="5"/>
  <c r="H215" i="5"/>
  <c r="F215" i="5"/>
  <c r="I215" i="5" s="1"/>
  <c r="J215" i="5"/>
  <c r="F203" i="14"/>
  <c r="E216" i="5" s="1"/>
  <c r="C203" i="14"/>
  <c r="C216" i="5" s="1"/>
  <c r="G431" i="14"/>
  <c r="B205" i="14"/>
  <c r="D432" i="14"/>
  <c r="E204" i="14"/>
  <c r="D204" i="14" s="1"/>
  <c r="C230" i="16" s="1"/>
  <c r="M215" i="5" l="1"/>
  <c r="K216" i="5"/>
  <c r="G216" i="5"/>
  <c r="D217" i="5"/>
  <c r="L216" i="5"/>
  <c r="F204" i="14"/>
  <c r="E217" i="5" s="1"/>
  <c r="C204" i="14"/>
  <c r="C217" i="5" s="1"/>
  <c r="F216" i="5"/>
  <c r="I216" i="5" s="1"/>
  <c r="H216" i="5"/>
  <c r="J216" i="5"/>
  <c r="G432" i="14"/>
  <c r="B206" i="14"/>
  <c r="D433" i="14"/>
  <c r="E205" i="14"/>
  <c r="D205" i="14" s="1"/>
  <c r="M216" i="5" l="1"/>
  <c r="P57" i="14"/>
  <c r="C87" i="7" s="1"/>
  <c r="C231" i="16"/>
  <c r="K217" i="5"/>
  <c r="G217" i="5"/>
  <c r="L217" i="5"/>
  <c r="O56" i="14"/>
  <c r="Q56" i="14"/>
  <c r="R284" i="14"/>
  <c r="D218" i="5"/>
  <c r="F205" i="14"/>
  <c r="E218" i="5" s="1"/>
  <c r="C205" i="14"/>
  <c r="C218" i="5" s="1"/>
  <c r="H217" i="5"/>
  <c r="F217" i="5"/>
  <c r="I217" i="5" s="1"/>
  <c r="J217" i="5"/>
  <c r="G433" i="14"/>
  <c r="B207" i="14"/>
  <c r="D434" i="14"/>
  <c r="E206" i="14"/>
  <c r="D206" i="14" s="1"/>
  <c r="C232" i="16" s="1"/>
  <c r="M217" i="5" l="1"/>
  <c r="K218" i="5"/>
  <c r="G218" i="5"/>
  <c r="D219" i="5"/>
  <c r="L218" i="5"/>
  <c r="F206" i="14"/>
  <c r="E219" i="5" s="1"/>
  <c r="C206" i="14"/>
  <c r="C219" i="5" s="1"/>
  <c r="H218" i="5"/>
  <c r="F218" i="5"/>
  <c r="I218" i="5" s="1"/>
  <c r="J218" i="5"/>
  <c r="G434" i="14"/>
  <c r="R281" i="14"/>
  <c r="B208" i="14"/>
  <c r="D435" i="14"/>
  <c r="E207" i="14"/>
  <c r="D207" i="14" s="1"/>
  <c r="C233" i="16" s="1"/>
  <c r="M218" i="5" l="1"/>
  <c r="K219" i="5"/>
  <c r="G219" i="5"/>
  <c r="L219" i="5"/>
  <c r="D220" i="5"/>
  <c r="F207" i="14"/>
  <c r="E220" i="5" s="1"/>
  <c r="C207" i="14"/>
  <c r="C220" i="5" s="1"/>
  <c r="H219" i="5"/>
  <c r="F219" i="5"/>
  <c r="I219" i="5" s="1"/>
  <c r="J219" i="5"/>
  <c r="G435" i="14"/>
  <c r="B209" i="14"/>
  <c r="D436" i="14"/>
  <c r="E208" i="14"/>
  <c r="D208" i="14" s="1"/>
  <c r="C234" i="16" s="1"/>
  <c r="M219" i="5" l="1"/>
  <c r="K220" i="5"/>
  <c r="G220" i="5"/>
  <c r="L220" i="5"/>
  <c r="D221" i="5"/>
  <c r="F208" i="14"/>
  <c r="E221" i="5" s="1"/>
  <c r="C208" i="14"/>
  <c r="C221" i="5" s="1"/>
  <c r="F220" i="5"/>
  <c r="I220" i="5" s="1"/>
  <c r="H220" i="5"/>
  <c r="J220" i="5"/>
  <c r="G436" i="14"/>
  <c r="B210" i="14"/>
  <c r="B211" i="14" s="1"/>
  <c r="D437" i="14"/>
  <c r="E209" i="14"/>
  <c r="D209" i="14" s="1"/>
  <c r="C235" i="16" s="1"/>
  <c r="M220" i="5" l="1"/>
  <c r="D439" i="14"/>
  <c r="E211" i="14"/>
  <c r="D211" i="14" s="1"/>
  <c r="C237" i="16" s="1"/>
  <c r="B212" i="14"/>
  <c r="K221" i="5"/>
  <c r="G221" i="5"/>
  <c r="L221" i="5"/>
  <c r="D222" i="5"/>
  <c r="C209" i="14"/>
  <c r="F209" i="14"/>
  <c r="E222" i="5" s="1"/>
  <c r="F221" i="5"/>
  <c r="I221" i="5" s="1"/>
  <c r="H221" i="5"/>
  <c r="J221" i="5"/>
  <c r="G437" i="14"/>
  <c r="E210" i="14"/>
  <c r="D210" i="14" s="1"/>
  <c r="D438" i="14"/>
  <c r="M221" i="5" l="1"/>
  <c r="C222" i="5"/>
  <c r="K222" i="5" s="1"/>
  <c r="B55" i="13"/>
  <c r="B57" i="13" s="1"/>
  <c r="B59" i="13" s="1"/>
  <c r="P58" i="14"/>
  <c r="C88" i="7" s="1"/>
  <c r="C236" i="16"/>
  <c r="D224" i="5"/>
  <c r="G439" i="14"/>
  <c r="D440" i="14"/>
  <c r="E212" i="14"/>
  <c r="D212" i="14" s="1"/>
  <c r="C238" i="16" s="1"/>
  <c r="B213" i="14"/>
  <c r="F211" i="14"/>
  <c r="E224" i="5" s="1"/>
  <c r="C211" i="14"/>
  <c r="C224" i="5" s="1"/>
  <c r="G222" i="5"/>
  <c r="D223" i="5"/>
  <c r="L222" i="5"/>
  <c r="F210" i="14"/>
  <c r="E223" i="5" s="1"/>
  <c r="C210" i="14"/>
  <c r="H222" i="5"/>
  <c r="F222" i="5"/>
  <c r="I222" i="5" s="1"/>
  <c r="J222" i="5"/>
  <c r="G438" i="14"/>
  <c r="R282" i="14"/>
  <c r="M222" i="5" l="1"/>
  <c r="C223" i="5"/>
  <c r="K223" i="5" s="1"/>
  <c r="B56" i="13"/>
  <c r="B58" i="13" s="1"/>
  <c r="B60" i="13" s="1"/>
  <c r="B62" i="13" s="1"/>
  <c r="B63" i="13" s="1"/>
  <c r="O58" i="14"/>
  <c r="Q58" i="14"/>
  <c r="L224" i="5"/>
  <c r="D225" i="5"/>
  <c r="G440" i="14"/>
  <c r="G224" i="5"/>
  <c r="H224" i="5"/>
  <c r="J224" i="5"/>
  <c r="K224" i="5"/>
  <c r="F224" i="5"/>
  <c r="I224" i="5" s="1"/>
  <c r="D441" i="14"/>
  <c r="E213" i="14"/>
  <c r="D213" i="14" s="1"/>
  <c r="C239" i="16" s="1"/>
  <c r="B214" i="14"/>
  <c r="F212" i="14"/>
  <c r="E225" i="5" s="1"/>
  <c r="C212" i="14"/>
  <c r="C225" i="5" s="1"/>
  <c r="G223" i="5"/>
  <c r="O57" i="14"/>
  <c r="R285" i="14"/>
  <c r="Q57" i="14"/>
  <c r="L223" i="5"/>
  <c r="H223" i="5"/>
  <c r="F223" i="5"/>
  <c r="I223" i="5" s="1"/>
  <c r="J223" i="5"/>
  <c r="R286" i="14"/>
  <c r="M223" i="5" l="1"/>
  <c r="M224" i="5"/>
  <c r="L225" i="5"/>
  <c r="D226" i="5"/>
  <c r="G441" i="14"/>
  <c r="G225" i="5"/>
  <c r="K225" i="5"/>
  <c r="F225" i="5"/>
  <c r="J225" i="5"/>
  <c r="H225" i="5"/>
  <c r="D442" i="14"/>
  <c r="E214" i="14"/>
  <c r="D214" i="14" s="1"/>
  <c r="C240" i="16" s="1"/>
  <c r="B215" i="14"/>
  <c r="F213" i="14"/>
  <c r="E226" i="5" s="1"/>
  <c r="C213" i="14"/>
  <c r="C226" i="5" s="1"/>
  <c r="M225" i="5" l="1"/>
  <c r="I225" i="5"/>
  <c r="L226" i="5"/>
  <c r="D227" i="5"/>
  <c r="G442" i="14"/>
  <c r="J226" i="5"/>
  <c r="F226" i="5"/>
  <c r="K226" i="5"/>
  <c r="G226" i="5"/>
  <c r="H226" i="5"/>
  <c r="D443" i="14"/>
  <c r="B216" i="14"/>
  <c r="E215" i="14"/>
  <c r="D215" i="14" s="1"/>
  <c r="C241" i="16" s="1"/>
  <c r="C214" i="14"/>
  <c r="C227" i="5" s="1"/>
  <c r="F214" i="14"/>
  <c r="E227" i="5" s="1"/>
  <c r="M226" i="5" l="1"/>
  <c r="I226" i="5"/>
  <c r="L227" i="5"/>
  <c r="D228" i="5"/>
  <c r="G443" i="14"/>
  <c r="P59" i="14"/>
  <c r="C89" i="7" s="1"/>
  <c r="F227" i="5"/>
  <c r="H227" i="5"/>
  <c r="G227" i="5"/>
  <c r="J227" i="5"/>
  <c r="K227" i="5"/>
  <c r="D444" i="14"/>
  <c r="E216" i="14"/>
  <c r="D216" i="14" s="1"/>
  <c r="C242" i="16" s="1"/>
  <c r="B217" i="14"/>
  <c r="C215" i="14"/>
  <c r="C228" i="5" s="1"/>
  <c r="F215" i="14"/>
  <c r="E228" i="5" s="1"/>
  <c r="G54" i="13"/>
  <c r="M227" i="5" l="1"/>
  <c r="I227" i="5"/>
  <c r="L228" i="5"/>
  <c r="O59" i="14"/>
  <c r="R287" i="14"/>
  <c r="Q59" i="14"/>
  <c r="G444" i="14"/>
  <c r="D229" i="5"/>
  <c r="G228" i="5"/>
  <c r="H228" i="5"/>
  <c r="F228" i="5"/>
  <c r="J228" i="5"/>
  <c r="K228" i="5"/>
  <c r="D445" i="14"/>
  <c r="E217" i="14"/>
  <c r="D217" i="14" s="1"/>
  <c r="C243" i="16" s="1"/>
  <c r="B218" i="14"/>
  <c r="C216" i="14"/>
  <c r="C229" i="5" s="1"/>
  <c r="F216" i="14"/>
  <c r="E229" i="5" s="1"/>
  <c r="G56" i="13"/>
  <c r="G58" i="13" s="1"/>
  <c r="G60" i="13" s="1"/>
  <c r="G62" i="13" s="1"/>
  <c r="G63" i="13" s="1"/>
  <c r="I41" i="3" a="1"/>
  <c r="K41" i="3" s="1"/>
  <c r="C95" i="3" s="1"/>
  <c r="C137" i="3" s="1"/>
  <c r="M228" i="5" l="1"/>
  <c r="I228" i="5"/>
  <c r="L229" i="5"/>
  <c r="D230" i="5"/>
  <c r="G445" i="14"/>
  <c r="G229" i="5"/>
  <c r="J229" i="5"/>
  <c r="K229" i="5"/>
  <c r="F229" i="5"/>
  <c r="H229" i="5"/>
  <c r="D446" i="14"/>
  <c r="B219" i="14"/>
  <c r="E218" i="14"/>
  <c r="D218" i="14" s="1"/>
  <c r="C244" i="16" s="1"/>
  <c r="C217" i="14"/>
  <c r="C230" i="5" s="1"/>
  <c r="F217" i="14"/>
  <c r="E230" i="5" s="1"/>
  <c r="I41" i="3"/>
  <c r="J41" i="3"/>
  <c r="C96" i="3" s="1"/>
  <c r="C138" i="3" s="1"/>
  <c r="M41" i="3"/>
  <c r="C93" i="3" s="1"/>
  <c r="C135" i="3" s="1"/>
  <c r="L41" i="3"/>
  <c r="C94" i="3" s="1"/>
  <c r="C136" i="3" s="1"/>
  <c r="M229" i="5" l="1"/>
  <c r="I229" i="5"/>
  <c r="L230" i="5"/>
  <c r="D231" i="5"/>
  <c r="G446" i="14"/>
  <c r="J230" i="5"/>
  <c r="K230" i="5"/>
  <c r="G230" i="5"/>
  <c r="F230" i="5"/>
  <c r="H230" i="5"/>
  <c r="J211" i="14"/>
  <c r="K211" i="14" s="1"/>
  <c r="J213" i="14"/>
  <c r="K213" i="14" s="1"/>
  <c r="J215" i="14"/>
  <c r="K215" i="14" s="1"/>
  <c r="J217" i="14"/>
  <c r="K217" i="14" s="1"/>
  <c r="J212" i="14"/>
  <c r="K212" i="14" s="1"/>
  <c r="J214" i="14"/>
  <c r="K214" i="14" s="1"/>
  <c r="J216" i="14"/>
  <c r="K216" i="14" s="1"/>
  <c r="J218" i="14"/>
  <c r="K218" i="14" s="1"/>
  <c r="D447" i="14"/>
  <c r="F218" i="14"/>
  <c r="E231" i="5" s="1"/>
  <c r="L231" i="5" s="1"/>
  <c r="C218" i="14"/>
  <c r="C231" i="5" s="1"/>
  <c r="B220" i="14"/>
  <c r="E219" i="14"/>
  <c r="J219" i="14" s="1"/>
  <c r="K219" i="14" s="1"/>
  <c r="J128" i="14"/>
  <c r="K128" i="14" s="1"/>
  <c r="J159" i="14"/>
  <c r="K159" i="14" s="1"/>
  <c r="J27" i="14"/>
  <c r="K27" i="14" s="1"/>
  <c r="J67" i="14"/>
  <c r="K67" i="14" s="1"/>
  <c r="J89" i="14"/>
  <c r="K89" i="14" s="1"/>
  <c r="J162" i="14"/>
  <c r="K162" i="14" s="1"/>
  <c r="J187" i="14"/>
  <c r="K187" i="14" s="1"/>
  <c r="J79" i="14"/>
  <c r="K79" i="14" s="1"/>
  <c r="J48" i="14"/>
  <c r="K48" i="14" s="1"/>
  <c r="J147" i="14"/>
  <c r="K147" i="14" s="1"/>
  <c r="J74" i="14"/>
  <c r="K74" i="14" s="1"/>
  <c r="J68" i="14"/>
  <c r="K68" i="14" s="1"/>
  <c r="J112" i="14"/>
  <c r="K112" i="14" s="1"/>
  <c r="J125" i="14"/>
  <c r="K125" i="14" s="1"/>
  <c r="J170" i="14"/>
  <c r="K170" i="14" s="1"/>
  <c r="J135" i="14"/>
  <c r="K135" i="14" s="1"/>
  <c r="J190" i="14"/>
  <c r="K190" i="14" s="1"/>
  <c r="J29" i="14"/>
  <c r="K29" i="14" s="1"/>
  <c r="J118" i="14"/>
  <c r="K118" i="14" s="1"/>
  <c r="J58" i="14"/>
  <c r="K58" i="14" s="1"/>
  <c r="J51" i="14"/>
  <c r="K51" i="14" s="1"/>
  <c r="J35" i="14"/>
  <c r="K35" i="14" s="1"/>
  <c r="J94" i="14"/>
  <c r="K94" i="14" s="1"/>
  <c r="J189" i="14"/>
  <c r="K189" i="14" s="1"/>
  <c r="J108" i="14"/>
  <c r="K108" i="14" s="1"/>
  <c r="J116" i="14"/>
  <c r="K116" i="14" s="1"/>
  <c r="J82" i="14"/>
  <c r="K82" i="14" s="1"/>
  <c r="J127" i="14"/>
  <c r="K127" i="14" s="1"/>
  <c r="J83" i="14"/>
  <c r="K83" i="14" s="1"/>
  <c r="J121" i="14"/>
  <c r="K121" i="14" s="1"/>
  <c r="J152" i="14"/>
  <c r="K152" i="14" s="1"/>
  <c r="J32" i="14"/>
  <c r="K32" i="14" s="1"/>
  <c r="J93" i="14"/>
  <c r="K93" i="14" s="1"/>
  <c r="J137" i="14"/>
  <c r="K137" i="14" s="1"/>
  <c r="J119" i="14"/>
  <c r="K119" i="14" s="1"/>
  <c r="J64" i="14"/>
  <c r="K64" i="14" s="1"/>
  <c r="J57" i="14"/>
  <c r="K57" i="14" s="1"/>
  <c r="J130" i="14"/>
  <c r="K130" i="14" s="1"/>
  <c r="J105" i="14"/>
  <c r="K105" i="14" s="1"/>
  <c r="J143" i="14"/>
  <c r="K143" i="14" s="1"/>
  <c r="J72" i="14"/>
  <c r="K72" i="14" s="1"/>
  <c r="J206" i="14"/>
  <c r="K206" i="14" s="1"/>
  <c r="J124" i="14"/>
  <c r="K124" i="14" s="1"/>
  <c r="J208" i="14"/>
  <c r="K208" i="14" s="1"/>
  <c r="J52" i="14"/>
  <c r="K52" i="14" s="1"/>
  <c r="J69" i="14"/>
  <c r="K69" i="14" s="1"/>
  <c r="J166" i="14"/>
  <c r="K166" i="14" s="1"/>
  <c r="C97" i="3"/>
  <c r="J122" i="14"/>
  <c r="K122" i="14" s="1"/>
  <c r="J191" i="14"/>
  <c r="K191" i="14" s="1"/>
  <c r="J103" i="14"/>
  <c r="K103" i="14" s="1"/>
  <c r="J92" i="14"/>
  <c r="K92" i="14" s="1"/>
  <c r="J71" i="14"/>
  <c r="K71" i="14" s="1"/>
  <c r="J161" i="14"/>
  <c r="K161" i="14" s="1"/>
  <c r="J22" i="14"/>
  <c r="K22" i="14" s="1"/>
  <c r="J129" i="14"/>
  <c r="K129" i="14" s="1"/>
  <c r="J115" i="14"/>
  <c r="K115" i="14" s="1"/>
  <c r="J65" i="14"/>
  <c r="K65" i="14" s="1"/>
  <c r="J204" i="14"/>
  <c r="K204" i="14" s="1"/>
  <c r="J205" i="14"/>
  <c r="K205" i="14" s="1"/>
  <c r="J180" i="14"/>
  <c r="K180" i="14" s="1"/>
  <c r="J77" i="14"/>
  <c r="K77" i="14" s="1"/>
  <c r="J23" i="14"/>
  <c r="K23" i="14" s="1"/>
  <c r="J145" i="14"/>
  <c r="K145" i="14" s="1"/>
  <c r="J160" i="14"/>
  <c r="K160" i="14" s="1"/>
  <c r="J76" i="14"/>
  <c r="K76" i="14" s="1"/>
  <c r="J106" i="14"/>
  <c r="K106" i="14" s="1"/>
  <c r="J141" i="14"/>
  <c r="K141" i="14" s="1"/>
  <c r="J202" i="14"/>
  <c r="K202" i="14" s="1"/>
  <c r="J201" i="14"/>
  <c r="K201" i="14" s="1"/>
  <c r="J136" i="14"/>
  <c r="K136" i="14" s="1"/>
  <c r="J66" i="14"/>
  <c r="K66" i="14" s="1"/>
  <c r="J197" i="14"/>
  <c r="K197" i="14" s="1"/>
  <c r="J183" i="14"/>
  <c r="K183" i="14" s="1"/>
  <c r="J139" i="14"/>
  <c r="K139" i="14" s="1"/>
  <c r="J39" i="14"/>
  <c r="K39" i="14" s="1"/>
  <c r="J59" i="14"/>
  <c r="K59" i="14" s="1"/>
  <c r="J75" i="14"/>
  <c r="K75" i="14" s="1"/>
  <c r="J87" i="14"/>
  <c r="K87" i="14" s="1"/>
  <c r="J54" i="14"/>
  <c r="K54" i="14" s="1"/>
  <c r="J49" i="14"/>
  <c r="K49" i="14" s="1"/>
  <c r="J177" i="14"/>
  <c r="K177" i="14" s="1"/>
  <c r="J181" i="14"/>
  <c r="K181" i="14" s="1"/>
  <c r="J62" i="14"/>
  <c r="K62" i="14" s="1"/>
  <c r="J96" i="14"/>
  <c r="K96" i="14" s="1"/>
  <c r="J142" i="14"/>
  <c r="K142" i="14" s="1"/>
  <c r="J203" i="14"/>
  <c r="K203" i="14" s="1"/>
  <c r="J45" i="14"/>
  <c r="K45" i="14" s="1"/>
  <c r="J167" i="14"/>
  <c r="K167" i="14" s="1"/>
  <c r="J171" i="14"/>
  <c r="K171" i="14" s="1"/>
  <c r="J117" i="14"/>
  <c r="K117" i="14" s="1"/>
  <c r="J148" i="14"/>
  <c r="K148" i="14" s="1"/>
  <c r="J172" i="14"/>
  <c r="K172" i="14" s="1"/>
  <c r="J157" i="14"/>
  <c r="K157" i="14" s="1"/>
  <c r="J196" i="14"/>
  <c r="K196" i="14" s="1"/>
  <c r="J81" i="14"/>
  <c r="K81" i="14" s="1"/>
  <c r="J90" i="14"/>
  <c r="K90" i="14" s="1"/>
  <c r="J111" i="14"/>
  <c r="K111" i="14" s="1"/>
  <c r="J133" i="14"/>
  <c r="K133" i="14" s="1"/>
  <c r="J25" i="14"/>
  <c r="K25" i="14" s="1"/>
  <c r="J146" i="14"/>
  <c r="K146" i="14" s="1"/>
  <c r="J182" i="14"/>
  <c r="K182" i="14" s="1"/>
  <c r="J200" i="14"/>
  <c r="K200" i="14" s="1"/>
  <c r="J97" i="14"/>
  <c r="K97" i="14" s="1"/>
  <c r="J169" i="14"/>
  <c r="K169" i="14" s="1"/>
  <c r="J158" i="14"/>
  <c r="K158" i="14" s="1"/>
  <c r="J123" i="14"/>
  <c r="K123" i="14" s="1"/>
  <c r="J165" i="14"/>
  <c r="K165" i="14" s="1"/>
  <c r="J138" i="14"/>
  <c r="K138" i="14" s="1"/>
  <c r="J50" i="14"/>
  <c r="K50" i="14" s="1"/>
  <c r="J209" i="14"/>
  <c r="K209" i="14" s="1"/>
  <c r="J46" i="14"/>
  <c r="K46" i="14" s="1"/>
  <c r="J195" i="14"/>
  <c r="K195" i="14" s="1"/>
  <c r="J28" i="14"/>
  <c r="K28" i="14" s="1"/>
  <c r="J151" i="14"/>
  <c r="K151" i="14" s="1"/>
  <c r="J53" i="14"/>
  <c r="K53" i="14" s="1"/>
  <c r="J56" i="14"/>
  <c r="K56" i="14" s="1"/>
  <c r="J164" i="14"/>
  <c r="K164" i="14" s="1"/>
  <c r="J163" i="14"/>
  <c r="K163" i="14" s="1"/>
  <c r="J33" i="14"/>
  <c r="K33" i="14" s="1"/>
  <c r="J99" i="14"/>
  <c r="K99" i="14" s="1"/>
  <c r="J199" i="14"/>
  <c r="K199" i="14" s="1"/>
  <c r="J88" i="14"/>
  <c r="K88" i="14" s="1"/>
  <c r="J194" i="14"/>
  <c r="K194" i="14" s="1"/>
  <c r="J78" i="14"/>
  <c r="K78" i="14" s="1"/>
  <c r="J149" i="14"/>
  <c r="K149" i="14" s="1"/>
  <c r="J186" i="14"/>
  <c r="K186" i="14" s="1"/>
  <c r="J91" i="14"/>
  <c r="K91" i="14" s="1"/>
  <c r="J98" i="14"/>
  <c r="K98" i="14" s="1"/>
  <c r="J168" i="14"/>
  <c r="K168" i="14" s="1"/>
  <c r="J30" i="14"/>
  <c r="K30" i="14" s="1"/>
  <c r="J95" i="14"/>
  <c r="K95" i="14" s="1"/>
  <c r="J24" i="14"/>
  <c r="K24" i="14" s="1"/>
  <c r="J31" i="14"/>
  <c r="K31" i="14" s="1"/>
  <c r="J107" i="14"/>
  <c r="K107" i="14" s="1"/>
  <c r="J173" i="14"/>
  <c r="K173" i="14" s="1"/>
  <c r="J36" i="14"/>
  <c r="K36" i="14" s="1"/>
  <c r="J44" i="14"/>
  <c r="K44" i="14" s="1"/>
  <c r="J175" i="14"/>
  <c r="K175" i="14" s="1"/>
  <c r="J153" i="14"/>
  <c r="K153" i="14" s="1"/>
  <c r="J70" i="14"/>
  <c r="K70" i="14" s="1"/>
  <c r="J140" i="14"/>
  <c r="K140" i="14" s="1"/>
  <c r="J178" i="14"/>
  <c r="K178" i="14" s="1"/>
  <c r="J126" i="14"/>
  <c r="K126" i="14" s="1"/>
  <c r="J114" i="14"/>
  <c r="K114" i="14" s="1"/>
  <c r="J41" i="14"/>
  <c r="K41" i="14" s="1"/>
  <c r="J113" i="14"/>
  <c r="K113" i="14" s="1"/>
  <c r="J198" i="14"/>
  <c r="K198" i="14" s="1"/>
  <c r="J174" i="14"/>
  <c r="K174" i="14" s="1"/>
  <c r="J47" i="14"/>
  <c r="K47" i="14" s="1"/>
  <c r="J42" i="14"/>
  <c r="K42" i="14" s="1"/>
  <c r="J34" i="14"/>
  <c r="K34" i="14" s="1"/>
  <c r="J131" i="14"/>
  <c r="K131" i="14" s="1"/>
  <c r="J20" i="14"/>
  <c r="K20" i="14" s="1"/>
  <c r="J100" i="14"/>
  <c r="K100" i="14" s="1"/>
  <c r="J154" i="14"/>
  <c r="K154" i="14" s="1"/>
  <c r="J61" i="14"/>
  <c r="K61" i="14" s="1"/>
  <c r="J86" i="14"/>
  <c r="K86" i="14" s="1"/>
  <c r="J192" i="14"/>
  <c r="K192" i="14" s="1"/>
  <c r="J120" i="14"/>
  <c r="K120" i="14" s="1"/>
  <c r="J150" i="14"/>
  <c r="K150" i="14" s="1"/>
  <c r="J155" i="14"/>
  <c r="K155" i="14" s="1"/>
  <c r="J193" i="14"/>
  <c r="K193" i="14" s="1"/>
  <c r="J60" i="14"/>
  <c r="K60" i="14" s="1"/>
  <c r="J80" i="14"/>
  <c r="K80" i="14" s="1"/>
  <c r="J85" i="14"/>
  <c r="K85" i="14" s="1"/>
  <c r="J207" i="14"/>
  <c r="K207" i="14" s="1"/>
  <c r="J179" i="14"/>
  <c r="K179" i="14" s="1"/>
  <c r="J101" i="14"/>
  <c r="K101" i="14" s="1"/>
  <c r="J188" i="14"/>
  <c r="K188" i="14" s="1"/>
  <c r="J21" i="14"/>
  <c r="K21" i="14" s="1"/>
  <c r="J110" i="14"/>
  <c r="K110" i="14" s="1"/>
  <c r="J26" i="14"/>
  <c r="K26" i="14" s="1"/>
  <c r="J43" i="14"/>
  <c r="K43" i="14" s="1"/>
  <c r="J156" i="14"/>
  <c r="K156" i="14" s="1"/>
  <c r="J38" i="14"/>
  <c r="K38" i="14" s="1"/>
  <c r="J185" i="14"/>
  <c r="K185" i="14" s="1"/>
  <c r="J176" i="14"/>
  <c r="K176" i="14" s="1"/>
  <c r="J55" i="14"/>
  <c r="K55" i="14" s="1"/>
  <c r="J37" i="14"/>
  <c r="K37" i="14" s="1"/>
  <c r="J134" i="14"/>
  <c r="K134" i="14" s="1"/>
  <c r="J210" i="14"/>
  <c r="K210" i="14" s="1"/>
  <c r="J63" i="14"/>
  <c r="K63" i="14" s="1"/>
  <c r="J102" i="14"/>
  <c r="K102" i="14" s="1"/>
  <c r="J132" i="14"/>
  <c r="K132" i="14" s="1"/>
  <c r="J144" i="14"/>
  <c r="K144" i="14" s="1"/>
  <c r="J109" i="14"/>
  <c r="K109" i="14" s="1"/>
  <c r="J40" i="14"/>
  <c r="K40" i="14" s="1"/>
  <c r="J184" i="14"/>
  <c r="K184" i="14" s="1"/>
  <c r="J104" i="14"/>
  <c r="K104" i="14" s="1"/>
  <c r="J73" i="14"/>
  <c r="K73" i="14" s="1"/>
  <c r="J84" i="14"/>
  <c r="K84" i="14" s="1"/>
  <c r="M230" i="5" l="1"/>
  <c r="I230" i="5"/>
  <c r="D219" i="14"/>
  <c r="F231" i="5"/>
  <c r="H231" i="5"/>
  <c r="G231" i="5"/>
  <c r="J231" i="5"/>
  <c r="K231" i="5"/>
  <c r="D448" i="14"/>
  <c r="E220" i="14"/>
  <c r="J220" i="14" s="1"/>
  <c r="K220" i="14" s="1"/>
  <c r="B221" i="14"/>
  <c r="C139" i="3"/>
  <c r="C100" i="3"/>
  <c r="M231" i="5" l="1"/>
  <c r="I231" i="5"/>
  <c r="D232" i="5"/>
  <c r="H232" i="5" s="1"/>
  <c r="C245" i="16"/>
  <c r="C219" i="14"/>
  <c r="C232" i="5" s="1"/>
  <c r="G447" i="14"/>
  <c r="F219" i="14"/>
  <c r="E232" i="5" s="1"/>
  <c r="D220" i="14"/>
  <c r="D449" i="14"/>
  <c r="B222" i="14"/>
  <c r="E221" i="14"/>
  <c r="J221" i="14" s="1"/>
  <c r="K221" i="14" s="1"/>
  <c r="C102" i="3"/>
  <c r="C101" i="3"/>
  <c r="J232" i="5" l="1"/>
  <c r="F232" i="5"/>
  <c r="G232" i="5"/>
  <c r="L232" i="5"/>
  <c r="K232" i="5"/>
  <c r="G448" i="14"/>
  <c r="C246" i="16"/>
  <c r="D221" i="14"/>
  <c r="F220" i="14"/>
  <c r="E233" i="5" s="1"/>
  <c r="C220" i="14"/>
  <c r="C233" i="5" s="1"/>
  <c r="D233" i="5"/>
  <c r="F233" i="5" s="1"/>
  <c r="I233" i="5" s="1"/>
  <c r="P60" i="14"/>
  <c r="D450" i="14"/>
  <c r="B223" i="14"/>
  <c r="E222" i="14"/>
  <c r="J222" i="14" s="1"/>
  <c r="K222" i="14" s="1"/>
  <c r="M232" i="5" l="1"/>
  <c r="I232" i="5"/>
  <c r="M233" i="5"/>
  <c r="O60" i="14"/>
  <c r="C90" i="7"/>
  <c r="D234" i="5"/>
  <c r="J234" i="5" s="1"/>
  <c r="C247" i="16"/>
  <c r="G449" i="14"/>
  <c r="K233" i="5"/>
  <c r="F221" i="14"/>
  <c r="E234" i="5" s="1"/>
  <c r="C221" i="14"/>
  <c r="C234" i="5" s="1"/>
  <c r="L233" i="5"/>
  <c r="Q60" i="14"/>
  <c r="R288" i="14"/>
  <c r="J233" i="5"/>
  <c r="H233" i="5"/>
  <c r="G233" i="5"/>
  <c r="D222" i="14"/>
  <c r="C248" i="16" s="1"/>
  <c r="D451" i="14"/>
  <c r="E223" i="14"/>
  <c r="J223" i="14" s="1"/>
  <c r="K223" i="14" s="1"/>
  <c r="B224" i="14"/>
  <c r="G234" i="5" l="1"/>
  <c r="L234" i="5"/>
  <c r="H234" i="5"/>
  <c r="K234" i="5"/>
  <c r="F234" i="5"/>
  <c r="F222" i="14"/>
  <c r="E235" i="5" s="1"/>
  <c r="D223" i="14"/>
  <c r="C222" i="14"/>
  <c r="C235" i="5" s="1"/>
  <c r="G450" i="14"/>
  <c r="D235" i="5"/>
  <c r="D452" i="14"/>
  <c r="B225" i="14"/>
  <c r="E224" i="14"/>
  <c r="J224" i="14" s="1"/>
  <c r="K224" i="14" s="1"/>
  <c r="M234" i="5" l="1"/>
  <c r="I234" i="5"/>
  <c r="L235" i="5"/>
  <c r="G451" i="14"/>
  <c r="C249" i="16"/>
  <c r="F223" i="14"/>
  <c r="E236" i="5" s="1"/>
  <c r="D236" i="5"/>
  <c r="G236" i="5" s="1"/>
  <c r="C223" i="14"/>
  <c r="C236" i="5" s="1"/>
  <c r="J235" i="5"/>
  <c r="H235" i="5"/>
  <c r="F235" i="5"/>
  <c r="K235" i="5"/>
  <c r="D224" i="14"/>
  <c r="C250" i="16" s="1"/>
  <c r="G235" i="5"/>
  <c r="D453" i="14"/>
  <c r="E225" i="14"/>
  <c r="J225" i="14" s="1"/>
  <c r="K225" i="14" s="1"/>
  <c r="B226" i="14"/>
  <c r="M235" i="5" l="1"/>
  <c r="I235" i="5"/>
  <c r="J236" i="5"/>
  <c r="F236" i="5"/>
  <c r="L236" i="5"/>
  <c r="H236" i="5"/>
  <c r="K236" i="5"/>
  <c r="G452" i="14"/>
  <c r="D237" i="5"/>
  <c r="F237" i="5" s="1"/>
  <c r="I237" i="5" s="1"/>
  <c r="C224" i="14"/>
  <c r="C237" i="5" s="1"/>
  <c r="F224" i="14"/>
  <c r="E237" i="5" s="1"/>
  <c r="D225" i="14"/>
  <c r="D454" i="14"/>
  <c r="B227" i="14"/>
  <c r="E226" i="14"/>
  <c r="J226" i="14" s="1"/>
  <c r="K226" i="14" s="1"/>
  <c r="M236" i="5" l="1"/>
  <c r="I236" i="5"/>
  <c r="H237" i="5"/>
  <c r="M237" i="5"/>
  <c r="D238" i="5"/>
  <c r="G238" i="5" s="1"/>
  <c r="C251" i="16"/>
  <c r="L237" i="5"/>
  <c r="G237" i="5"/>
  <c r="K237" i="5"/>
  <c r="J237" i="5"/>
  <c r="G453" i="14"/>
  <c r="C225" i="14"/>
  <c r="C238" i="5" s="1"/>
  <c r="P61" i="14"/>
  <c r="C91" i="7" s="1"/>
  <c r="F225" i="14"/>
  <c r="E238" i="5" s="1"/>
  <c r="D226" i="14"/>
  <c r="C252" i="16" s="1"/>
  <c r="D455" i="14"/>
  <c r="B228" i="14"/>
  <c r="E227" i="14"/>
  <c r="J227" i="14" s="1"/>
  <c r="K227" i="14" s="1"/>
  <c r="H238" i="5" l="1"/>
  <c r="F238" i="5"/>
  <c r="J238" i="5"/>
  <c r="K238" i="5"/>
  <c r="L238" i="5"/>
  <c r="R289" i="14"/>
  <c r="O61" i="14"/>
  <c r="Q61" i="14"/>
  <c r="C226" i="14"/>
  <c r="C239" i="5" s="1"/>
  <c r="F226" i="14"/>
  <c r="E239" i="5" s="1"/>
  <c r="D239" i="5"/>
  <c r="G239" i="5" s="1"/>
  <c r="G454" i="14"/>
  <c r="D227" i="14"/>
  <c r="D456" i="14"/>
  <c r="B229" i="14"/>
  <c r="E228" i="14"/>
  <c r="J228" i="14" s="1"/>
  <c r="K228" i="14" s="1"/>
  <c r="M238" i="5" l="1"/>
  <c r="I238" i="5"/>
  <c r="G455" i="14"/>
  <c r="C253" i="16"/>
  <c r="H239" i="5"/>
  <c r="D228" i="14"/>
  <c r="J239" i="5"/>
  <c r="L239" i="5"/>
  <c r="K239" i="5"/>
  <c r="F239" i="5"/>
  <c r="F227" i="14"/>
  <c r="E240" i="5" s="1"/>
  <c r="C227" i="14"/>
  <c r="C240" i="5" s="1"/>
  <c r="D240" i="5"/>
  <c r="F240" i="5" s="1"/>
  <c r="I240" i="5" s="1"/>
  <c r="D457" i="14"/>
  <c r="E229" i="14"/>
  <c r="J229" i="14" s="1"/>
  <c r="K229" i="14" s="1"/>
  <c r="B230" i="14"/>
  <c r="M239" i="5" l="1"/>
  <c r="I239" i="5"/>
  <c r="G456" i="14"/>
  <c r="C254" i="16"/>
  <c r="M240" i="5"/>
  <c r="G240" i="5"/>
  <c r="C228" i="14"/>
  <c r="C241" i="5" s="1"/>
  <c r="J240" i="5"/>
  <c r="D241" i="5"/>
  <c r="G241" i="5" s="1"/>
  <c r="F228" i="14"/>
  <c r="E241" i="5" s="1"/>
  <c r="H240" i="5"/>
  <c r="D229" i="14"/>
  <c r="K240" i="5"/>
  <c r="L240" i="5"/>
  <c r="D458" i="14"/>
  <c r="E230" i="14"/>
  <c r="J230" i="14" s="1"/>
  <c r="K230" i="14" s="1"/>
  <c r="D242" i="5" l="1"/>
  <c r="F242" i="5" s="1"/>
  <c r="I242" i="5" s="1"/>
  <c r="C255" i="16"/>
  <c r="F241" i="5"/>
  <c r="J241" i="5"/>
  <c r="H241" i="5"/>
  <c r="G457" i="14"/>
  <c r="K241" i="5"/>
  <c r="C229" i="14"/>
  <c r="C242" i="5" s="1"/>
  <c r="F229" i="14"/>
  <c r="E242" i="5" s="1"/>
  <c r="L241" i="5"/>
  <c r="D230" i="14"/>
  <c r="J231" i="14"/>
  <c r="K231" i="14" s="1"/>
  <c r="M241" i="5" l="1"/>
  <c r="I241" i="5"/>
  <c r="J242" i="5"/>
  <c r="L242" i="5"/>
  <c r="H242" i="5"/>
  <c r="K242" i="5"/>
  <c r="G242" i="5"/>
  <c r="D243" i="5"/>
  <c r="G243" i="5" s="1"/>
  <c r="C256" i="16"/>
  <c r="M242" i="5"/>
  <c r="C230" i="14"/>
  <c r="C243" i="5" s="1"/>
  <c r="G458" i="14"/>
  <c r="P62" i="14"/>
  <c r="C92" i="7" s="1"/>
  <c r="F230" i="14"/>
  <c r="E243" i="5" s="1"/>
  <c r="J232" i="14"/>
  <c r="K232" i="14" s="1"/>
  <c r="H243" i="5" l="1"/>
  <c r="F243" i="5"/>
  <c r="J243" i="5"/>
  <c r="L243" i="5"/>
  <c r="K243" i="5"/>
  <c r="R290" i="14"/>
  <c r="O62" i="14"/>
  <c r="Q62" i="14"/>
  <c r="J233" i="14"/>
  <c r="K233" i="14" s="1"/>
  <c r="M243" i="5" l="1"/>
  <c r="I243" i="5"/>
  <c r="J234" i="14"/>
  <c r="K234" i="14" s="1"/>
  <c r="J235" i="14" l="1"/>
  <c r="K235" i="14" s="1"/>
  <c r="B54" i="1" l="1"/>
  <c r="B56" i="1" s="1"/>
  <c r="B58" i="1" s="1"/>
  <c r="B53" i="1" l="1"/>
  <c r="C32" i="1" s="1"/>
  <c r="E32" i="1" s="1"/>
  <c r="E37" i="1" s="1"/>
  <c r="B42" i="1" s="1"/>
  <c r="B37" i="16" a="1"/>
  <c r="B37" i="16" s="1"/>
  <c r="B36" i="16" s="1" a="1"/>
  <c r="B36" i="16" s="1"/>
  <c r="B55" i="1" l="1"/>
  <c r="B57" i="1" s="1"/>
  <c r="B59" i="1" s="1"/>
  <c r="E59" i="1" s="1"/>
  <c r="B43" i="7"/>
  <c r="B40" i="16" a="1"/>
  <c r="B40" i="16" s="1"/>
  <c r="B39" i="16" s="1"/>
  <c r="D92" i="1"/>
  <c r="B41" i="1"/>
  <c r="B44" i="7" l="1"/>
  <c r="B41" i="7"/>
  <c r="B40" i="7"/>
  <c r="B42" i="16"/>
  <c r="D91" i="1"/>
  <c r="B40" i="1"/>
  <c r="B46" i="7" l="1"/>
  <c r="D90" i="1"/>
  <c r="D48" i="1"/>
  <c r="B50" i="15"/>
  <c r="B44" i="15"/>
  <c r="C39" i="15" s="1"/>
  <c r="C40" i="15" l="1"/>
  <c r="I43" i="15"/>
  <c r="I44" i="15" s="1"/>
  <c r="G39" i="15"/>
  <c r="J43" i="15" s="1"/>
  <c r="J44" i="15" s="1"/>
  <c r="G40" i="15" l="1"/>
  <c r="B36" i="19" l="1" a="1"/>
  <c r="B36" i="19" s="1"/>
  <c r="C77" i="19" s="1"/>
  <c r="C116" i="19" l="1"/>
  <c r="F36" i="19"/>
  <c r="C73" i="19" s="1"/>
  <c r="C112" i="19" s="1"/>
  <c r="D36" i="19"/>
  <c r="C75" i="19" s="1"/>
  <c r="C114" i="19" s="1"/>
  <c r="C36" i="19"/>
  <c r="C76" i="19" s="1"/>
  <c r="C115" i="19" s="1"/>
  <c r="E36" i="19"/>
  <c r="C74" i="19" s="1"/>
  <c r="C113" i="19" s="1"/>
  <c r="C80" i="19" l="1"/>
  <c r="C81" i="19" l="1"/>
  <c r="C82" i="19"/>
</calcChain>
</file>

<file path=xl/sharedStrings.xml><?xml version="1.0" encoding="utf-8"?>
<sst xmlns="http://schemas.openxmlformats.org/spreadsheetml/2006/main" count="2439" uniqueCount="726">
  <si>
    <t>Texas Instruments</t>
  </si>
  <si>
    <t>Ohms</t>
  </si>
  <si>
    <t>Vdc</t>
  </si>
  <si>
    <t>Voltage at -40</t>
  </si>
  <si>
    <t>Amps</t>
  </si>
  <si>
    <t>Resistance</t>
  </si>
  <si>
    <t>Temp K</t>
  </si>
  <si>
    <t>pre-calcs</t>
  </si>
  <si>
    <t>Low</t>
  </si>
  <si>
    <t>Mid</t>
  </si>
  <si>
    <t>High</t>
  </si>
  <si>
    <t>Coefficients</t>
  </si>
  <si>
    <t>A=</t>
  </si>
  <si>
    <t>B=</t>
  </si>
  <si>
    <t>C=</t>
  </si>
  <si>
    <t>Volts</t>
  </si>
  <si>
    <t>ADC bits</t>
  </si>
  <si>
    <t>bits</t>
  </si>
  <si>
    <t>Volts per bit</t>
  </si>
  <si>
    <t>VDC</t>
  </si>
  <si>
    <t>Delta VDC</t>
  </si>
  <si>
    <t>resistance at -40</t>
  </si>
  <si>
    <t>resistance at -39</t>
  </si>
  <si>
    <t>current at -40</t>
  </si>
  <si>
    <t>current at -39</t>
  </si>
  <si>
    <t>Voltage at -39</t>
  </si>
  <si>
    <t>Delta V at -40</t>
  </si>
  <si>
    <t>Lowest temp</t>
  </si>
  <si>
    <t>lowest resistance</t>
  </si>
  <si>
    <t>Highest temp</t>
  </si>
  <si>
    <t>Highest resistance</t>
  </si>
  <si>
    <t>{</t>
  </si>
  <si>
    <t>// convert the measured voltage to a resistance</t>
  </si>
  <si>
    <t>// run the Steinhart/Hart equation</t>
  </si>
  <si>
    <t>return Temp - 273.15;</t>
  </si>
  <si>
    <t>}</t>
  </si>
  <si>
    <t>Temperature</t>
  </si>
  <si>
    <t>Temperature as a function of resistance</t>
  </si>
  <si>
    <t>Resolution per bit</t>
  </si>
  <si>
    <t>VREF of ADC</t>
  </si>
  <si>
    <t>V</t>
  </si>
  <si>
    <t>Bits of resolution</t>
  </si>
  <si>
    <t>ADC (bits)</t>
  </si>
  <si>
    <t>ADC_raw</t>
  </si>
  <si>
    <t>Divider Voltage</t>
  </si>
  <si>
    <t xml:space="preserve">bits </t>
  </si>
  <si>
    <t>ADC</t>
  </si>
  <si>
    <t>Input bias voltage to resistors</t>
  </si>
  <si>
    <t xml:space="preserve">Ohms </t>
  </si>
  <si>
    <t>Y2</t>
  </si>
  <si>
    <t>X2</t>
  </si>
  <si>
    <t>Y1</t>
  </si>
  <si>
    <t>X1</t>
  </si>
  <si>
    <t>X = actual Resistance</t>
  </si>
  <si>
    <t>Y = Temperature</t>
  </si>
  <si>
    <t>X = Resistance</t>
  </si>
  <si>
    <t>Second Temperature (Y2)</t>
  </si>
  <si>
    <t>Second Resistance (X2)</t>
  </si>
  <si>
    <t>First Temperature (Y1)</t>
  </si>
  <si>
    <t>First Resistance (X1)</t>
  </si>
  <si>
    <t>Temp</t>
  </si>
  <si>
    <t>Quartic Function</t>
  </si>
  <si>
    <t>Regression</t>
  </si>
  <si>
    <t>MIN</t>
  </si>
  <si>
    <t>TYP</t>
  </si>
  <si>
    <t>MAX</t>
  </si>
  <si>
    <t>R-Low</t>
  </si>
  <si>
    <t>R-Center</t>
  </si>
  <si>
    <t>R-High</t>
  </si>
  <si>
    <t>R/div</t>
  </si>
  <si>
    <t>Version Number</t>
  </si>
  <si>
    <t>Version History</t>
  </si>
  <si>
    <t>Version</t>
  </si>
  <si>
    <t>Change List Description</t>
  </si>
  <si>
    <t>Temperature (°C)</t>
  </si>
  <si>
    <t>Return to Menu</t>
  </si>
  <si>
    <t/>
  </si>
  <si>
    <t>COEFFICENT</t>
  </si>
  <si>
    <t>X0</t>
  </si>
  <si>
    <t>X3</t>
  </si>
  <si>
    <t>X4</t>
  </si>
  <si>
    <t>A0</t>
  </si>
  <si>
    <t>A1</t>
  </si>
  <si>
    <t>A2</t>
  </si>
  <si>
    <t>A3</t>
  </si>
  <si>
    <t>A4</t>
  </si>
  <si>
    <t>4th Order Polynomial</t>
  </si>
  <si>
    <t>Calculate Temperature from Resistance</t>
  </si>
  <si>
    <t>Value</t>
  </si>
  <si>
    <t>Tolerance</t>
  </si>
  <si>
    <t>Resistance tolerance at 25C</t>
  </si>
  <si>
    <t>TCR</t>
  </si>
  <si>
    <t>PPM</t>
  </si>
  <si>
    <t>Temp_max</t>
  </si>
  <si>
    <t>Maximum operating temperature</t>
  </si>
  <si>
    <t>Wattage</t>
  </si>
  <si>
    <t>W</t>
  </si>
  <si>
    <t>Maximum wattage for the resistor</t>
  </si>
  <si>
    <t>delta Tshift</t>
  </si>
  <si>
    <t>+/- delta</t>
  </si>
  <si>
    <t>ABS_Min</t>
  </si>
  <si>
    <t>Min</t>
  </si>
  <si>
    <t>Specified</t>
  </si>
  <si>
    <t>Max</t>
  </si>
  <si>
    <t>ABS_max</t>
  </si>
  <si>
    <t>Variation of resistance per degrees C</t>
  </si>
  <si>
    <t>Maximum resistance change across temperature</t>
  </si>
  <si>
    <t>Self Heating</t>
  </si>
  <si>
    <t>Amount of self heating in the resistor</t>
  </si>
  <si>
    <t>TC_SH</t>
  </si>
  <si>
    <t>Self heating temperature increase</t>
  </si>
  <si>
    <t>Rtc_SH</t>
  </si>
  <si>
    <t>Resistance change due to self heating</t>
  </si>
  <si>
    <t>Line #</t>
  </si>
  <si>
    <t>Temperature shift in degrees per watt (Specification should be in the datasheet)</t>
  </si>
  <si>
    <t>MFG:</t>
  </si>
  <si>
    <t>Resistance as a function of temperature</t>
  </si>
  <si>
    <t>// Steinhart/Hart thermal equations to calculate temperature of the thermistor--------------------------------------------------------------</t>
  </si>
  <si>
    <t>//temperature Coefficients for the thermistor</t>
  </si>
  <si>
    <t>// Convert Kelvin to Celsius and return the temperature</t>
  </si>
  <si>
    <t>ADC measured voltage</t>
  </si>
  <si>
    <t>Calculated resistance from the 4th order polynomials above</t>
  </si>
  <si>
    <t>4th order polynomial</t>
  </si>
  <si>
    <t>Calculated temperature (Y)</t>
  </si>
  <si>
    <t>Helpful formula worksheets</t>
  </si>
  <si>
    <t>// send the ADC bit value to the calculation function</t>
  </si>
  <si>
    <t>// 4th order polynomial equations to calculate the temperature of the thermistor--------------------------------------------------------------</t>
  </si>
  <si>
    <t>// set the value of the top resistor</t>
  </si>
  <si>
    <t>// set the VBIAS voltage</t>
  </si>
  <si>
    <t>// set up the variable for the divider voltage</t>
  </si>
  <si>
    <t>// setup the variable for the calculated temperature</t>
  </si>
  <si>
    <t xml:space="preserve">  // reset these variables to zero in order to recalculate the new factors</t>
  </si>
  <si>
    <t>// calculate volts per bit then multiply that times the ADV value</t>
  </si>
  <si>
    <t>// calculate the resistance of the thermistor</t>
  </si>
  <si>
    <t>// 4th order regression to get temperature</t>
  </si>
  <si>
    <t xml:space="preserve">// C code example only (NOTE: this code example can't be converted to fixed point because you can't do a Natural Log in fixed point) </t>
  </si>
  <si>
    <t>float t_volt = 0;</t>
  </si>
  <si>
    <t>float t_res = 0;</t>
  </si>
  <si>
    <t>float NLog = 0;</t>
  </si>
  <si>
    <t>float Temp = 0;</t>
  </si>
  <si>
    <t>NLog = log(t_res);</t>
  </si>
  <si>
    <t>Temp = 1 / (A + B * NLog) + (C * NLog * NLog * NLog);</t>
  </si>
  <si>
    <t>// calculate the natural log of the resistance</t>
  </si>
  <si>
    <t>// setup the variable for the natural log of the resistance</t>
  </si>
  <si>
    <r>
      <t>// convert the raw ADC value to a measured voltage</t>
    </r>
    <r>
      <rPr>
        <sz val="10"/>
        <color rgb="FF00B0F0"/>
        <rFont val="Arial"/>
        <family val="2"/>
      </rPr>
      <t xml:space="preserve"> </t>
    </r>
  </si>
  <si>
    <t>EXAMPLE OF C CODE</t>
  </si>
  <si>
    <t>,</t>
  </si>
  <si>
    <t xml:space="preserve">    int i=0;                    // counter for stepping through the table</t>
  </si>
  <si>
    <t xml:space="preserve">    int res_l=0;                // the lower resistance value in the table</t>
  </si>
  <si>
    <t xml:space="preserve">    int res_h=0;                // the higher resistance value in the table</t>
  </si>
  <si>
    <t xml:space="preserve">    int diff_l=0;               // the difference between the lower resistance value from the table from the actual resistance value</t>
  </si>
  <si>
    <t xml:space="preserve">    int diff_h=0;               // the difference between the higher resistance value from the table from the actual resistance value</t>
  </si>
  <si>
    <t xml:space="preserve">    for (i=0; i&lt;166; ++i)</t>
  </si>
  <si>
    <t xml:space="preserve">    {</t>
  </si>
  <si>
    <t xml:space="preserve">               {</t>
  </si>
  <si>
    <t xml:space="preserve">                    if (diff_h &lt;= diff_l)                       // if the high resistance is closer to the actual resistance</t>
  </si>
  <si>
    <t xml:space="preserve">                    {</t>
  </si>
  <si>
    <t xml:space="preserve">                    }</t>
  </si>
  <si>
    <t xml:space="preserve">                    else                                        // else the low resistance is closer to the actual resistance</t>
  </si>
  <si>
    <t xml:space="preserve">                    };</t>
  </si>
  <si>
    <t xml:space="preserve">                    break;</t>
  </si>
  <si>
    <t xml:space="preserve">               }</t>
  </si>
  <si>
    <t xml:space="preserve">    }</t>
  </si>
  <si>
    <t>Determine the closest temperature from resistance</t>
  </si>
  <si>
    <t>int Thermistor(int raw_ADC)</t>
  </si>
  <si>
    <r>
      <t>t_volt = raw_ADC *</t>
    </r>
    <r>
      <rPr>
        <sz val="10"/>
        <color theme="1"/>
        <rFont val="Arial"/>
        <family val="2"/>
      </rPr>
      <t xml:space="preserve"> bit_volt</t>
    </r>
    <r>
      <rPr>
        <sz val="10"/>
        <rFont val="Arial"/>
        <family val="2"/>
      </rPr>
      <t>;</t>
    </r>
  </si>
  <si>
    <t>// get the ADC bit value</t>
  </si>
  <si>
    <t xml:space="preserve">// C code examples only </t>
  </si>
  <si>
    <t>T_high</t>
  </si>
  <si>
    <t xml:space="preserve">Top resistor </t>
  </si>
  <si>
    <t>Input bias voltage for the resistor divider</t>
  </si>
  <si>
    <t>T_low</t>
  </si>
  <si>
    <t>Resistor divider voltage at temperature</t>
  </si>
  <si>
    <t>ADC bits at temperature</t>
  </si>
  <si>
    <t>Set High Temperature</t>
  </si>
  <si>
    <t>Set low temperature</t>
  </si>
  <si>
    <t>Threshold values</t>
  </si>
  <si>
    <t>resistance at max</t>
  </si>
  <si>
    <t>resistance at max -1</t>
  </si>
  <si>
    <t>current at max</t>
  </si>
  <si>
    <t>Voltage at max</t>
  </si>
  <si>
    <t>current at max -1</t>
  </si>
  <si>
    <t>Voltage at max -1</t>
  </si>
  <si>
    <t>Delta V at max</t>
  </si>
  <si>
    <t>resistance at min</t>
  </si>
  <si>
    <t>resistance at min +1</t>
  </si>
  <si>
    <t>current at min</t>
  </si>
  <si>
    <t>Voltage at min</t>
  </si>
  <si>
    <t>Delta V at min</t>
  </si>
  <si>
    <t>current at min +1</t>
  </si>
  <si>
    <t>Voltage at min +1</t>
  </si>
  <si>
    <t>Enter resistance to get the temperature</t>
  </si>
  <si>
    <t>Enter temperature here to get the resistance</t>
  </si>
  <si>
    <t>Calculated temperature from the 4th order polynomial regression above</t>
  </si>
  <si>
    <t>Calculated resistance from the 4th order polynomial above</t>
  </si>
  <si>
    <t xml:space="preserve">    // Capture the ADC bits</t>
  </si>
  <si>
    <t xml:space="preserve">           {</t>
  </si>
  <si>
    <t xml:space="preserve">                // the linear interpolation process is y = y1 + ((x - x1) / (x2 - x1)) * (y2 - y1)</t>
  </si>
  <si>
    <t xml:space="preserve">                break;</t>
  </si>
  <si>
    <t xml:space="preserve">           }</t>
  </si>
  <si>
    <t>int X1=0;                // the lower resistance value in the table</t>
  </si>
  <si>
    <t>int X2=0;                // the higher resistance value in the table</t>
  </si>
  <si>
    <t>int Y1=0;               // the difference between the lower resistance value from the table from the actual resistance value</t>
  </si>
  <si>
    <t>int Y2=0;               // the difference between the higher resistance value from the table from the actual resistance value</t>
  </si>
  <si>
    <t xml:space="preserve">    int i=0;                                                                         // counter for stepping through the table</t>
  </si>
  <si>
    <t>// Lookup table process with interpolation to determine the resistance between the lower and upper resistance in a 5 degree C table-------------------------------------------------</t>
  </si>
  <si>
    <t>VBias</t>
  </si>
  <si>
    <t>Enter the high temperature limit required in degrees C</t>
  </si>
  <si>
    <t>Enter the low temperature limit required in degrees C</t>
  </si>
  <si>
    <t>ADC_V</t>
  </si>
  <si>
    <t>// C code examples only  (NOTE: this code example is based on floating point math)</t>
  </si>
  <si>
    <t>// Lookup table process with little math to determine which resistance the actual resistance is closest to then select the closest temperature value to display -------------------------------------------------</t>
  </si>
  <si>
    <t>Regression Error (°C)</t>
  </si>
  <si>
    <t>First Resistance</t>
  </si>
  <si>
    <t>First Temperature</t>
  </si>
  <si>
    <t>Second Resistance</t>
  </si>
  <si>
    <t>Second Temperature</t>
  </si>
  <si>
    <t>Calculated temperature</t>
  </si>
  <si>
    <t>ºC</t>
  </si>
  <si>
    <t>Temp (ºC)</t>
  </si>
  <si>
    <t>°C from chart</t>
  </si>
  <si>
    <t>°C</t>
  </si>
  <si>
    <t>Temp °C</t>
  </si>
  <si>
    <t>bits per degree °C</t>
  </si>
  <si>
    <t>Resistance at 25°C</t>
  </si>
  <si>
    <t>°F</t>
  </si>
  <si>
    <t>°K</t>
  </si>
  <si>
    <t xml:space="preserve"> (°C) </t>
  </si>
  <si>
    <t>°CK</t>
  </si>
  <si>
    <t>i.e. -39°C</t>
  </si>
  <si>
    <t>i.e. -40°C</t>
  </si>
  <si>
    <t>i.e. 124°C</t>
  </si>
  <si>
    <t>i.e. 125°C</t>
  </si>
  <si>
    <t>at temp</t>
  </si>
  <si>
    <t>4th order polynomials</t>
  </si>
  <si>
    <t>Sensitivity</t>
  </si>
  <si>
    <t>Power</t>
  </si>
  <si>
    <t>(milli-Watts)</t>
  </si>
  <si>
    <t>Part List</t>
  </si>
  <si>
    <t>Max Temperature</t>
  </si>
  <si>
    <t>Resistance @25C</t>
  </si>
  <si>
    <t>Vlookup tables</t>
  </si>
  <si>
    <t>q</t>
  </si>
  <si>
    <t>Rbias</t>
  </si>
  <si>
    <t>NTC Thermistor Comparison</t>
  </si>
  <si>
    <t>Device Resistance Tables</t>
  </si>
  <si>
    <t xml:space="preserve">Return to Menu  </t>
  </si>
  <si>
    <t>Example Code</t>
  </si>
  <si>
    <r>
      <t xml:space="preserve">1 </t>
    </r>
    <r>
      <rPr>
        <b/>
        <u/>
        <sz val="16"/>
        <rFont val="Tahoma"/>
        <family val="2"/>
      </rPr>
      <t>°</t>
    </r>
    <r>
      <rPr>
        <b/>
        <u/>
        <sz val="16"/>
        <rFont val="Arial"/>
        <family val="2"/>
      </rPr>
      <t>C Steps</t>
    </r>
  </si>
  <si>
    <r>
      <t xml:space="preserve">5 </t>
    </r>
    <r>
      <rPr>
        <b/>
        <u/>
        <sz val="16"/>
        <rFont val="Tahoma"/>
        <family val="2"/>
      </rPr>
      <t>°</t>
    </r>
    <r>
      <rPr>
        <b/>
        <u/>
        <sz val="16"/>
        <rFont val="Arial"/>
        <family val="2"/>
      </rPr>
      <t>C Steps</t>
    </r>
  </si>
  <si>
    <t>Useful Data</t>
  </si>
  <si>
    <t>RBias</t>
  </si>
  <si>
    <t>Resistance of the measured voltage</t>
  </si>
  <si>
    <t>The coefficients are used in this cell to calculate temperature. 1/T = A + B(Ln R) + C(Ln R)^3)</t>
  </si>
  <si>
    <t xml:space="preserve">Calculated Resistance </t>
  </si>
  <si>
    <t>0402 Footprint</t>
  </si>
  <si>
    <t>0603 Footprint</t>
  </si>
  <si>
    <t xml:space="preserve">The top resister is a fixed value. </t>
  </si>
  <si>
    <t xml:space="preserve">Steinhart-Hart coefficients and model solved </t>
  </si>
  <si>
    <t xml:space="preserve">Highly accurate, full range interpolation from a small lookup table </t>
  </si>
  <si>
    <t xml:space="preserve">Provides the resistance to temperature tables </t>
  </si>
  <si>
    <t>Compare some of the differences between the TI device chosen and an NTC thermistor (user inputted)</t>
  </si>
  <si>
    <t xml:space="preserve">Typical Resistance (Ω) </t>
  </si>
  <si>
    <t>Min Resistance (Ω)</t>
  </si>
  <si>
    <t>Resistance (Ω)</t>
  </si>
  <si>
    <t>Max Resistance (Ω)</t>
  </si>
  <si>
    <t>Typical Resistance (Ω)</t>
  </si>
  <si>
    <t>;</t>
  </si>
  <si>
    <t xml:space="preserve">unsigned int ADC_BITS = </t>
  </si>
  <si>
    <t>Steinhart-Hart Calculated Coefficients</t>
  </si>
  <si>
    <t xml:space="preserve">float A = </t>
  </si>
  <si>
    <t>float B =</t>
  </si>
  <si>
    <t xml:space="preserve">float C = </t>
  </si>
  <si>
    <t>int RBias =</t>
  </si>
  <si>
    <t xml:space="preserve">float VBias = </t>
  </si>
  <si>
    <t>t_res = t_volt/((VBias - t_volt)/RBias);</t>
  </si>
  <si>
    <t xml:space="preserve">float bit_volt =  </t>
  </si>
  <si>
    <t xml:space="preserve">// set the VBias voltage </t>
  </si>
  <si>
    <t xml:space="preserve">// set the value of the Rbias (top resistor)  </t>
  </si>
  <si>
    <t>RBias &gt;&gt;&gt;&gt;</t>
  </si>
  <si>
    <t>Example of 1°C step C code</t>
  </si>
  <si>
    <t>Copy the content of the box below, then paste into your C code</t>
  </si>
  <si>
    <r>
      <t>Example of 5</t>
    </r>
    <r>
      <rPr>
        <b/>
        <sz val="12"/>
        <rFont val="Tahoma"/>
        <family val="2"/>
      </rPr>
      <t>°</t>
    </r>
    <r>
      <rPr>
        <b/>
        <sz val="12"/>
        <rFont val="Arial"/>
        <family val="2"/>
      </rPr>
      <t>C step C code</t>
    </r>
  </si>
  <si>
    <t xml:space="preserve">unsigned int RBias = </t>
  </si>
  <si>
    <t>Bits</t>
  </si>
  <si>
    <t>Basic Formulas</t>
  </si>
  <si>
    <t>(Prefered resistor tolerance should be 1% or better)</t>
  </si>
  <si>
    <t>Calculated Resistance (Ω)</t>
  </si>
  <si>
    <t>(Ω)</t>
  </si>
  <si>
    <t>Ω/°C</t>
  </si>
  <si>
    <t>RBias TCR_PPM</t>
  </si>
  <si>
    <t>Threshold Detection</t>
  </si>
  <si>
    <t>ADC Bits (8 - 32 bits)</t>
  </si>
  <si>
    <t>Device</t>
  </si>
  <si>
    <t xml:space="preserve">       Select the TI device to model &gt;&gt;&gt;&gt;</t>
  </si>
  <si>
    <t>Temperature Conversion Methods</t>
  </si>
  <si>
    <t>Steinhart-Hart</t>
  </si>
  <si>
    <t>Calculate at 2 points for limit or threshold based designs</t>
  </si>
  <si>
    <t>Quick computations to help during design</t>
  </si>
  <si>
    <t>Calculate the bias resistor tolerances, PPM values, and more</t>
  </si>
  <si>
    <t>TI Device</t>
  </si>
  <si>
    <t>Device:</t>
  </si>
  <si>
    <t>Enter ADC Bit value &gt;&gt;&gt;&gt;</t>
  </si>
  <si>
    <t>Enter VBias Voltage &gt;&gt;&gt;&gt;</t>
  </si>
  <si>
    <t>To try out how this would work in your code, enter a measured voltage into the red outlined cell below. The green outlined cells show what the corresponding resistance the TI device has at that moment which is used to calculate the Steinhart-Hart Coefficients, and the calculated temperature.</t>
  </si>
  <si>
    <t>Resistance at max temperature</t>
  </si>
  <si>
    <t>Resistance at max temperature -1</t>
  </si>
  <si>
    <t>current at max temperature</t>
  </si>
  <si>
    <t>Voltage at max temperature</t>
  </si>
  <si>
    <t>current at max temperature -1</t>
  </si>
  <si>
    <t>Voltage at max temperature -1</t>
  </si>
  <si>
    <t>Delta V at  max temperature</t>
  </si>
  <si>
    <t>To try out how this would work in your code, enter a measured resistance into the red outlined cell below. The green outlined cell shows what the nearest resistance value in the lookup table had stored as its corresponding temperature value."</t>
  </si>
  <si>
    <t>Temperature corresponding to the nearest resistance value in the lookup table.</t>
  </si>
  <si>
    <t>1° C Steps</t>
  </si>
  <si>
    <t>5° C Steps</t>
  </si>
  <si>
    <t>VREF</t>
  </si>
  <si>
    <t>Calculate the resistor divider voltage and bits from resistance</t>
  </si>
  <si>
    <t>TI recommends using the same voltage source for ADC reference and VBias</t>
  </si>
  <si>
    <t>TI device resistance</t>
  </si>
  <si>
    <t>Calculate the resistor divider voltage and TI device resistance from the ADC bits</t>
  </si>
  <si>
    <t>Calculate the ADC bits and TI device resistance from the resistor divider voltage</t>
  </si>
  <si>
    <t>Resolution of measurements at low and high temperatures for the selected TI device</t>
  </si>
  <si>
    <t>Specified resistance for the RBias resistor</t>
  </si>
  <si>
    <t>Thermistor resistance at temperature</t>
  </si>
  <si>
    <t>Top resistor</t>
  </si>
  <si>
    <t>Calculated resistance from the 4th order polynomials</t>
  </si>
  <si>
    <t xml:space="preserve"> (-) tolerance</t>
  </si>
  <si>
    <t>(+) tolerance</t>
  </si>
  <si>
    <t>Delta Vdc</t>
  </si>
  <si>
    <t>Minimum temperature</t>
  </si>
  <si>
    <t>Maximum temperature</t>
  </si>
  <si>
    <t>Resistance (X)</t>
  </si>
  <si>
    <t>Resistor Divider Voltage</t>
  </si>
  <si>
    <t>Calculated Resistance</t>
  </si>
  <si>
    <t>Lowest resistance</t>
  </si>
  <si>
    <t>TMP6331DECR</t>
  </si>
  <si>
    <t>TMP6331DECT</t>
  </si>
  <si>
    <t>TMP6131LPGM</t>
  </si>
  <si>
    <t>TMP6131QLPGMQ1</t>
  </si>
  <si>
    <t>TMP6131ELPGMQ1</t>
  </si>
  <si>
    <t>TMP6131DYAR</t>
  </si>
  <si>
    <t>TMP6131DYAT</t>
  </si>
  <si>
    <t>TMP6131DECR</t>
  </si>
  <si>
    <t>TMP6131DECT</t>
  </si>
  <si>
    <t>TMP6131QDECRQ1</t>
  </si>
  <si>
    <t>TMP6131QDECTQ1</t>
  </si>
  <si>
    <t>TMP6131DECRA0</t>
  </si>
  <si>
    <t>TMP6131DECRA1</t>
  </si>
  <si>
    <t>TMP6131DECRA2</t>
  </si>
  <si>
    <t>TMP6131DECRA3</t>
  </si>
  <si>
    <t>TMP6131DECRA4</t>
  </si>
  <si>
    <t>TMP6131DECTA0</t>
  </si>
  <si>
    <t>TMP6131DECTA1</t>
  </si>
  <si>
    <t>TMP6131DECTA2</t>
  </si>
  <si>
    <t>TMP6131DECTA3</t>
  </si>
  <si>
    <t>TMP6131DECTA4</t>
  </si>
  <si>
    <t>TMP6131QDECRQ1A0</t>
  </si>
  <si>
    <t>TMP6131QDECRQ1A1</t>
  </si>
  <si>
    <t>TMP6131QDECRQ1A2</t>
  </si>
  <si>
    <t>TMP6131QDECRQ1A3</t>
  </si>
  <si>
    <t>TMP6131QDECRQ1A4</t>
  </si>
  <si>
    <t>TMP6131QDECTQ1A0</t>
  </si>
  <si>
    <t>TMP6131QDECTQ1A1</t>
  </si>
  <si>
    <t>TMP6131QDECTQ1A2</t>
  </si>
  <si>
    <t>TMP6131QDECTQ1A3</t>
  </si>
  <si>
    <t>TMP6131QDECTQ1A4</t>
  </si>
  <si>
    <t>TMP6131DYARA0</t>
  </si>
  <si>
    <t>TMP6131DYARA1</t>
  </si>
  <si>
    <t>TMP6131DYARA2</t>
  </si>
  <si>
    <t>TMP6131DYARA3</t>
  </si>
  <si>
    <t>TMP6131DYARA4</t>
  </si>
  <si>
    <t>TMP6131DYATA0</t>
  </si>
  <si>
    <t>TMP6131DYATA1</t>
  </si>
  <si>
    <t>TMP6131DYATA2</t>
  </si>
  <si>
    <t>TMP6131DYATA3</t>
  </si>
  <si>
    <t>TMP6131DYATA4</t>
  </si>
  <si>
    <t>TMP6131LPGMA0</t>
  </si>
  <si>
    <t>TMP6131LPGMA1</t>
  </si>
  <si>
    <t>TMP6131LPGMA2</t>
  </si>
  <si>
    <t>TMP6131LPGMA3</t>
  </si>
  <si>
    <t>TMP6131LPGMA4</t>
  </si>
  <si>
    <t>TMP6131QLPGMQ1A0</t>
  </si>
  <si>
    <t>TMP6131QLPGMQ1A1</t>
  </si>
  <si>
    <t>TMP6131QLPGMQ1A2</t>
  </si>
  <si>
    <t>TMP6131QLPGMQ1A3</t>
  </si>
  <si>
    <t>TMP6131QLPGMQ1A4</t>
  </si>
  <si>
    <t>TMP6131ELPGMQ1A0</t>
  </si>
  <si>
    <t>TMP6131ELPGMQ1A1</t>
  </si>
  <si>
    <t>TMP6131ELPGMQ1A2</t>
  </si>
  <si>
    <t>TMP6131ELPGMQ1A3</t>
  </si>
  <si>
    <t>TMP6131ELPGMQ1A4</t>
  </si>
  <si>
    <t>TMP6331DECRA0</t>
  </si>
  <si>
    <t>TMP6331DECRA1</t>
  </si>
  <si>
    <t>TMP6331DECRA2</t>
  </si>
  <si>
    <t>TMP6331DECRA3</t>
  </si>
  <si>
    <t>TMP6331DECRA4</t>
  </si>
  <si>
    <t>TMP6331DECTA0</t>
  </si>
  <si>
    <t>TMP6331DECTA1</t>
  </si>
  <si>
    <t>TMP6331DECTA2</t>
  </si>
  <si>
    <t>TMP6331DECTA3</t>
  </si>
  <si>
    <t>TMP6331DECTA4</t>
  </si>
  <si>
    <t xml:space="preserve"> </t>
  </si>
  <si>
    <t xml:space="preserve">Resolution of temperature measurements </t>
  </si>
  <si>
    <t>TMP6431DECR</t>
  </si>
  <si>
    <t>TMP6431DECT</t>
  </si>
  <si>
    <t>TMP6431DECRA0</t>
  </si>
  <si>
    <t>TMP6431DECRA1</t>
  </si>
  <si>
    <t>TMP6431DECRA2</t>
  </si>
  <si>
    <t>TMP6431DECRA3</t>
  </si>
  <si>
    <t>TMP6431DECRA4</t>
  </si>
  <si>
    <t>TMP6431DECTA0</t>
  </si>
  <si>
    <t>TMP6431DECTA1</t>
  </si>
  <si>
    <t>TMP6431DECTA2</t>
  </si>
  <si>
    <t>TMP6431DECTA3</t>
  </si>
  <si>
    <t>TMP6431DECTA4</t>
  </si>
  <si>
    <t xml:space="preserve">The part number must match this </t>
  </si>
  <si>
    <t>lookup table wit A0/A4 added</t>
  </si>
  <si>
    <t>Coefficients are created from real data of 5 test points and t offset for accuracy</t>
  </si>
  <si>
    <t>Hide this page before locking the worksheet with a password</t>
  </si>
  <si>
    <t>Preferred resistor tolerance should be 1% or better.</t>
  </si>
  <si>
    <t>Pre-calculated values stored in a lookup table for quick and easy indexing</t>
  </si>
  <si>
    <t>updated the NTC resistance table to 1%</t>
  </si>
  <si>
    <t>Changed the resistance tolerance to 1.5% from 71C and above</t>
  </si>
  <si>
    <t>Released Version - to TI.com</t>
  </si>
  <si>
    <t>Date</t>
  </si>
  <si>
    <t>Edits</t>
  </si>
  <si>
    <t>Description</t>
  </si>
  <si>
    <t>Averaging</t>
  </si>
  <si>
    <t xml:space="preserve">Averaging and oversampling techniques </t>
  </si>
  <si>
    <t>// (1) Method one will read the ADC and average the last "N" values as set in the "#define Tmp_1_length"</t>
  </si>
  <si>
    <t>//  FIFO setup of the temporary arrays and define the filter depth (samples to average)</t>
  </si>
  <si>
    <t>#define Tmp_1_length 16                                  // Sample length for the averaging filter for oversampling</t>
  </si>
  <si>
    <t>float Tmp_1_array[Tmp_1_length];                  // The FIFO arrays for averaging the ADC value</t>
  </si>
  <si>
    <t>float ADC_AVG = 0;                                                //  This is the averaged ADC value over (x) samples</t>
  </si>
  <si>
    <t>float ADC_Value = 0;                                             // this is the most recent ADC value captured</t>
  </si>
  <si>
    <t>int i = 0;                                                                  //  set to 0</t>
  </si>
  <si>
    <t>float sum_array_1 = 0;                                           //  set to 0</t>
  </si>
  <si>
    <t xml:space="preserve">        i = 0;                                                                              // reset to 0</t>
  </si>
  <si>
    <t xml:space="preserve">        sum_array_1 = 0;                                                         // reset to 0</t>
  </si>
  <si>
    <t xml:space="preserve">        {</t>
  </si>
  <si>
    <t xml:space="preserve">            Tmp_1_array[i] = Tmp_1_array[i + 1];                          // Makes all the array indexes equal to the number after them</t>
  </si>
  <si>
    <t xml:space="preserve">        }</t>
  </si>
  <si>
    <t xml:space="preserve">        for(i = 0; i &lt; Tmp_1_length; i++)                                 // sum the array</t>
  </si>
  <si>
    <t xml:space="preserve">            sum_array_1 += Tmp_1_array[i];                                // add all of the array elements</t>
  </si>
  <si>
    <t xml:space="preserve">        ADC_AVG = sum_array_1 / Tmp_1_length;                             // divide the sum of the array to get an average</t>
  </si>
  <si>
    <t>//  Read the ADC and place the bit value into ADC_Value</t>
  </si>
  <si>
    <t>// Call the ADC_AVG function to get the last ADC value added and averaged into the array</t>
  </si>
  <si>
    <t>FIFO_AVG();</t>
  </si>
  <si>
    <t>// (2) Method two will read the ADC and average inset that value into the FIFO "N" times as set in the "#define Tmp_1_length" then average the values</t>
  </si>
  <si>
    <t>int i = 0;                                                                  //  set to 0 for the array position counter</t>
  </si>
  <si>
    <t>int j = 0;                                                                  //  set to 0 for the sample counter</t>
  </si>
  <si>
    <t xml:space="preserve">        j = 0;                                                                              // reset to 0</t>
  </si>
  <si>
    <t xml:space="preserve">        sum_array_1 = 0;                                                          // reset to 0</t>
  </si>
  <si>
    <t xml:space="preserve">        // read the ADC, and put the new value into the ADC_Value register</t>
  </si>
  <si>
    <t xml:space="preserve">            Tmp_1_array[i] = Tmp_1_array[i + 1];                               // Makes all the array indexes equal to the number after them</t>
  </si>
  <si>
    <t xml:space="preserve">        for(i = 0; i &lt; Tmp_1_length; i++)                                       // sum the array</t>
  </si>
  <si>
    <t xml:space="preserve">            sum_array_1 += Tmp_1_array[i];                                      // add all of the array elements</t>
  </si>
  <si>
    <t xml:space="preserve">        ADC_AVG = sum_array_1 / Tmp_1_length;                     // divide the sum of the array to get an average</t>
  </si>
  <si>
    <t>//  Call the FIFO_AVG routine to get "N" ADC values averaged</t>
  </si>
  <si>
    <t>// FIFO averaging of the data sample at predetermined intervals and averaged across the last (x) samples-------------------------------------------------</t>
  </si>
  <si>
    <t>// FIFO averaging of (x) samples simultaneously providing an average of the (x) samples.-------------------------------------------------</t>
  </si>
  <si>
    <t>void FIFO_AVG(void)</t>
  </si>
  <si>
    <t xml:space="preserve">       {</t>
  </si>
  <si>
    <t>//  The ADC average value will be placed into ADC_AVG register</t>
  </si>
  <si>
    <t>R/div/Bot</t>
  </si>
  <si>
    <t>R/div/Top</t>
  </si>
  <si>
    <t xml:space="preserve">        Tmp_1_array[Tmp_1_length - 1] = ADC_Value;                          // add the new value to the beginning of the array</t>
  </si>
  <si>
    <t xml:space="preserve">        Tmp_1_array[Tmp_1_length - 1] = ADC_Value;                // add the new value to the beginning of the array</t>
  </si>
  <si>
    <t xml:space="preserve">        for(i = 0; i &lt; Tmp_1_length - 1; i++)                                 // shift the array as a FIFO and drop the last data value</t>
  </si>
  <si>
    <t xml:space="preserve">        for(i = 0; i &lt; Tmp_1_length - 1; i++)                                        // shift the array as a FIFO and drop the last data value</t>
  </si>
  <si>
    <t xml:space="preserve">       }  // do this for (N) samples</t>
  </si>
  <si>
    <t xml:space="preserve">Added new plot for tolerance error to the “NTC compare worksheet” </t>
  </si>
  <si>
    <t>Added new worksheet “Averaging” to the tool</t>
  </si>
  <si>
    <t>Changed the plot labels “NTC compare worksheet” to show the corresponding TI device part number instead of PTC</t>
  </si>
  <si>
    <r>
      <t>Increased the scale range for the calculated regression error “4</t>
    </r>
    <r>
      <rPr>
        <vertAlign val="superscript"/>
        <sz val="11"/>
        <rFont val="Calibri"/>
        <family val="2"/>
      </rPr>
      <t>th</t>
    </r>
    <r>
      <rPr>
        <sz val="11"/>
        <rFont val="Calibri"/>
        <family val="2"/>
      </rPr>
      <t xml:space="preserve"> order poly worksheet” to minimize the appearance of the error</t>
    </r>
  </si>
  <si>
    <r>
      <rPr>
        <sz val="7"/>
        <rFont val="Times New Roman"/>
        <family val="1"/>
      </rPr>
      <t xml:space="preserve"> </t>
    </r>
    <r>
      <rPr>
        <sz val="11"/>
        <rFont val="Calibri"/>
        <family val="2"/>
      </rPr>
      <t>Corrected range bugs for entered data across some sheets</t>
    </r>
  </si>
  <si>
    <t>Changed the data images to include the step size info in the image in the "Averaging" worksheet</t>
  </si>
  <si>
    <t>Added a note about sample size for resolution changes to the "Averaging" worksheet</t>
  </si>
  <si>
    <t>Changed the revision to V1.100 because we added the "Averageing" worksheet</t>
  </si>
  <si>
    <t>Including in the tool new APL parts to the drop down menu and using existing polynomials</t>
  </si>
  <si>
    <t>TMP6131QDYARQ1</t>
  </si>
  <si>
    <t>TMP6131QDYATQ1</t>
  </si>
  <si>
    <t>TMP6331QDECRQ1</t>
  </si>
  <si>
    <t>TMP6331QDECTQ1</t>
  </si>
  <si>
    <t xml:space="preserve">corrected part numbers for new additional parts </t>
  </si>
  <si>
    <t>TMP6131QDYARQ1A0</t>
  </si>
  <si>
    <t>TMP6131QDYARQ1A1</t>
  </si>
  <si>
    <t>TMP6131QDYARQ1A2</t>
  </si>
  <si>
    <t>TMP6131QDYARQ1A3</t>
  </si>
  <si>
    <t>TMP6131QDYARQ1A4</t>
  </si>
  <si>
    <t>TMP6131QDYATQ1A0</t>
  </si>
  <si>
    <t>TMP6131QDYATQ1A1</t>
  </si>
  <si>
    <t>TMP6131QDYATQ1A2</t>
  </si>
  <si>
    <t>TMP6131QDYATQ1A3</t>
  </si>
  <si>
    <t>TMP6131QDYATQ1A4</t>
  </si>
  <si>
    <t>TMP6331QDECTQ1A0</t>
  </si>
  <si>
    <t>TMP6331QDECTQ1A1</t>
  </si>
  <si>
    <t>TMP6331QDECTQ1A2</t>
  </si>
  <si>
    <t>TMP6331QDECTQ1A3</t>
  </si>
  <si>
    <t>TMP6331QDECTQ1A4</t>
  </si>
  <si>
    <t>TMP6331QDECRQ1A0</t>
  </si>
  <si>
    <t>TMP6331QDECRQ1A1</t>
  </si>
  <si>
    <t>TMP6331QDECRQ1A2</t>
  </si>
  <si>
    <t>TMP6331QDECRQ1A3</t>
  </si>
  <si>
    <t>TMP6331QDECRQ1A4</t>
  </si>
  <si>
    <t>Corrected the max and min tolerances in the 5% resistance tables</t>
  </si>
  <si>
    <t>Extended temperature range for all sheets to 175</t>
  </si>
  <si>
    <t>Min Temperature</t>
  </si>
  <si>
    <t>float Thermistor(int raw_ADC)</t>
  </si>
  <si>
    <t>Added min temp to coefficients</t>
  </si>
  <si>
    <t>Made corrections to a few of the sheets</t>
  </si>
  <si>
    <t>Min additional error</t>
  </si>
  <si>
    <t>Max additional error</t>
  </si>
  <si>
    <t>Part Per Million tolerance across temperature (the change in resistance across the entire temperature range)</t>
  </si>
  <si>
    <t>New Tolerance after PPM --&gt;</t>
  </si>
  <si>
    <t>updated the ELPG coefficients for 175C</t>
  </si>
  <si>
    <t>Bryan's updated text edits</t>
  </si>
  <si>
    <t>Typical NTC</t>
  </si>
  <si>
    <r>
      <t xml:space="preserve">// set the number of bits based on you ADC </t>
    </r>
    <r>
      <rPr>
        <sz val="10"/>
        <color rgb="FFFF0000"/>
        <rFont val="Arial"/>
        <family val="2"/>
      </rPr>
      <t>(2^# of ADC Bit Value)</t>
    </r>
  </si>
  <si>
    <t>// set up the variable for the measured voltage</t>
  </si>
  <si>
    <t>// setup the variable for the calculated resistance</t>
  </si>
  <si>
    <r>
      <t xml:space="preserve">// set the voltage per bit based on the ADC bits / VREF </t>
    </r>
    <r>
      <rPr>
        <sz val="10"/>
        <color rgb="FFFF0000"/>
        <rFont val="Arial"/>
        <family val="2"/>
      </rPr>
      <t>(Set the ADC bit value in the Main tab to get the correct bit voltage)</t>
    </r>
  </si>
  <si>
    <t>Lookup Table</t>
  </si>
  <si>
    <t>Interpolation from Lookup Table</t>
  </si>
  <si>
    <t xml:space="preserve">        // FIFO to average thermistor temperature //</t>
  </si>
  <si>
    <t>Thermistor Temperature from Resistance (Interpolation)</t>
  </si>
  <si>
    <t>float THRM_RES = 0;</t>
  </si>
  <si>
    <t>float THRM_TEMP = 0;</t>
  </si>
  <si>
    <t>int Lookup_THRM_S(int raw_ADC)                                    // linear interpolation of a 5 degree lookup table.</t>
  </si>
  <si>
    <t xml:space="preserve">    // THRM calculations - 4th order polynomial regression</t>
  </si>
  <si>
    <t xml:space="preserve">    THRM_RES = 0;</t>
  </si>
  <si>
    <t xml:space="preserve">    THRM_ADC = raw_ADC</t>
  </si>
  <si>
    <t xml:space="preserve">        if(THRM_Res_S_Table[i][1] &gt;= THRM_RES)</t>
  </si>
  <si>
    <t xml:space="preserve">                X1 = THRM_Res_S_Table[i -1][1];                 // find the lower resistance value in the table</t>
  </si>
  <si>
    <t xml:space="preserve">                X2 = THRM_Res_S_Table[i][1];                        // find the higher resistance value in the table</t>
  </si>
  <si>
    <t xml:space="preserve">                Y1 = THRM_Res_S_Table[i -1][0];                   // find the difference by subtracting the lower resistance value from the table from the actual resistance value</t>
  </si>
  <si>
    <t xml:space="preserve">                Y2 = THRM_Res_S_Table[i][0];                       // find the difference by subtracting the higher resistance value from the table from the actual resistance value</t>
  </si>
  <si>
    <t xml:space="preserve">                THRM_TEMP = Y1 + ((THRM_RES - X1) / (X2 - X1)) * (Y2 - Y1);              // Use the low value resistance and temperature</t>
  </si>
  <si>
    <t xml:space="preserve">                return THRM_TEMP;</t>
  </si>
  <si>
    <t>int Lookup_THRM_L(int raw_ADC)                     // Lookup table (long) 1 degrees C, no math just find the first value</t>
  </si>
  <si>
    <t xml:space="preserve">    THRM_ADC = raw_ADC;</t>
  </si>
  <si>
    <t xml:space="preserve">        if(THRM_Res_L_Table[i][1] &gt;= THRM_RES)</t>
  </si>
  <si>
    <t xml:space="preserve">                    res_h = THRM_Res_L_Table[i][1];        // find the higher resistance value in the table</t>
  </si>
  <si>
    <t xml:space="preserve">                    diff_l = THRM_RES - res_l;               // find the difference by subtracting the lower resistance value from the table from the actual resistance value</t>
  </si>
  <si>
    <t xml:space="preserve">                    diff_h = THRM_RES - res_h;               // find the difference by subtracting the higher resistance value from the table from the actual resistance value</t>
  </si>
  <si>
    <t xml:space="preserve">                        THRM_TEMP = THRM_Res_L_Table[i][0];     // Use the high value resistance and temperature</t>
  </si>
  <si>
    <t xml:space="preserve">                    return THRM_TEMP;</t>
  </si>
  <si>
    <t xml:space="preserve">    float THRM_A0 =</t>
  </si>
  <si>
    <t xml:space="preserve">    float THRM_A1 =</t>
  </si>
  <si>
    <t xml:space="preserve">    float THRM_A2 = </t>
  </si>
  <si>
    <t xml:space="preserve">    float THRM_A3 = </t>
  </si>
  <si>
    <t xml:space="preserve">    float THRM_A4 = </t>
  </si>
  <si>
    <t xml:space="preserve">    THRM_TEMP = (THRM_A4 * powf(THRM_RES,4)) + (THRM_A3 * powf(THRM_RES,3)) + (THRM_A2 * powf(THRM_RES,2)) + (THRM_A1 * THRM_RES) + THRM_A0;</t>
  </si>
  <si>
    <t xml:space="preserve">    return THRM_TEMP;</t>
  </si>
  <si>
    <t>// THRM long table</t>
  </si>
  <si>
    <t>// THRM short table</t>
  </si>
  <si>
    <t>Replaced all "PTC" with "THRM"</t>
  </si>
  <si>
    <t>Updated the Plots for extended temperature</t>
  </si>
  <si>
    <t>updated  automatically. Adding after this line will mean that you will have</t>
  </si>
  <si>
    <t xml:space="preserve">Adding before this line will insert the new data and all sheet will be </t>
  </si>
  <si>
    <t>To add new coefficients for new part numbers insert before this line</t>
  </si>
  <si>
    <t>manually go to every sheet and update the new table ranges</t>
  </si>
  <si>
    <t>TMP6331DYAR</t>
  </si>
  <si>
    <t>TMP6331DYAT</t>
  </si>
  <si>
    <t>TMP6331QDYARQ1</t>
  </si>
  <si>
    <t>TMP6331QDYATQ1</t>
  </si>
  <si>
    <t>TMP6431DYAR</t>
  </si>
  <si>
    <t>TMP6431DYAT</t>
  </si>
  <si>
    <t>TMP6431QDECRQ1</t>
  </si>
  <si>
    <t>TMP6431QDECTQ1</t>
  </si>
  <si>
    <t>TMP6331DYARA0</t>
  </si>
  <si>
    <t>TMP6331DYARA1</t>
  </si>
  <si>
    <t>TMP6331DYARA2</t>
  </si>
  <si>
    <t>TMP6331DYARA3</t>
  </si>
  <si>
    <t>TMP6331DYARA4</t>
  </si>
  <si>
    <t>TMP6331DYATA0</t>
  </si>
  <si>
    <t>TMP6331DYATA1</t>
  </si>
  <si>
    <t>TMP6331DYATA2</t>
  </si>
  <si>
    <t>TMP6331DYATA3</t>
  </si>
  <si>
    <t>TMP6331DYATA4</t>
  </si>
  <si>
    <t>TMP6331QDYARQ1A0</t>
  </si>
  <si>
    <t>TMP6331QDYARQ1A1</t>
  </si>
  <si>
    <t>TMP6331QDYARQ1A2</t>
  </si>
  <si>
    <t>TMP6331QDYARQ1A3</t>
  </si>
  <si>
    <t>TMP6331QDYARQ1A4</t>
  </si>
  <si>
    <t>TMP6331QDYATQ1A0</t>
  </si>
  <si>
    <t>TMP6331QDYATQ1A1</t>
  </si>
  <si>
    <t>TMP6331QDYATQ1A2</t>
  </si>
  <si>
    <t>TMP6331QDYATQ1A3</t>
  </si>
  <si>
    <t>TMP6331QDYATQ1A4</t>
  </si>
  <si>
    <t>TMP6431DYARA0</t>
  </si>
  <si>
    <t>TMP6431DYARA1</t>
  </si>
  <si>
    <t>TMP6431DYARA2</t>
  </si>
  <si>
    <t>TMP6431DYARA3</t>
  </si>
  <si>
    <t>TMP6431DYARA4</t>
  </si>
  <si>
    <t>TMP6431DYATA0</t>
  </si>
  <si>
    <t>TMP6431DYATA1</t>
  </si>
  <si>
    <t>TMP6431DYATA2</t>
  </si>
  <si>
    <t>TMP6431DYATA3</t>
  </si>
  <si>
    <t>TMP6431DYATA4</t>
  </si>
  <si>
    <t>TMP6431QDECRQ1A0</t>
  </si>
  <si>
    <t>TMP6431QDECRQ1A1</t>
  </si>
  <si>
    <t>TMP6431QDECRQ1A2</t>
  </si>
  <si>
    <t>TMP6431QDECRQ1A3</t>
  </si>
  <si>
    <t>TMP6431QDECRQ1A4</t>
  </si>
  <si>
    <t>TMP6431QDECTQ1A0</t>
  </si>
  <si>
    <t>TMP6431QDECTQ1A1</t>
  </si>
  <si>
    <t>TMP6431QDECTQ1A2</t>
  </si>
  <si>
    <t>TMP6431QDECTQ1A3</t>
  </si>
  <si>
    <t>TMP6431QDECTQ1A4</t>
  </si>
  <si>
    <t>TMP6431QDYARQ1</t>
  </si>
  <si>
    <t>TMP6431QDYATQ1</t>
  </si>
  <si>
    <t>Coefficient number</t>
  </si>
  <si>
    <t>Part number</t>
  </si>
  <si>
    <t>Row</t>
  </si>
  <si>
    <t>Indexed to list</t>
  </si>
  <si>
    <t>TMP6431QDYARQ1A0</t>
  </si>
  <si>
    <t>TMP6431QDYARQ1A1</t>
  </si>
  <si>
    <t>TMP6431QDYARQ1A2</t>
  </si>
  <si>
    <t>TMP6431QDYARQ1A3</t>
  </si>
  <si>
    <t>TMP6431QDYARQ1A4</t>
  </si>
  <si>
    <t>TMP6431QDYATQ1A0</t>
  </si>
  <si>
    <t>TMP6431QDYATQ1A1</t>
  </si>
  <si>
    <t>TMP6431QDYATQ1A2</t>
  </si>
  <si>
    <t>TMP6431QDYATQ1A3</t>
  </si>
  <si>
    <t>TMP6431QDYATQ1A4</t>
  </si>
  <si>
    <t>Added 8 new part numbers and coefficients</t>
  </si>
  <si>
    <t>aligned and sized plots to be more astetic</t>
  </si>
  <si>
    <t>use to verify order</t>
  </si>
  <si>
    <t xml:space="preserve">Password: </t>
  </si>
  <si>
    <t>THS_apps_0</t>
  </si>
  <si>
    <t>Use this password to lock and unlock each tab</t>
  </si>
  <si>
    <t>Updted all coeffiecients to the newest and most accurate coefficients</t>
  </si>
  <si>
    <t>Increased Rbias to 6.5Vdc maximum input value. This keeps the Vdiv below 5.5V and the current at -40C below 400uA.</t>
  </si>
  <si>
    <t>4th Order Polynomial TMP vs Res</t>
  </si>
  <si>
    <t>4th Order Polynomial TMP vs Vdc</t>
  </si>
  <si>
    <t>Preferred method to calculate the temperature values from the resistance</t>
  </si>
  <si>
    <t>Preferred method to calculate the temperature values from the Vsense voltage</t>
  </si>
  <si>
    <r>
      <t>Temperature as a function of V</t>
    </r>
    <r>
      <rPr>
        <b/>
        <i/>
        <vertAlign val="subscript"/>
        <sz val="10"/>
        <color rgb="FF000000"/>
        <rFont val="Arial"/>
        <family val="2"/>
      </rPr>
      <t>TEMP</t>
    </r>
  </si>
  <si>
    <t>float VTEMP = 0;</t>
  </si>
  <si>
    <t xml:space="preserve">    VTEMP = 0;                  </t>
  </si>
  <si>
    <t xml:space="preserve">    VTEMP = (VBias/ADC_BITS) * THRM_ADC;   </t>
  </si>
  <si>
    <t xml:space="preserve">    THRM_RES = VTEMP/((VBias - VTEMP)/RBias);  </t>
  </si>
  <si>
    <t xml:space="preserve">    THRM_TEMP = (THRM_A4 * powf( VTEMP,4)) + (THRM_A3 * powf( VTEMP,3)) + (THRM_A2 * powf( VTEMP,2)) + (THRM_A1 *  VTEMP) + THRM_A0;</t>
  </si>
  <si>
    <t xml:space="preserve">    VTEMP = 0;                    // reset these variables to zero in order to recalculate the new factors</t>
  </si>
  <si>
    <t xml:space="preserve">    VTEMP = (VBias/ADC_BITS) * THRM_ADC;                                      // divider voltage - calculate volts per bit then multiply that times the ADV value</t>
  </si>
  <si>
    <t xml:space="preserve">    THRM_RES = VTEMP/((VBias - VTEMP)/RBias);                   // THRM Resistance - calculate the resistance of the thermistor</t>
  </si>
  <si>
    <t xml:space="preserve">    VTEMP = 0;                                                     // reset these variables to zero in order to recalculate the new factors</t>
  </si>
  <si>
    <t xml:space="preserve">    VTEMP = (VBias_BITS) * THRM_ADC;                                        // calculate volts per bit then multiply that times the ADV value</t>
  </si>
  <si>
    <t xml:space="preserve">    THRM_RES = VTEMP/((VBias - VTEMP)/RBias);       // calculate the resistance of the thermistor</t>
  </si>
  <si>
    <t>VTEMP (Divider Voltage)</t>
  </si>
  <si>
    <t>LSB</t>
  </si>
  <si>
    <t>Corrected typo errors throughout the worksheet</t>
  </si>
  <si>
    <t>Updated copyright dates</t>
  </si>
  <si>
    <t>Adjust the Alpha to change the filter</t>
  </si>
  <si>
    <t>Alpha (α)</t>
  </si>
  <si>
    <t>Meas_Temp</t>
  </si>
  <si>
    <t>C</t>
  </si>
  <si>
    <t>preset value</t>
  </si>
  <si>
    <t>Filtered_Temp</t>
  </si>
  <si>
    <t>Seconds</t>
  </si>
  <si>
    <t>Example:</t>
  </si>
  <si>
    <t>Results:</t>
  </si>
  <si>
    <t xml:space="preserve">Meas_Temp  (°C) </t>
  </si>
  <si>
    <t xml:space="preserve">Filtered_Temp  (°C) </t>
  </si>
  <si>
    <t>Low Pass Filter</t>
  </si>
  <si>
    <t>0.001&lt;α&lt;1</t>
  </si>
  <si>
    <t>//Floating Point</t>
  </si>
  <si>
    <t xml:space="preserve">float Meas_Temp = 25;     </t>
  </si>
  <si>
    <t xml:space="preserve"> // It's assumed that you have read the ADC and calculated your temperature</t>
  </si>
  <si>
    <t xml:space="preserve">float Filtered_Temp = 25;     </t>
  </si>
  <si>
    <t xml:space="preserve"> // Set a default filtered temperature value equal to the first measured value to reduce the ramp time</t>
  </si>
  <si>
    <t xml:space="preserve">float Alpha = 0.1;     </t>
  </si>
  <si>
    <t xml:space="preserve"> // .001&lt;α&lt;1, adjust as required</t>
  </si>
  <si>
    <t xml:space="preserve">// Insert this line of code after the temperature calculation (remember to add the offset to your temperature values) </t>
  </si>
  <si>
    <t xml:space="preserve">Filtered_Temp = Filtered_Temp - (Alpha * (Filtered_Temp - Meas_Temp)); </t>
  </si>
  <si>
    <t>// Low Pass Filter using an Alpha and preset values to create a filtered or smoothed temperature response -------------------------------------------------</t>
  </si>
  <si>
    <t>To increase accuracy and reduce start up time of the filter set the Meas_Temp variable to the first temperature value measured.</t>
  </si>
  <si>
    <t>To increase accuracy and reduce start up time of the filter set the Filtered_Temp variable to the first temperature value measured.</t>
  </si>
  <si>
    <t xml:space="preserve">                    res_l = THRM_Res_L_Table[i -1][1];          // find the lower resistance value in the table</t>
  </si>
  <si>
    <t xml:space="preserve">                        THRM_TEMP = THRM_Res_L_Table[i -1][0];       // Use the low value resistance and temperature</t>
  </si>
  <si>
    <t>℃</t>
  </si>
  <si>
    <t>Max Operating Temperature</t>
  </si>
  <si>
    <t>Current</t>
  </si>
  <si>
    <t>A</t>
  </si>
  <si>
    <t>Added Firmware LPF tab</t>
  </si>
  <si>
    <t>extended the VBias down to 0.3V and up to 6.5V</t>
  </si>
  <si>
    <t>added max temp for part to main page</t>
  </si>
  <si>
    <t>Firmware based Low Pass Filter</t>
  </si>
  <si>
    <t>increased DYA temperature high limit to 150C</t>
  </si>
  <si>
    <t>Added Temperature vs Vtemp (VDC) tab</t>
  </si>
  <si>
    <t>// Remove all lines associated with unused temperatures and update the table length</t>
  </si>
  <si>
    <t>ext Vbias</t>
  </si>
  <si>
    <t>0.3V-6.5V</t>
  </si>
  <si>
    <t>STD Vbias</t>
  </si>
  <si>
    <t>0.8V-5.5V</t>
  </si>
  <si>
    <t xml:space="preserve">Adding before this line will insert the new data and all sheets will be </t>
  </si>
  <si>
    <t>To add new products insert the part number and data before the last line</t>
  </si>
  <si>
    <t>Min Vbias</t>
  </si>
  <si>
    <t>Max Vbias</t>
  </si>
  <si>
    <t>VBias Voltage Label</t>
  </si>
  <si>
    <t>Do not change this label</t>
  </si>
  <si>
    <t>Min VBias Lookup</t>
  </si>
  <si>
    <t>Max VBias Lookup</t>
  </si>
  <si>
    <t xml:space="preserve">        for(j = 0; j &lt; Tmp_1_length; j++)                                 // shift the array as a FIFO and drop the last data value, add the new value to the array for (x) samples</t>
  </si>
  <si>
    <t>Hz</t>
  </si>
  <si>
    <t>SPS (Samples Per Second)</t>
  </si>
  <si>
    <t>LPF (Low Pass Filter)</t>
  </si>
  <si>
    <t>1.510</t>
  </si>
  <si>
    <t>Added VBA to reset voltage on part number change</t>
  </si>
  <si>
    <t>Enter the sample rate per second</t>
  </si>
  <si>
    <t>Enter the Alpha value (The smaller the Alpha value the more the filter reduces variations)</t>
  </si>
  <si>
    <t>TMP6x FAQ</t>
  </si>
  <si>
    <t>FAQ's for the TMP6x series of thermistors</t>
  </si>
  <si>
    <t>int THRM_Res_S_Table[43][2] = {</t>
  </si>
  <si>
    <t>int THRM_Res_L_Table[211][2] = {</t>
  </si>
  <si>
    <r>
      <t>Typical resistance (</t>
    </r>
    <r>
      <rPr>
        <b/>
        <u/>
        <sz val="12"/>
        <rFont val="Calibri"/>
        <family val="2"/>
      </rPr>
      <t>Ω</t>
    </r>
    <r>
      <rPr>
        <b/>
        <u/>
        <sz val="12"/>
        <rFont val="Arial"/>
        <family val="2"/>
      </rPr>
      <t>)</t>
    </r>
  </si>
  <si>
    <r>
      <rPr>
        <sz val="12"/>
        <rFont val="Calibri"/>
        <family val="2"/>
      </rPr>
      <t>°</t>
    </r>
    <r>
      <rPr>
        <sz val="12"/>
        <rFont val="Arial"/>
        <family val="2"/>
      </rPr>
      <t>C</t>
    </r>
  </si>
  <si>
    <r>
      <t>(</t>
    </r>
    <r>
      <rPr>
        <sz val="12"/>
        <rFont val="Calibri"/>
        <family val="2"/>
      </rPr>
      <t>Ω</t>
    </r>
    <r>
      <rPr>
        <sz val="12"/>
        <rFont val="Arial"/>
        <family val="2"/>
      </rPr>
      <t>)</t>
    </r>
  </si>
  <si>
    <r>
      <rPr>
        <b/>
        <i/>
        <sz val="12"/>
        <color rgb="FF00B0F0"/>
        <rFont val="Arial"/>
        <family val="2"/>
      </rPr>
      <t>R(Ω)</t>
    </r>
    <r>
      <rPr>
        <b/>
        <i/>
        <sz val="12"/>
        <rFont val="Arial"/>
        <family val="2"/>
      </rPr>
      <t xml:space="preserve"> = </t>
    </r>
    <r>
      <rPr>
        <b/>
        <i/>
        <sz val="12"/>
        <color rgb="FFFF0000"/>
        <rFont val="Arial"/>
        <family val="2"/>
      </rPr>
      <t>A4</t>
    </r>
    <r>
      <rPr>
        <b/>
        <i/>
        <sz val="12"/>
        <rFont val="Arial"/>
        <family val="2"/>
      </rPr>
      <t>*(</t>
    </r>
    <r>
      <rPr>
        <b/>
        <i/>
        <sz val="12"/>
        <color rgb="FF00B050"/>
        <rFont val="Arial"/>
        <family val="2"/>
      </rPr>
      <t>T</t>
    </r>
    <r>
      <rPr>
        <b/>
        <i/>
        <sz val="12"/>
        <rFont val="Arial"/>
        <family val="2"/>
      </rPr>
      <t xml:space="preserve">^4) + </t>
    </r>
    <r>
      <rPr>
        <b/>
        <i/>
        <sz val="12"/>
        <color rgb="FF7030A0"/>
        <rFont val="Arial"/>
        <family val="2"/>
      </rPr>
      <t>A3</t>
    </r>
    <r>
      <rPr>
        <b/>
        <i/>
        <sz val="12"/>
        <rFont val="Arial"/>
        <family val="2"/>
      </rPr>
      <t>*(</t>
    </r>
    <r>
      <rPr>
        <b/>
        <i/>
        <sz val="12"/>
        <color rgb="FF00B050"/>
        <rFont val="Arial"/>
        <family val="2"/>
      </rPr>
      <t>T</t>
    </r>
    <r>
      <rPr>
        <b/>
        <i/>
        <sz val="12"/>
        <rFont val="Arial"/>
        <family val="2"/>
      </rPr>
      <t xml:space="preserve">^3) + </t>
    </r>
    <r>
      <rPr>
        <b/>
        <i/>
        <sz val="12"/>
        <color rgb="FFC00000"/>
        <rFont val="Arial"/>
        <family val="2"/>
      </rPr>
      <t>A2</t>
    </r>
    <r>
      <rPr>
        <b/>
        <i/>
        <sz val="12"/>
        <rFont val="Arial"/>
        <family val="2"/>
      </rPr>
      <t>*(</t>
    </r>
    <r>
      <rPr>
        <b/>
        <i/>
        <sz val="12"/>
        <color rgb="FF00B050"/>
        <rFont val="Arial"/>
        <family val="2"/>
      </rPr>
      <t>T</t>
    </r>
    <r>
      <rPr>
        <b/>
        <i/>
        <sz val="12"/>
        <rFont val="Arial"/>
        <family val="2"/>
      </rPr>
      <t xml:space="preserve">^2) + </t>
    </r>
    <r>
      <rPr>
        <b/>
        <i/>
        <sz val="12"/>
        <color rgb="FF0070C0"/>
        <rFont val="Arial"/>
        <family val="2"/>
      </rPr>
      <t>A1</t>
    </r>
    <r>
      <rPr>
        <b/>
        <i/>
        <sz val="12"/>
        <rFont val="Arial"/>
        <family val="2"/>
      </rPr>
      <t>*</t>
    </r>
    <r>
      <rPr>
        <b/>
        <i/>
        <sz val="12"/>
        <color rgb="FF00B050"/>
        <rFont val="Arial"/>
        <family val="2"/>
      </rPr>
      <t xml:space="preserve">T </t>
    </r>
    <r>
      <rPr>
        <b/>
        <i/>
        <sz val="12"/>
        <rFont val="Arial"/>
        <family val="2"/>
      </rPr>
      <t>+ A0</t>
    </r>
  </si>
  <si>
    <r>
      <rPr>
        <b/>
        <sz val="12"/>
        <color rgb="FF00B0F0"/>
        <rFont val="Arial"/>
        <family val="2"/>
      </rPr>
      <t>TºC</t>
    </r>
    <r>
      <rPr>
        <b/>
        <sz val="12"/>
        <rFont val="Arial"/>
        <family val="2"/>
      </rPr>
      <t xml:space="preserve"> = </t>
    </r>
    <r>
      <rPr>
        <b/>
        <sz val="12"/>
        <color rgb="FFFF0000"/>
        <rFont val="Arial"/>
        <family val="2"/>
      </rPr>
      <t>A4</t>
    </r>
    <r>
      <rPr>
        <b/>
        <sz val="12"/>
        <rFont val="Arial"/>
        <family val="2"/>
      </rPr>
      <t>*(</t>
    </r>
    <r>
      <rPr>
        <b/>
        <sz val="12"/>
        <color rgb="FF00B050"/>
        <rFont val="Arial"/>
        <family val="2"/>
      </rPr>
      <t>R</t>
    </r>
    <r>
      <rPr>
        <b/>
        <sz val="12"/>
        <rFont val="Arial"/>
        <family val="2"/>
      </rPr>
      <t xml:space="preserve">^4) + </t>
    </r>
    <r>
      <rPr>
        <b/>
        <sz val="12"/>
        <color rgb="FF7030A0"/>
        <rFont val="Arial"/>
        <family val="2"/>
      </rPr>
      <t>A3</t>
    </r>
    <r>
      <rPr>
        <b/>
        <sz val="12"/>
        <rFont val="Arial"/>
        <family val="2"/>
      </rPr>
      <t>*(</t>
    </r>
    <r>
      <rPr>
        <b/>
        <sz val="12"/>
        <color rgb="FF00B050"/>
        <rFont val="Arial"/>
        <family val="2"/>
      </rPr>
      <t>R</t>
    </r>
    <r>
      <rPr>
        <b/>
        <sz val="12"/>
        <rFont val="Arial"/>
        <family val="2"/>
      </rPr>
      <t xml:space="preserve">^3) + </t>
    </r>
    <r>
      <rPr>
        <b/>
        <sz val="12"/>
        <color rgb="FFC00000"/>
        <rFont val="Arial"/>
        <family val="2"/>
      </rPr>
      <t>A2</t>
    </r>
    <r>
      <rPr>
        <b/>
        <sz val="12"/>
        <rFont val="Arial"/>
        <family val="2"/>
      </rPr>
      <t>*(</t>
    </r>
    <r>
      <rPr>
        <b/>
        <sz val="12"/>
        <color rgb="FF00B050"/>
        <rFont val="Arial"/>
        <family val="2"/>
      </rPr>
      <t>R</t>
    </r>
    <r>
      <rPr>
        <b/>
        <sz val="12"/>
        <rFont val="Arial"/>
        <family val="2"/>
      </rPr>
      <t xml:space="preserve">^2) + </t>
    </r>
    <r>
      <rPr>
        <b/>
        <sz val="12"/>
        <color rgb="FF0070C0"/>
        <rFont val="Arial"/>
        <family val="2"/>
      </rPr>
      <t>A1</t>
    </r>
    <r>
      <rPr>
        <b/>
        <sz val="12"/>
        <rFont val="Arial"/>
        <family val="2"/>
      </rPr>
      <t>*</t>
    </r>
    <r>
      <rPr>
        <b/>
        <sz val="12"/>
        <color rgb="FF00B050"/>
        <rFont val="Arial"/>
        <family val="2"/>
      </rPr>
      <t>R</t>
    </r>
    <r>
      <rPr>
        <b/>
        <sz val="12"/>
        <rFont val="Arial"/>
        <family val="2"/>
      </rPr>
      <t xml:space="preserve"> + A0</t>
    </r>
  </si>
  <si>
    <r>
      <rPr>
        <b/>
        <sz val="12"/>
        <color rgb="FF00B0F0"/>
        <rFont val="Arial"/>
        <family val="2"/>
      </rPr>
      <t>TºC</t>
    </r>
    <r>
      <rPr>
        <b/>
        <sz val="12"/>
        <rFont val="Arial"/>
        <family val="2"/>
      </rPr>
      <t xml:space="preserve"> = </t>
    </r>
    <r>
      <rPr>
        <b/>
        <sz val="12"/>
        <color rgb="FFFF0000"/>
        <rFont val="Arial"/>
        <family val="2"/>
      </rPr>
      <t>A4</t>
    </r>
    <r>
      <rPr>
        <b/>
        <sz val="12"/>
        <rFont val="Arial"/>
        <family val="2"/>
      </rPr>
      <t>*(</t>
    </r>
    <r>
      <rPr>
        <b/>
        <sz val="12"/>
        <color rgb="FF00B050"/>
        <rFont val="Arial"/>
        <family val="2"/>
      </rPr>
      <t>V</t>
    </r>
    <r>
      <rPr>
        <b/>
        <sz val="12"/>
        <rFont val="Arial"/>
        <family val="2"/>
      </rPr>
      <t xml:space="preserve">^4) + </t>
    </r>
    <r>
      <rPr>
        <b/>
        <sz val="12"/>
        <color rgb="FF7030A0"/>
        <rFont val="Arial"/>
        <family val="2"/>
      </rPr>
      <t>A3</t>
    </r>
    <r>
      <rPr>
        <b/>
        <sz val="12"/>
        <rFont val="Arial"/>
        <family val="2"/>
      </rPr>
      <t>*(</t>
    </r>
    <r>
      <rPr>
        <b/>
        <sz val="12"/>
        <color rgb="FF00B050"/>
        <rFont val="Arial"/>
        <family val="2"/>
      </rPr>
      <t>V</t>
    </r>
    <r>
      <rPr>
        <b/>
        <sz val="12"/>
        <rFont val="Arial"/>
        <family val="2"/>
      </rPr>
      <t xml:space="preserve">^3) + </t>
    </r>
    <r>
      <rPr>
        <b/>
        <sz val="12"/>
        <color rgb="FFC00000"/>
        <rFont val="Arial"/>
        <family val="2"/>
      </rPr>
      <t>A2</t>
    </r>
    <r>
      <rPr>
        <b/>
        <sz val="12"/>
        <rFont val="Arial"/>
        <family val="2"/>
      </rPr>
      <t>*(</t>
    </r>
    <r>
      <rPr>
        <b/>
        <sz val="12"/>
        <color rgb="FF00B050"/>
        <rFont val="Arial"/>
        <family val="2"/>
      </rPr>
      <t>V</t>
    </r>
    <r>
      <rPr>
        <b/>
        <sz val="12"/>
        <rFont val="Arial"/>
        <family val="2"/>
      </rPr>
      <t xml:space="preserve">^2) + </t>
    </r>
    <r>
      <rPr>
        <b/>
        <sz val="12"/>
        <color rgb="FF0070C0"/>
        <rFont val="Arial"/>
        <family val="2"/>
      </rPr>
      <t>A1</t>
    </r>
    <r>
      <rPr>
        <b/>
        <sz val="12"/>
        <rFont val="Arial"/>
        <family val="2"/>
      </rPr>
      <t>*</t>
    </r>
    <r>
      <rPr>
        <b/>
        <sz val="12"/>
        <color rgb="FF00B050"/>
        <rFont val="Arial"/>
        <family val="2"/>
      </rPr>
      <t>V</t>
    </r>
    <r>
      <rPr>
        <b/>
        <sz val="12"/>
        <rFont val="Arial"/>
        <family val="2"/>
      </rPr>
      <t xml:space="preserve"> + A0</t>
    </r>
  </si>
  <si>
    <r>
      <t>Temperature as a function of V</t>
    </r>
    <r>
      <rPr>
        <b/>
        <i/>
        <vertAlign val="subscript"/>
        <sz val="12"/>
        <color rgb="FF000000"/>
        <rFont val="Arial"/>
        <family val="2"/>
      </rPr>
      <t>TEMP</t>
    </r>
  </si>
  <si>
    <r>
      <t>V</t>
    </r>
    <r>
      <rPr>
        <vertAlign val="subscript"/>
        <sz val="12"/>
        <rFont val="Arial"/>
        <family val="2"/>
      </rPr>
      <t>TEMP</t>
    </r>
  </si>
  <si>
    <r>
      <t>Enter V</t>
    </r>
    <r>
      <rPr>
        <vertAlign val="subscript"/>
        <sz val="12"/>
        <rFont val="Arial"/>
        <family val="2"/>
      </rPr>
      <t>TEMP</t>
    </r>
    <r>
      <rPr>
        <sz val="12"/>
        <rFont val="Arial"/>
        <family val="2"/>
      </rPr>
      <t xml:space="preserve"> as a voltage from the ADC to get the temperature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</si>
</sst>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General_)"/>
    <numFmt numFmtId="165" formatCode="0.000000"/>
    <numFmt numFmtId="166" formatCode="0.0000000"/>
    <numFmt numFmtId="167" formatCode="0.00000000"/>
    <numFmt numFmtId="168" formatCode="0.00_)"/>
    <numFmt numFmtId="169" formatCode="0.000000000"/>
    <numFmt numFmtId="170" formatCode="0.0000%"/>
    <numFmt numFmtId="171" formatCode="0.000000000000"/>
    <numFmt numFmtId="172" formatCode="0.0"/>
    <numFmt numFmtId="173" formatCode="0.000"/>
    <numFmt numFmtId="174" formatCode="0.0000"/>
    <numFmt numFmtId="175" formatCode="#,##0.0"/>
    <numFmt numFmtId="176" formatCode="0.0000E+00"/>
    <numFmt numFmtId="177" formatCode="0.00000E+00"/>
    <numFmt numFmtId="178" formatCode="0.000000E+00"/>
    <numFmt numFmtId="179" formatCode="0.00000"/>
  </numFmts>
  <fonts count="88"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0"/>
      <name val="Arial"/>
      <family val="2"/>
    </font>
    <font>
      <sz val="10"/>
      <name val="Courier"/>
      <family val="3"/>
    </font>
    <font>
      <sz val="11"/>
      <color theme="1"/>
      <name val="Calibri"/>
      <family val="2"/>
      <scheme val="minor"/>
    </font>
    <font>
      <sz val="11"/>
      <color theme="0"/>
      <name val="Calibri"/>
      <family val="2"/>
      <scheme val="minor"/>
    </font>
    <font>
      <b/>
      <sz val="10"/>
      <color rgb="FFFA7D00"/>
      <name val="Arial"/>
      <family val="2"/>
    </font>
    <font>
      <u/>
      <sz val="10.199999999999999"/>
      <color indexed="12"/>
      <name val="Times New Roman CE"/>
      <charset val="238"/>
    </font>
    <font>
      <sz val="10"/>
      <color rgb="FF3F3F76"/>
      <name val="Arial"/>
      <family val="2"/>
    </font>
    <font>
      <sz val="10"/>
      <color rgb="FF9C6500"/>
      <name val="Arial"/>
      <family val="2"/>
    </font>
    <font>
      <u/>
      <sz val="10"/>
      <color theme="10"/>
      <name val="Arial"/>
      <family val="2"/>
    </font>
    <font>
      <b/>
      <sz val="12"/>
      <color theme="1"/>
      <name val="Arial"/>
      <family val="2"/>
    </font>
    <font>
      <b/>
      <sz val="10"/>
      <color theme="1"/>
      <name val="Arial"/>
      <family val="2"/>
    </font>
    <font>
      <i/>
      <sz val="10"/>
      <color theme="1"/>
      <name val="Arial"/>
      <family val="2"/>
    </font>
    <font>
      <sz val="10"/>
      <color theme="1"/>
      <name val="Arial"/>
      <family val="2"/>
    </font>
    <font>
      <sz val="10"/>
      <color theme="0"/>
      <name val="Arial"/>
      <family val="2"/>
    </font>
    <font>
      <b/>
      <u/>
      <sz val="10"/>
      <name val="Arial"/>
      <family val="2"/>
    </font>
    <font>
      <b/>
      <sz val="14"/>
      <color rgb="FFFF0000"/>
      <name val="Arial"/>
      <family val="2"/>
    </font>
    <font>
      <b/>
      <sz val="10"/>
      <name val="Arial"/>
      <family val="2"/>
    </font>
    <font>
      <b/>
      <sz val="11"/>
      <name val="Arial"/>
      <family val="2"/>
    </font>
    <font>
      <i/>
      <sz val="10"/>
      <name val="Arial"/>
      <family val="2"/>
    </font>
    <font>
      <sz val="10"/>
      <color rgb="FF574123"/>
      <name val="Arial"/>
      <family val="2"/>
    </font>
    <font>
      <sz val="10"/>
      <color rgb="FF00B0F0"/>
      <name val="Arial"/>
      <family val="2"/>
    </font>
    <font>
      <b/>
      <i/>
      <sz val="10"/>
      <color rgb="FF000000"/>
      <name val="Arial"/>
      <family val="2"/>
    </font>
    <font>
      <b/>
      <i/>
      <sz val="10"/>
      <color theme="1"/>
      <name val="Arial"/>
      <family val="2"/>
    </font>
    <font>
      <sz val="11"/>
      <name val="Calibri"/>
      <family val="2"/>
    </font>
    <font>
      <b/>
      <sz val="12"/>
      <name val="Arial"/>
      <family val="2"/>
    </font>
    <font>
      <sz val="12"/>
      <name val="Arial"/>
      <family val="2"/>
    </font>
    <font>
      <b/>
      <sz val="11"/>
      <color theme="1"/>
      <name val="Arial"/>
      <family val="2"/>
    </font>
    <font>
      <b/>
      <i/>
      <sz val="11"/>
      <name val="Arial"/>
      <family val="2"/>
    </font>
    <font>
      <sz val="16"/>
      <color rgb="FF000000"/>
      <name val="Arial Black"/>
      <family val="2"/>
    </font>
    <font>
      <sz val="10"/>
      <color rgb="FFFF0000"/>
      <name val="Arial"/>
      <family val="2"/>
    </font>
    <font>
      <sz val="12"/>
      <color theme="1"/>
      <name val="Arial"/>
      <family val="2"/>
    </font>
    <font>
      <sz val="10"/>
      <color theme="0" tint="-0.34998626667073579"/>
      <name val="Wingdings 3"/>
      <family val="1"/>
      <charset val="2"/>
    </font>
    <font>
      <b/>
      <sz val="14"/>
      <name val="Arial"/>
      <family val="2"/>
    </font>
    <font>
      <sz val="11"/>
      <name val="Arial"/>
      <family val="2"/>
    </font>
    <font>
      <u/>
      <sz val="12"/>
      <color theme="10"/>
      <name val="Arial"/>
      <family val="2"/>
    </font>
    <font>
      <b/>
      <u/>
      <sz val="16"/>
      <name val="Arial"/>
      <family val="2"/>
    </font>
    <font>
      <b/>
      <u/>
      <sz val="16"/>
      <name val="Tahoma"/>
      <family val="2"/>
    </font>
    <font>
      <b/>
      <sz val="12"/>
      <name val="Tahoma"/>
      <family val="2"/>
    </font>
    <font>
      <b/>
      <sz val="12"/>
      <name val="Calibri"/>
      <family val="2"/>
      <scheme val="minor"/>
    </font>
    <font>
      <sz val="12"/>
      <name val="Calibri"/>
      <family val="2"/>
      <scheme val="minor"/>
    </font>
    <font>
      <b/>
      <u/>
      <sz val="10"/>
      <color rgb="FF00B0F0"/>
      <name val="Arial"/>
      <family val="2"/>
    </font>
    <font>
      <b/>
      <sz val="10"/>
      <color rgb="FF00B0F0"/>
      <name val="Arial"/>
      <family val="2"/>
    </font>
    <font>
      <b/>
      <sz val="12"/>
      <color theme="1"/>
      <name val="Calibri"/>
      <family val="2"/>
      <scheme val="minor"/>
    </font>
    <font>
      <b/>
      <sz val="14"/>
      <color theme="1"/>
      <name val="Calibri"/>
      <family val="2"/>
      <scheme val="minor"/>
    </font>
    <font>
      <b/>
      <u/>
      <sz val="12"/>
      <color theme="1"/>
      <name val="Calibri"/>
      <family val="2"/>
      <scheme val="minor"/>
    </font>
    <font>
      <i/>
      <sz val="12"/>
      <color theme="1"/>
      <name val="Calibri"/>
      <family val="2"/>
      <scheme val="minor"/>
    </font>
    <font>
      <b/>
      <i/>
      <sz val="12"/>
      <color theme="1"/>
      <name val="Calibri"/>
      <family val="2"/>
      <scheme val="minor"/>
    </font>
    <font>
      <i/>
      <sz val="12"/>
      <name val="Calibri"/>
      <family val="2"/>
      <scheme val="minor"/>
    </font>
    <font>
      <i/>
      <sz val="11"/>
      <name val="Calibri"/>
      <family val="2"/>
      <scheme val="minor"/>
    </font>
    <font>
      <vertAlign val="superscript"/>
      <sz val="11"/>
      <name val="Calibri"/>
      <family val="2"/>
    </font>
    <font>
      <sz val="7"/>
      <name val="Times New Roman"/>
      <family val="1"/>
    </font>
    <font>
      <b/>
      <i/>
      <vertAlign val="subscript"/>
      <sz val="10"/>
      <color rgb="FF000000"/>
      <name val="Arial"/>
      <family val="2"/>
    </font>
    <font>
      <b/>
      <sz val="12"/>
      <color rgb="FFFF0000"/>
      <name val="Arial"/>
      <family val="2"/>
    </font>
    <font>
      <i/>
      <sz val="12"/>
      <name val="Arial"/>
      <family val="2"/>
    </font>
    <font>
      <b/>
      <i/>
      <sz val="12"/>
      <name val="Arial"/>
      <family val="2"/>
    </font>
    <font>
      <sz val="12"/>
      <color rgb="FF574123"/>
      <name val="Arial"/>
      <family val="2"/>
    </font>
    <font>
      <b/>
      <u/>
      <sz val="12"/>
      <name val="Arial"/>
      <family val="2"/>
    </font>
    <font>
      <b/>
      <u/>
      <sz val="12"/>
      <name val="Calibri"/>
      <family val="2"/>
    </font>
    <font>
      <sz val="12"/>
      <name val="Calibri"/>
      <family val="2"/>
    </font>
    <font>
      <u/>
      <sz val="12"/>
      <name val="Arial"/>
      <family val="2"/>
    </font>
    <font>
      <b/>
      <u/>
      <sz val="12"/>
      <color theme="1"/>
      <name val="Arial"/>
      <family val="2"/>
    </font>
    <font>
      <b/>
      <i/>
      <u/>
      <sz val="12"/>
      <name val="Arial"/>
      <family val="2"/>
    </font>
    <font>
      <b/>
      <i/>
      <sz val="12"/>
      <color rgb="FF00B0F0"/>
      <name val="Arial"/>
      <family val="2"/>
    </font>
    <font>
      <b/>
      <i/>
      <sz val="12"/>
      <color rgb="FFFF0000"/>
      <name val="Arial"/>
      <family val="2"/>
    </font>
    <font>
      <b/>
      <i/>
      <sz val="12"/>
      <color rgb="FF00B050"/>
      <name val="Arial"/>
      <family val="2"/>
    </font>
    <font>
      <b/>
      <i/>
      <sz val="12"/>
      <color rgb="FF7030A0"/>
      <name val="Arial"/>
      <family val="2"/>
    </font>
    <font>
      <b/>
      <i/>
      <sz val="12"/>
      <color rgb="FFC00000"/>
      <name val="Arial"/>
      <family val="2"/>
    </font>
    <font>
      <b/>
      <i/>
      <sz val="12"/>
      <color rgb="FF0070C0"/>
      <name val="Arial"/>
      <family val="2"/>
    </font>
    <font>
      <b/>
      <i/>
      <sz val="12"/>
      <color rgb="FF000000"/>
      <name val="Arial"/>
      <family val="2"/>
    </font>
    <font>
      <sz val="12"/>
      <color rgb="FF0070C0"/>
      <name val="Arial"/>
      <family val="2"/>
    </font>
    <font>
      <sz val="12"/>
      <color rgb="FFC00000"/>
      <name val="Arial"/>
      <family val="2"/>
    </font>
    <font>
      <sz val="12"/>
      <color rgb="FF7030A0"/>
      <name val="Arial"/>
      <family val="2"/>
    </font>
    <font>
      <sz val="12"/>
      <color rgb="FFFF0000"/>
      <name val="Arial"/>
      <family val="2"/>
    </font>
    <font>
      <sz val="12"/>
      <color rgb="FF00B050"/>
      <name val="Arial"/>
      <family val="2"/>
    </font>
    <font>
      <sz val="12"/>
      <color rgb="FF00B0F0"/>
      <name val="Arial"/>
      <family val="2"/>
    </font>
    <font>
      <b/>
      <sz val="12"/>
      <color rgb="FF00B0F0"/>
      <name val="Arial"/>
      <family val="2"/>
    </font>
    <font>
      <b/>
      <sz val="12"/>
      <color rgb="FF00B050"/>
      <name val="Arial"/>
      <family val="2"/>
    </font>
    <font>
      <b/>
      <sz val="12"/>
      <color rgb="FF7030A0"/>
      <name val="Arial"/>
      <family val="2"/>
    </font>
    <font>
      <b/>
      <sz val="12"/>
      <color rgb="FFC00000"/>
      <name val="Arial"/>
      <family val="2"/>
    </font>
    <font>
      <b/>
      <sz val="12"/>
      <color rgb="FF0070C0"/>
      <name val="Arial"/>
      <family val="2"/>
    </font>
    <font>
      <b/>
      <i/>
      <vertAlign val="subscript"/>
      <sz val="12"/>
      <color rgb="FF000000"/>
      <name val="Arial"/>
      <family val="2"/>
    </font>
    <font>
      <vertAlign val="subscript"/>
      <sz val="12"/>
      <name val="Arial"/>
      <family val="2"/>
    </font>
  </fonts>
  <fills count="18">
    <fill>
      <patternFill patternType="none"/>
    </fill>
    <fill>
      <patternFill patternType="gray125"/>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9"/>
      </patternFill>
    </fill>
    <fill>
      <patternFill patternType="solid">
        <fgColor theme="9" tint="0.79998168889431442"/>
        <bgColor indexed="65"/>
      </patternFill>
    </fill>
    <fill>
      <patternFill patternType="solid">
        <fgColor rgb="FFFFFF0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DE0000"/>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4" tint="0.79998168889431442"/>
        <bgColor indexed="64"/>
      </patternFill>
    </fill>
  </fills>
  <borders count="70">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ck">
        <color auto="1"/>
      </right>
      <top style="thick">
        <color auto="1"/>
      </top>
      <bottom/>
      <diagonal/>
    </border>
    <border>
      <left/>
      <right/>
      <top style="thin">
        <color auto="1"/>
      </top>
      <bottom style="thin">
        <color auto="1"/>
      </bottom>
      <diagonal/>
    </border>
    <border>
      <left style="thick">
        <color rgb="FFCC0000"/>
      </left>
      <right/>
      <top/>
      <bottom/>
      <diagonal/>
    </border>
    <border>
      <left style="medium">
        <color rgb="FFC00000"/>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medium">
        <color rgb="FFC00000"/>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style="medium">
        <color auto="1"/>
      </top>
      <bottom style="medium">
        <color auto="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bottom style="medium">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style="medium">
        <color rgb="FFC00000"/>
      </right>
      <top/>
      <bottom style="medium">
        <color rgb="FFC00000"/>
      </bottom>
      <diagonal/>
    </border>
    <border>
      <left style="medium">
        <color rgb="FFC00000"/>
      </left>
      <right style="medium">
        <color rgb="FFC00000"/>
      </right>
      <top style="thin">
        <color indexed="64"/>
      </top>
      <bottom style="thin">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style="medium">
        <color rgb="FF00B050"/>
      </right>
      <top style="medium">
        <color rgb="FFC00000"/>
      </top>
      <bottom style="medium">
        <color rgb="FF00B050"/>
      </bottom>
      <diagonal/>
    </border>
    <border>
      <left style="thin">
        <color theme="1"/>
      </left>
      <right style="thin">
        <color theme="1"/>
      </right>
      <top style="thin">
        <color theme="1"/>
      </top>
      <bottom style="thin">
        <color theme="1"/>
      </bottom>
      <diagonal/>
    </border>
    <border>
      <left style="medium">
        <color rgb="FF00B050"/>
      </left>
      <right style="medium">
        <color rgb="FF00B050"/>
      </right>
      <top/>
      <bottom style="medium">
        <color rgb="FF00B050"/>
      </bottom>
      <diagonal/>
    </border>
    <border>
      <left style="medium">
        <color rgb="FFC00000"/>
      </left>
      <right style="medium">
        <color rgb="FFC00000"/>
      </right>
      <top style="medium">
        <color rgb="FFC00000"/>
      </top>
      <bottom style="thin">
        <color indexed="64"/>
      </bottom>
      <diagonal/>
    </border>
    <border>
      <left style="thin">
        <color indexed="64"/>
      </left>
      <right style="thin">
        <color indexed="64"/>
      </right>
      <top/>
      <bottom/>
      <diagonal/>
    </border>
    <border>
      <left style="medium">
        <color rgb="FFC00000"/>
      </left>
      <right style="medium">
        <color rgb="FF00B050"/>
      </right>
      <top/>
      <bottom/>
      <diagonal/>
    </border>
    <border>
      <left style="thin">
        <color indexed="64"/>
      </left>
      <right style="medium">
        <color rgb="FF00B050"/>
      </right>
      <top style="thin">
        <color indexed="64"/>
      </top>
      <bottom style="thin">
        <color indexed="64"/>
      </bottom>
      <diagonal/>
    </border>
    <border>
      <left/>
      <right style="medium">
        <color rgb="FF00B050"/>
      </right>
      <top/>
      <bottom/>
      <diagonal/>
    </border>
    <border>
      <left/>
      <right style="thin">
        <color indexed="64"/>
      </right>
      <top style="thin">
        <color theme="1"/>
      </top>
      <bottom style="thin">
        <color indexed="64"/>
      </bottom>
      <diagonal/>
    </border>
    <border>
      <left/>
      <right/>
      <top style="medium">
        <color auto="1"/>
      </top>
      <bottom/>
      <diagonal/>
    </border>
    <border>
      <left style="thin">
        <color indexed="64"/>
      </left>
      <right style="thin">
        <color indexed="64"/>
      </right>
      <top style="medium">
        <color auto="1"/>
      </top>
      <bottom style="thin">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rgb="FFC00000"/>
      </left>
      <right style="medium">
        <color rgb="FFC00000"/>
      </right>
      <top style="thin">
        <color indexed="64"/>
      </top>
      <bottom style="medium">
        <color rgb="FFC00000"/>
      </bottom>
      <diagonal/>
    </border>
    <border>
      <left style="medium">
        <color auto="1"/>
      </left>
      <right/>
      <top/>
      <bottom/>
      <diagonal/>
    </border>
    <border>
      <left/>
      <right style="medium">
        <color auto="1"/>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rgb="FFC00000"/>
      </left>
      <right style="medium">
        <color rgb="FFC00000"/>
      </right>
      <top style="thin">
        <color indexed="64"/>
      </top>
      <bottom style="thin">
        <color theme="1"/>
      </bottom>
      <diagonal/>
    </border>
    <border>
      <left style="medium">
        <color rgb="FFC00000"/>
      </left>
      <right style="medium">
        <color rgb="FFC00000"/>
      </right>
      <top/>
      <bottom style="thin">
        <color indexed="64"/>
      </bottom>
      <diagonal/>
    </border>
    <border>
      <left style="medium">
        <color auto="1"/>
      </left>
      <right style="medium">
        <color auto="1"/>
      </right>
      <top style="medium">
        <color auto="1"/>
      </top>
      <bottom style="medium">
        <color auto="1"/>
      </bottom>
      <diagonal/>
    </border>
    <border>
      <left style="medium">
        <color rgb="FF7030A0"/>
      </left>
      <right style="medium">
        <color rgb="FF7030A0"/>
      </right>
      <top style="medium">
        <color rgb="FF7030A0"/>
      </top>
      <bottom style="medium">
        <color rgb="FF7030A0"/>
      </bottom>
      <diagonal/>
    </border>
    <border>
      <left style="medium">
        <color rgb="FF7030A0"/>
      </left>
      <right/>
      <top style="medium">
        <color rgb="FF7030A0"/>
      </top>
      <bottom style="medium">
        <color rgb="FF7030A0"/>
      </bottom>
      <diagonal/>
    </border>
    <border>
      <left/>
      <right style="medium">
        <color rgb="FF7030A0"/>
      </right>
      <top style="medium">
        <color rgb="FF7030A0"/>
      </top>
      <bottom style="medium">
        <color rgb="FF7030A0"/>
      </bottom>
      <diagonal/>
    </border>
  </borders>
  <cellStyleXfs count="31">
    <xf numFmtId="0" fontId="0" fillId="0" borderId="0"/>
    <xf numFmtId="0" fontId="6" fillId="0" borderId="0"/>
    <xf numFmtId="164" fontId="7" fillId="0" borderId="0"/>
    <xf numFmtId="0" fontId="8" fillId="6" borderId="0" applyNumberFormat="0" applyBorder="0" applyAlignment="0" applyProtection="0"/>
    <xf numFmtId="0" fontId="8" fillId="8" borderId="0" applyNumberFormat="0" applyBorder="0" applyAlignment="0" applyProtection="0"/>
    <xf numFmtId="0" fontId="9" fillId="5" borderId="0" applyNumberFormat="0" applyBorder="0" applyAlignment="0" applyProtection="0"/>
    <xf numFmtId="0" fontId="9" fillId="7" borderId="0" applyNumberFormat="0" applyBorder="0" applyAlignment="0" applyProtection="0"/>
    <xf numFmtId="0" fontId="10" fillId="4" borderId="1" applyNumberFormat="0" applyAlignment="0" applyProtection="0"/>
    <xf numFmtId="0" fontId="11" fillId="0" borderId="0" applyNumberFormat="0" applyFill="0" applyBorder="0" applyAlignment="0" applyProtection="0">
      <alignment vertical="top"/>
      <protection locked="0"/>
    </xf>
    <xf numFmtId="0" fontId="12" fillId="3" borderId="1" applyNumberFormat="0" applyAlignment="0" applyProtection="0"/>
    <xf numFmtId="0" fontId="13" fillId="2" borderId="0" applyNumberFormat="0" applyBorder="0" applyAlignment="0" applyProtection="0"/>
    <xf numFmtId="0" fontId="6" fillId="0" borderId="0"/>
    <xf numFmtId="0" fontId="8" fillId="0" borderId="0"/>
    <xf numFmtId="0" fontId="6" fillId="0" borderId="0"/>
    <xf numFmtId="0" fontId="8" fillId="0" borderId="0"/>
    <xf numFmtId="0" fontId="8" fillId="0" borderId="0"/>
    <xf numFmtId="0" fontId="8" fillId="0" borderId="0"/>
    <xf numFmtId="0" fontId="6" fillId="0" borderId="0"/>
    <xf numFmtId="9" fontId="6" fillId="0" borderId="0" applyFont="0" applyFill="0" applyBorder="0" applyAlignment="0" applyProtection="0"/>
    <xf numFmtId="0" fontId="14" fillId="0" borderId="0" applyNumberFormat="0" applyFill="0" applyBorder="0" applyAlignment="0" applyProtection="0"/>
    <xf numFmtId="0" fontId="5" fillId="6" borderId="0" applyNumberFormat="0" applyBorder="0" applyAlignment="0" applyProtection="0"/>
    <xf numFmtId="0" fontId="5" fillId="8" borderId="0" applyNumberFormat="0" applyBorder="0" applyAlignment="0" applyProtection="0"/>
    <xf numFmtId="0" fontId="5" fillId="0" borderId="0"/>
    <xf numFmtId="0" fontId="5" fillId="0" borderId="0"/>
    <xf numFmtId="0" fontId="5" fillId="0" borderId="0"/>
    <xf numFmtId="0" fontId="5" fillId="0" borderId="0"/>
    <xf numFmtId="0" fontId="6" fillId="0" borderId="0"/>
    <xf numFmtId="0" fontId="3" fillId="0" borderId="0"/>
    <xf numFmtId="0" fontId="2" fillId="0" borderId="0"/>
    <xf numFmtId="0" fontId="4" fillId="0" borderId="0"/>
    <xf numFmtId="0" fontId="1" fillId="0" borderId="0"/>
  </cellStyleXfs>
  <cellXfs count="772">
    <xf numFmtId="0" fontId="0" fillId="0" borderId="0" xfId="0"/>
    <xf numFmtId="0" fontId="0" fillId="14" borderId="0" xfId="0" applyFont="1" applyFill="1"/>
    <xf numFmtId="0" fontId="0" fillId="0" borderId="0" xfId="0" applyFont="1"/>
    <xf numFmtId="0" fontId="6" fillId="0" borderId="0" xfId="0" applyFont="1"/>
    <xf numFmtId="0" fontId="22" fillId="0" borderId="0" xfId="0" applyFont="1"/>
    <xf numFmtId="0" fontId="20" fillId="0" borderId="0" xfId="0" applyFont="1" applyAlignment="1">
      <alignment horizontal="center"/>
    </xf>
    <xf numFmtId="0" fontId="6" fillId="0" borderId="0" xfId="0" applyFont="1" applyProtection="1"/>
    <xf numFmtId="0" fontId="18" fillId="0" borderId="0" xfId="12" applyFont="1" applyProtection="1"/>
    <xf numFmtId="0" fontId="0" fillId="14" borderId="0" xfId="0" applyFont="1" applyFill="1" applyAlignment="1">
      <alignment horizontal="left"/>
    </xf>
    <xf numFmtId="0" fontId="34" fillId="0" borderId="0" xfId="0" applyFont="1" applyAlignment="1">
      <alignment horizontal="left" vertical="center"/>
    </xf>
    <xf numFmtId="0" fontId="14" fillId="0" borderId="0" xfId="19" applyProtection="1">
      <protection hidden="1"/>
    </xf>
    <xf numFmtId="0" fontId="6" fillId="0" borderId="0" xfId="0" applyFont="1" applyProtection="1">
      <protection hidden="1"/>
    </xf>
    <xf numFmtId="1" fontId="6" fillId="0" borderId="0" xfId="0" applyNumberFormat="1" applyFont="1" applyProtection="1">
      <protection hidden="1"/>
    </xf>
    <xf numFmtId="0" fontId="6" fillId="0" borderId="0" xfId="0" applyFont="1" applyFill="1" applyProtection="1">
      <protection hidden="1"/>
    </xf>
    <xf numFmtId="0" fontId="22" fillId="0" borderId="0" xfId="1" applyFont="1" applyAlignment="1" applyProtection="1">
      <alignment horizontal="left"/>
      <protection hidden="1"/>
    </xf>
    <xf numFmtId="0" fontId="24" fillId="0" borderId="0" xfId="1" applyFont="1" applyFill="1" applyBorder="1" applyAlignment="1" applyProtection="1">
      <alignment horizontal="left"/>
      <protection hidden="1"/>
    </xf>
    <xf numFmtId="0" fontId="6" fillId="0" borderId="0" xfId="0" applyFont="1" applyAlignment="1" applyProtection="1">
      <alignment horizontal="left"/>
      <protection hidden="1"/>
    </xf>
    <xf numFmtId="164" fontId="24" fillId="0" borderId="0" xfId="2" applyFont="1" applyFill="1" applyBorder="1" applyAlignment="1" applyProtection="1">
      <alignment horizontal="left"/>
      <protection hidden="1"/>
    </xf>
    <xf numFmtId="0" fontId="6" fillId="0" borderId="0" xfId="0" applyFont="1" applyBorder="1" applyProtection="1">
      <protection hidden="1"/>
    </xf>
    <xf numFmtId="0" fontId="6" fillId="0" borderId="0" xfId="1" applyFont="1" applyProtection="1">
      <protection hidden="1"/>
    </xf>
    <xf numFmtId="0" fontId="6" fillId="0" borderId="0" xfId="0" applyFont="1" applyFill="1" applyBorder="1" applyProtection="1">
      <protection hidden="1"/>
    </xf>
    <xf numFmtId="0" fontId="0" fillId="0" borderId="0" xfId="0" applyFont="1" applyProtection="1">
      <protection hidden="1"/>
    </xf>
    <xf numFmtId="0" fontId="6" fillId="0" borderId="0" xfId="1" applyFont="1" applyFill="1" applyBorder="1" applyProtection="1">
      <protection hidden="1"/>
    </xf>
    <xf numFmtId="0" fontId="6" fillId="0" borderId="0" xfId="1" applyFont="1" applyFill="1" applyProtection="1">
      <protection hidden="1"/>
    </xf>
    <xf numFmtId="171" fontId="24" fillId="0" borderId="0" xfId="1" applyNumberFormat="1" applyFont="1" applyFill="1" applyBorder="1" applyAlignment="1" applyProtection="1">
      <alignment horizontal="left"/>
      <protection hidden="1"/>
    </xf>
    <xf numFmtId="0" fontId="6" fillId="0" borderId="0" xfId="1" applyFont="1" applyFill="1" applyBorder="1" applyAlignment="1" applyProtection="1">
      <alignment horizontal="left"/>
      <protection hidden="1"/>
    </xf>
    <xf numFmtId="2" fontId="6" fillId="0" borderId="0" xfId="1" applyNumberFormat="1" applyFont="1" applyFill="1" applyBorder="1" applyAlignment="1" applyProtection="1">
      <alignment horizontal="center"/>
      <protection hidden="1"/>
    </xf>
    <xf numFmtId="0" fontId="22" fillId="0" borderId="0" xfId="1" applyFont="1" applyFill="1" applyBorder="1" applyAlignment="1" applyProtection="1">
      <alignment horizontal="left"/>
      <protection hidden="1"/>
    </xf>
    <xf numFmtId="0" fontId="6" fillId="0" borderId="0" xfId="1" applyFont="1" applyBorder="1" applyProtection="1">
      <protection hidden="1"/>
    </xf>
    <xf numFmtId="0" fontId="18" fillId="0" borderId="0" xfId="12" applyFont="1" applyProtection="1">
      <protection hidden="1"/>
    </xf>
    <xf numFmtId="0" fontId="6" fillId="14" borderId="13" xfId="0" applyFont="1" applyFill="1" applyBorder="1" applyProtection="1">
      <protection hidden="1"/>
    </xf>
    <xf numFmtId="0" fontId="6" fillId="14" borderId="14" xfId="0" applyFont="1" applyFill="1" applyBorder="1" applyProtection="1">
      <protection hidden="1"/>
    </xf>
    <xf numFmtId="0" fontId="0" fillId="12" borderId="15" xfId="0" applyFont="1" applyFill="1" applyBorder="1" applyProtection="1">
      <protection hidden="1"/>
    </xf>
    <xf numFmtId="0" fontId="6" fillId="12" borderId="0" xfId="0" applyFont="1" applyFill="1" applyBorder="1" applyProtection="1">
      <protection hidden="1"/>
    </xf>
    <xf numFmtId="0" fontId="6" fillId="12" borderId="16" xfId="0" applyFont="1" applyFill="1" applyBorder="1" applyProtection="1">
      <protection hidden="1"/>
    </xf>
    <xf numFmtId="0" fontId="6" fillId="14" borderId="0" xfId="0" applyFont="1" applyFill="1" applyBorder="1" applyProtection="1">
      <protection hidden="1"/>
    </xf>
    <xf numFmtId="0" fontId="0" fillId="14" borderId="0" xfId="0" applyFont="1" applyFill="1" applyBorder="1" applyProtection="1">
      <protection hidden="1"/>
    </xf>
    <xf numFmtId="0" fontId="18" fillId="14" borderId="0" xfId="12" quotePrefix="1" applyFont="1" applyFill="1" applyBorder="1" applyProtection="1">
      <protection hidden="1"/>
    </xf>
    <xf numFmtId="0" fontId="16" fillId="0" borderId="0" xfId="12" applyFont="1" applyProtection="1">
      <protection hidden="1"/>
    </xf>
    <xf numFmtId="0" fontId="18" fillId="0" borderId="0" xfId="12" quotePrefix="1" applyFont="1" applyAlignment="1" applyProtection="1">
      <protection hidden="1"/>
    </xf>
    <xf numFmtId="0" fontId="18" fillId="0" borderId="0" xfId="12" applyFont="1" applyFill="1" applyProtection="1">
      <protection hidden="1"/>
    </xf>
    <xf numFmtId="0" fontId="0" fillId="0" borderId="0" xfId="0" applyProtection="1">
      <protection hidden="1"/>
    </xf>
    <xf numFmtId="0" fontId="32" fillId="0" borderId="0" xfId="12" applyFont="1" applyProtection="1">
      <protection hidden="1"/>
    </xf>
    <xf numFmtId="0" fontId="6" fillId="14" borderId="3" xfId="0" applyFont="1" applyFill="1" applyBorder="1" applyProtection="1">
      <protection hidden="1"/>
    </xf>
    <xf numFmtId="0" fontId="0" fillId="12" borderId="5" xfId="0" applyFont="1" applyFill="1" applyBorder="1" applyProtection="1">
      <protection hidden="1"/>
    </xf>
    <xf numFmtId="0" fontId="18" fillId="12" borderId="6" xfId="12" applyFont="1" applyFill="1" applyBorder="1" applyProtection="1">
      <protection hidden="1"/>
    </xf>
    <xf numFmtId="0" fontId="6" fillId="14" borderId="5" xfId="0" applyFont="1" applyFill="1" applyBorder="1" applyProtection="1">
      <protection hidden="1"/>
    </xf>
    <xf numFmtId="0" fontId="18" fillId="14" borderId="0" xfId="12" applyFont="1" applyFill="1" applyBorder="1" applyProtection="1">
      <protection hidden="1"/>
    </xf>
    <xf numFmtId="0" fontId="18" fillId="14" borderId="5" xfId="12" applyFont="1" applyFill="1" applyBorder="1" applyProtection="1">
      <protection hidden="1"/>
    </xf>
    <xf numFmtId="0" fontId="28" fillId="0" borderId="0" xfId="12" applyFont="1" applyProtection="1">
      <protection hidden="1"/>
    </xf>
    <xf numFmtId="172" fontId="18" fillId="0" borderId="0" xfId="12" applyNumberFormat="1" applyFont="1" applyFill="1" applyBorder="1" applyProtection="1">
      <protection hidden="1"/>
    </xf>
    <xf numFmtId="172" fontId="22" fillId="0" borderId="0" xfId="12" applyNumberFormat="1" applyFont="1" applyFill="1" applyBorder="1" applyProtection="1">
      <protection hidden="1"/>
    </xf>
    <xf numFmtId="172" fontId="6" fillId="0" borderId="0" xfId="12" applyNumberFormat="1" applyFont="1" applyFill="1" applyBorder="1" applyProtection="1">
      <protection hidden="1"/>
    </xf>
    <xf numFmtId="2" fontId="6" fillId="0" borderId="0" xfId="12" applyNumberFormat="1" applyFont="1" applyFill="1" applyBorder="1" applyProtection="1">
      <protection hidden="1"/>
    </xf>
    <xf numFmtId="0" fontId="18" fillId="0" borderId="0" xfId="12" applyFont="1" applyFill="1" applyBorder="1" applyProtection="1">
      <protection hidden="1"/>
    </xf>
    <xf numFmtId="0" fontId="28" fillId="0" borderId="0" xfId="12" applyFont="1" applyFill="1" applyBorder="1" applyProtection="1">
      <protection hidden="1"/>
    </xf>
    <xf numFmtId="0" fontId="6" fillId="0" borderId="0" xfId="12" applyFont="1" applyFill="1" applyBorder="1" applyProtection="1">
      <protection hidden="1"/>
    </xf>
    <xf numFmtId="1" fontId="6" fillId="0" borderId="0" xfId="0" applyNumberFormat="1" applyFont="1" applyFill="1" applyProtection="1">
      <protection hidden="1"/>
    </xf>
    <xf numFmtId="0" fontId="18" fillId="0" borderId="0" xfId="12" applyFont="1" applyBorder="1" applyProtection="1">
      <protection hidden="1"/>
    </xf>
    <xf numFmtId="0" fontId="22" fillId="0" borderId="0" xfId="12" applyFont="1" applyFill="1" applyBorder="1" applyAlignment="1" applyProtection="1">
      <alignment horizontal="center"/>
      <protection hidden="1"/>
    </xf>
    <xf numFmtId="172" fontId="22" fillId="0" borderId="0" xfId="12" applyNumberFormat="1" applyFont="1" applyProtection="1">
      <protection hidden="1"/>
    </xf>
    <xf numFmtId="172" fontId="6" fillId="0" borderId="0" xfId="12" applyNumberFormat="1" applyFont="1" applyFill="1" applyProtection="1">
      <protection hidden="1"/>
    </xf>
    <xf numFmtId="2" fontId="6" fillId="0" borderId="0" xfId="12" applyNumberFormat="1" applyFont="1" applyFill="1" applyProtection="1">
      <protection hidden="1"/>
    </xf>
    <xf numFmtId="0" fontId="27" fillId="0" borderId="0" xfId="12" applyFont="1" applyAlignment="1" applyProtection="1">
      <alignment horizontal="left" vertical="center" readingOrder="1"/>
      <protection hidden="1"/>
    </xf>
    <xf numFmtId="0" fontId="27" fillId="0" borderId="0" xfId="12" applyFont="1" applyFill="1" applyBorder="1" applyAlignment="1" applyProtection="1">
      <alignment horizontal="left" vertical="center" readingOrder="1"/>
      <protection hidden="1"/>
    </xf>
    <xf numFmtId="0" fontId="6" fillId="0" borderId="0" xfId="12" applyFont="1" applyFill="1" applyBorder="1" applyAlignment="1" applyProtection="1">
      <alignment horizontal="right"/>
      <protection hidden="1"/>
    </xf>
    <xf numFmtId="0" fontId="16" fillId="0" borderId="0" xfId="12" applyFont="1" applyFill="1" applyBorder="1" applyProtection="1">
      <protection hidden="1"/>
    </xf>
    <xf numFmtId="0" fontId="18" fillId="14" borderId="15" xfId="12" applyFont="1" applyFill="1" applyBorder="1" applyProtection="1">
      <protection hidden="1"/>
    </xf>
    <xf numFmtId="0" fontId="18" fillId="14" borderId="16" xfId="12" applyFont="1" applyFill="1" applyBorder="1" applyProtection="1">
      <protection hidden="1"/>
    </xf>
    <xf numFmtId="0" fontId="18" fillId="14" borderId="17" xfId="12" applyFont="1" applyFill="1" applyBorder="1" applyProtection="1">
      <protection hidden="1"/>
    </xf>
    <xf numFmtId="0" fontId="18" fillId="14" borderId="18" xfId="12" applyFont="1" applyFill="1" applyBorder="1" applyProtection="1">
      <protection hidden="1"/>
    </xf>
    <xf numFmtId="0" fontId="18" fillId="14" borderId="19" xfId="12" applyFont="1" applyFill="1" applyBorder="1" applyProtection="1">
      <protection hidden="1"/>
    </xf>
    <xf numFmtId="0" fontId="6" fillId="0" borderId="0" xfId="0" applyFont="1" applyAlignment="1" applyProtection="1">
      <alignment vertical="center"/>
      <protection hidden="1"/>
    </xf>
    <xf numFmtId="0" fontId="22" fillId="0" borderId="0" xfId="0" applyFont="1" applyAlignment="1" applyProtection="1">
      <alignment horizontal="center"/>
      <protection hidden="1"/>
    </xf>
    <xf numFmtId="0" fontId="6" fillId="0" borderId="0" xfId="0" applyFont="1" applyAlignment="1" applyProtection="1">
      <alignment horizontal="center"/>
      <protection hidden="1"/>
    </xf>
    <xf numFmtId="0" fontId="6" fillId="0" borderId="0" xfId="0" applyFont="1" applyFill="1" applyBorder="1" applyAlignment="1" applyProtection="1">
      <alignment horizontal="left"/>
      <protection hidden="1"/>
    </xf>
    <xf numFmtId="0" fontId="22" fillId="0" borderId="10" xfId="0" applyFont="1" applyFill="1" applyBorder="1" applyAlignment="1" applyProtection="1">
      <alignment horizontal="center"/>
      <protection hidden="1"/>
    </xf>
    <xf numFmtId="0" fontId="29" fillId="0" borderId="0" xfId="0" applyFont="1" applyAlignment="1" applyProtection="1">
      <alignment vertical="center"/>
      <protection hidden="1"/>
    </xf>
    <xf numFmtId="0" fontId="0" fillId="14" borderId="2" xfId="0" applyFont="1" applyFill="1" applyBorder="1" applyProtection="1">
      <protection hidden="1"/>
    </xf>
    <xf numFmtId="0" fontId="0" fillId="14" borderId="3" xfId="0" quotePrefix="1" applyFont="1" applyFill="1" applyBorder="1" applyProtection="1">
      <protection hidden="1"/>
    </xf>
    <xf numFmtId="0" fontId="6" fillId="14" borderId="4" xfId="0" applyFont="1" applyFill="1" applyBorder="1" applyProtection="1">
      <protection hidden="1"/>
    </xf>
    <xf numFmtId="0" fontId="0" fillId="14" borderId="0" xfId="0" applyFont="1" applyFill="1" applyBorder="1" applyAlignment="1" applyProtection="1">
      <alignment horizontal="right"/>
      <protection hidden="1"/>
    </xf>
    <xf numFmtId="1" fontId="6" fillId="14" borderId="0" xfId="0" applyNumberFormat="1" applyFont="1" applyFill="1" applyBorder="1" applyProtection="1">
      <protection hidden="1"/>
    </xf>
    <xf numFmtId="0" fontId="0" fillId="14" borderId="6" xfId="0" applyFont="1" applyFill="1" applyBorder="1" applyProtection="1">
      <protection hidden="1"/>
    </xf>
    <xf numFmtId="0" fontId="18" fillId="14" borderId="7" xfId="12" applyFont="1" applyFill="1" applyBorder="1" applyProtection="1">
      <protection hidden="1"/>
    </xf>
    <xf numFmtId="0" fontId="18" fillId="14" borderId="8" xfId="12" applyFont="1" applyFill="1" applyBorder="1" applyAlignment="1" applyProtection="1">
      <alignment horizontal="right"/>
      <protection hidden="1"/>
    </xf>
    <xf numFmtId="0" fontId="6" fillId="14" borderId="8" xfId="0" applyFont="1" applyFill="1" applyBorder="1" applyProtection="1">
      <protection hidden="1"/>
    </xf>
    <xf numFmtId="0" fontId="6" fillId="14" borderId="9" xfId="0" applyFont="1" applyFill="1" applyBorder="1" applyProtection="1">
      <protection hidden="1"/>
    </xf>
    <xf numFmtId="0" fontId="6" fillId="14" borderId="7" xfId="0" applyFont="1" applyFill="1" applyBorder="1" applyProtection="1">
      <protection hidden="1"/>
    </xf>
    <xf numFmtId="0" fontId="0" fillId="14" borderId="8" xfId="0" applyFont="1" applyFill="1" applyBorder="1" applyProtection="1">
      <protection hidden="1"/>
    </xf>
    <xf numFmtId="171" fontId="24" fillId="14" borderId="0" xfId="1" applyNumberFormat="1" applyFont="1" applyFill="1" applyBorder="1" applyAlignment="1" applyProtection="1">
      <alignment horizontal="left"/>
      <protection hidden="1"/>
    </xf>
    <xf numFmtId="172" fontId="24" fillId="14" borderId="0" xfId="1" applyNumberFormat="1" applyFont="1" applyFill="1" applyBorder="1" applyAlignment="1" applyProtection="1">
      <alignment horizontal="left"/>
      <protection hidden="1"/>
    </xf>
    <xf numFmtId="1" fontId="24" fillId="14" borderId="0" xfId="1" applyNumberFormat="1" applyFont="1" applyFill="1" applyBorder="1" applyAlignment="1" applyProtection="1">
      <alignment horizontal="left"/>
      <protection hidden="1"/>
    </xf>
    <xf numFmtId="172" fontId="22" fillId="14" borderId="0" xfId="12" applyNumberFormat="1" applyFont="1" applyFill="1" applyBorder="1" applyProtection="1">
      <protection hidden="1"/>
    </xf>
    <xf numFmtId="0" fontId="18" fillId="14" borderId="20" xfId="12" applyFont="1" applyFill="1" applyBorder="1" applyProtection="1">
      <protection hidden="1"/>
    </xf>
    <xf numFmtId="0" fontId="18" fillId="12" borderId="16" xfId="12" applyFont="1" applyFill="1" applyBorder="1" applyProtection="1">
      <protection hidden="1"/>
    </xf>
    <xf numFmtId="0" fontId="22" fillId="14" borderId="15" xfId="1" applyFont="1" applyFill="1" applyBorder="1" applyAlignment="1" applyProtection="1">
      <alignment horizontal="left"/>
      <protection hidden="1"/>
    </xf>
    <xf numFmtId="0" fontId="22" fillId="14" borderId="15" xfId="12" applyFont="1" applyFill="1" applyBorder="1" applyProtection="1">
      <protection hidden="1"/>
    </xf>
    <xf numFmtId="172" fontId="25" fillId="14" borderId="0" xfId="12" applyNumberFormat="1" applyFont="1" applyFill="1" applyBorder="1" applyAlignment="1" applyProtection="1">
      <alignment horizontal="left"/>
      <protection hidden="1"/>
    </xf>
    <xf numFmtId="0" fontId="18" fillId="14" borderId="15" xfId="12" quotePrefix="1" applyFont="1" applyFill="1" applyBorder="1" applyProtection="1">
      <protection hidden="1"/>
    </xf>
    <xf numFmtId="172" fontId="22" fillId="14" borderId="18" xfId="12" applyNumberFormat="1" applyFont="1" applyFill="1" applyBorder="1" applyProtection="1">
      <protection hidden="1"/>
    </xf>
    <xf numFmtId="172" fontId="0" fillId="14" borderId="0" xfId="12" applyNumberFormat="1" applyFont="1" applyFill="1" applyBorder="1" applyAlignment="1" applyProtection="1">
      <alignment horizontal="left"/>
      <protection hidden="1"/>
    </xf>
    <xf numFmtId="0" fontId="31" fillId="14" borderId="0" xfId="0" applyFont="1" applyFill="1"/>
    <xf numFmtId="0" fontId="31" fillId="0" borderId="0" xfId="0" applyFont="1"/>
    <xf numFmtId="0" fontId="0" fillId="0" borderId="0" xfId="0" applyAlignment="1">
      <alignment horizontal="left"/>
    </xf>
    <xf numFmtId="0" fontId="0" fillId="0" borderId="0" xfId="0" applyFont="1" applyAlignment="1">
      <alignment horizontal="left"/>
    </xf>
    <xf numFmtId="0" fontId="31" fillId="0" borderId="0" xfId="0" applyFont="1" applyAlignment="1">
      <alignment horizontal="left"/>
    </xf>
    <xf numFmtId="178" fontId="6" fillId="0" borderId="10" xfId="0" applyNumberFormat="1" applyFont="1" applyBorder="1" applyProtection="1">
      <protection hidden="1"/>
    </xf>
    <xf numFmtId="0" fontId="0" fillId="0" borderId="0" xfId="0" applyFont="1" applyFill="1"/>
    <xf numFmtId="178" fontId="0" fillId="0" borderId="0" xfId="0" applyNumberFormat="1"/>
    <xf numFmtId="0" fontId="0" fillId="0" borderId="0" xfId="0" applyBorder="1" applyAlignment="1">
      <alignment horizontal="left"/>
    </xf>
    <xf numFmtId="178" fontId="6" fillId="0" borderId="21" xfId="0" applyNumberFormat="1" applyFont="1" applyBorder="1" applyProtection="1">
      <protection hidden="1"/>
    </xf>
    <xf numFmtId="0" fontId="0" fillId="0" borderId="0" xfId="0" applyFont="1" applyBorder="1" applyAlignment="1">
      <alignment horizontal="left"/>
    </xf>
    <xf numFmtId="178" fontId="0" fillId="0" borderId="21" xfId="0" applyNumberFormat="1" applyFont="1" applyFill="1" applyBorder="1" applyProtection="1">
      <protection hidden="1"/>
    </xf>
    <xf numFmtId="0" fontId="0" fillId="0" borderId="0" xfId="0" applyBorder="1"/>
    <xf numFmtId="0" fontId="22" fillId="0" borderId="10" xfId="0" applyFont="1" applyBorder="1" applyAlignment="1" applyProtection="1">
      <alignment horizontal="center"/>
      <protection hidden="1"/>
    </xf>
    <xf numFmtId="0" fontId="22" fillId="0" borderId="21" xfId="0" applyFont="1" applyBorder="1" applyAlignment="1" applyProtection="1">
      <alignment horizontal="center"/>
      <protection hidden="1"/>
    </xf>
    <xf numFmtId="0" fontId="0" fillId="0" borderId="0" xfId="0" applyFill="1"/>
    <xf numFmtId="0" fontId="6" fillId="0" borderId="10" xfId="0" applyFont="1" applyFill="1" applyBorder="1" applyAlignment="1" applyProtection="1">
      <alignment horizontal="center"/>
      <protection hidden="1"/>
    </xf>
    <xf numFmtId="0" fontId="6" fillId="0" borderId="0" xfId="0" applyFont="1" applyFill="1" applyBorder="1" applyAlignment="1" applyProtection="1">
      <alignment horizontal="center"/>
      <protection hidden="1"/>
    </xf>
    <xf numFmtId="0" fontId="32" fillId="0" borderId="0" xfId="12" applyFont="1" applyFill="1" applyProtection="1">
      <protection hidden="1"/>
    </xf>
    <xf numFmtId="1" fontId="22" fillId="0" borderId="0" xfId="0" applyNumberFormat="1" applyFont="1" applyFill="1" applyProtection="1">
      <protection hidden="1"/>
    </xf>
    <xf numFmtId="0" fontId="14" fillId="0" borderId="0" xfId="19" applyFill="1" applyProtection="1">
      <protection hidden="1"/>
    </xf>
    <xf numFmtId="0" fontId="22" fillId="0" borderId="0" xfId="0" applyFont="1" applyFill="1" applyProtection="1">
      <protection hidden="1"/>
    </xf>
    <xf numFmtId="0" fontId="30" fillId="0" borderId="0" xfId="12" applyFont="1" applyFill="1" applyBorder="1" applyProtection="1">
      <protection hidden="1"/>
    </xf>
    <xf numFmtId="0" fontId="31" fillId="0" borderId="0" xfId="0" applyFont="1" applyFill="1"/>
    <xf numFmtId="0" fontId="0" fillId="0" borderId="0" xfId="0" applyFont="1" applyFill="1" applyBorder="1"/>
    <xf numFmtId="0" fontId="17" fillId="0" borderId="0" xfId="0" applyFont="1" applyFill="1" applyBorder="1" applyAlignment="1">
      <alignment horizontal="left"/>
    </xf>
    <xf numFmtId="0" fontId="18" fillId="0" borderId="0" xfId="0" applyFont="1" applyFill="1" applyBorder="1" applyAlignment="1">
      <alignment horizontal="center"/>
    </xf>
    <xf numFmtId="0" fontId="19" fillId="0" borderId="0" xfId="0" applyFont="1" applyFill="1" applyBorder="1" applyAlignment="1">
      <alignment horizontal="center"/>
    </xf>
    <xf numFmtId="0" fontId="18" fillId="0" borderId="0" xfId="0" quotePrefix="1" applyFont="1" applyFill="1" applyBorder="1" applyAlignment="1">
      <alignment horizontal="center"/>
    </xf>
    <xf numFmtId="0" fontId="19" fillId="0" borderId="0" xfId="0" applyFont="1" applyFill="1" applyAlignment="1">
      <alignment horizontal="center"/>
    </xf>
    <xf numFmtId="0" fontId="22" fillId="0" borderId="0" xfId="0" applyFont="1" applyFill="1"/>
    <xf numFmtId="0" fontId="19" fillId="0" borderId="0" xfId="0" applyFont="1" applyFill="1" applyBorder="1" applyAlignment="1">
      <alignment horizontal="left"/>
    </xf>
    <xf numFmtId="0" fontId="18" fillId="0" borderId="0" xfId="0" applyFont="1" applyFill="1" applyBorder="1" applyAlignment="1">
      <alignment horizontal="left"/>
    </xf>
    <xf numFmtId="0" fontId="22" fillId="0" borderId="0" xfId="0" applyFont="1" applyFill="1" applyAlignment="1" applyProtection="1">
      <alignment horizontal="center"/>
      <protection hidden="1"/>
    </xf>
    <xf numFmtId="0" fontId="38" fillId="0" borderId="0" xfId="0" applyFont="1" applyFill="1" applyBorder="1" applyAlignment="1" applyProtection="1">
      <alignment horizontal="left"/>
      <protection hidden="1"/>
    </xf>
    <xf numFmtId="1" fontId="30" fillId="0" borderId="0" xfId="0" applyNumberFormat="1" applyFont="1" applyProtection="1">
      <protection hidden="1"/>
    </xf>
    <xf numFmtId="0" fontId="15" fillId="0" borderId="0" xfId="12" applyFont="1" applyFill="1" applyProtection="1">
      <protection hidden="1"/>
    </xf>
    <xf numFmtId="0" fontId="6" fillId="0" borderId="0" xfId="0" applyFont="1" applyFill="1" applyAlignment="1" applyProtection="1">
      <alignment horizontal="left"/>
      <protection hidden="1"/>
    </xf>
    <xf numFmtId="0" fontId="33" fillId="0" borderId="0" xfId="0" applyFont="1" applyFill="1" applyProtection="1">
      <protection hidden="1"/>
    </xf>
    <xf numFmtId="0" fontId="31" fillId="0" borderId="0" xfId="0" applyFont="1" applyFill="1" applyProtection="1">
      <protection hidden="1"/>
    </xf>
    <xf numFmtId="0" fontId="30" fillId="0" borderId="0" xfId="0" applyFont="1" applyFill="1" applyProtection="1">
      <protection hidden="1"/>
    </xf>
    <xf numFmtId="0" fontId="41" fillId="0" borderId="0" xfId="0" applyFont="1" applyFill="1" applyProtection="1">
      <protection hidden="1"/>
    </xf>
    <xf numFmtId="0" fontId="30" fillId="0" borderId="0" xfId="0" applyFont="1" applyFill="1"/>
    <xf numFmtId="0" fontId="6" fillId="0" borderId="0" xfId="0" applyFont="1" applyProtection="1">
      <protection hidden="1"/>
    </xf>
    <xf numFmtId="0" fontId="6" fillId="0" borderId="0" xfId="0" applyFont="1" applyFill="1" applyProtection="1">
      <protection hidden="1"/>
    </xf>
    <xf numFmtId="0" fontId="22" fillId="0" borderId="0" xfId="1" applyFont="1" applyAlignment="1" applyProtection="1">
      <alignment horizontal="left"/>
      <protection hidden="1"/>
    </xf>
    <xf numFmtId="0" fontId="6" fillId="0" borderId="0" xfId="0" applyFont="1" applyAlignment="1" applyProtection="1">
      <alignment horizontal="left"/>
      <protection hidden="1"/>
    </xf>
    <xf numFmtId="0" fontId="6" fillId="0" borderId="0" xfId="0" applyFont="1" applyFill="1" applyBorder="1" applyProtection="1">
      <protection hidden="1"/>
    </xf>
    <xf numFmtId="0" fontId="6" fillId="0" borderId="0" xfId="1" applyFont="1" applyFill="1" applyBorder="1" applyProtection="1">
      <protection hidden="1"/>
    </xf>
    <xf numFmtId="0" fontId="22" fillId="0" borderId="0" xfId="1" applyFont="1" applyFill="1" applyAlignment="1" applyProtection="1">
      <alignment horizontal="left"/>
      <protection hidden="1"/>
    </xf>
    <xf numFmtId="0" fontId="6" fillId="0" borderId="0" xfId="1" applyFont="1" applyFill="1" applyProtection="1">
      <protection hidden="1"/>
    </xf>
    <xf numFmtId="171" fontId="24" fillId="0" borderId="0" xfId="1" applyNumberFormat="1" applyFont="1" applyFill="1" applyBorder="1" applyAlignment="1" applyProtection="1">
      <alignment horizontal="left"/>
      <protection hidden="1"/>
    </xf>
    <xf numFmtId="0" fontId="6" fillId="0" borderId="0" xfId="1" applyFont="1" applyFill="1" applyBorder="1" applyAlignment="1" applyProtection="1">
      <alignment horizontal="left"/>
      <protection hidden="1"/>
    </xf>
    <xf numFmtId="2" fontId="6" fillId="0" borderId="0" xfId="1" applyNumberFormat="1" applyFont="1" applyFill="1" applyBorder="1" applyAlignment="1" applyProtection="1">
      <alignment horizontal="center"/>
      <protection hidden="1"/>
    </xf>
    <xf numFmtId="0" fontId="18" fillId="0" borderId="0" xfId="12" applyFont="1" applyProtection="1">
      <protection hidden="1"/>
    </xf>
    <xf numFmtId="0" fontId="18" fillId="0" borderId="0" xfId="12" quotePrefix="1" applyFont="1" applyAlignment="1" applyProtection="1">
      <protection hidden="1"/>
    </xf>
    <xf numFmtId="0" fontId="18" fillId="0" borderId="0" xfId="12" applyFont="1" applyFill="1" applyProtection="1">
      <protection hidden="1"/>
    </xf>
    <xf numFmtId="0" fontId="0" fillId="0" borderId="0" xfId="0" applyProtection="1">
      <protection hidden="1"/>
    </xf>
    <xf numFmtId="1" fontId="6" fillId="0" borderId="0" xfId="0" applyNumberFormat="1" applyFont="1" applyFill="1" applyProtection="1">
      <protection hidden="1"/>
    </xf>
    <xf numFmtId="0" fontId="22" fillId="0" borderId="0" xfId="0" applyFont="1" applyProtection="1">
      <protection hidden="1"/>
    </xf>
    <xf numFmtId="178" fontId="6" fillId="0" borderId="10" xfId="0" applyNumberFormat="1" applyFont="1" applyFill="1" applyBorder="1" applyProtection="1">
      <protection hidden="1"/>
    </xf>
    <xf numFmtId="178" fontId="29" fillId="0" borderId="10" xfId="0" applyNumberFormat="1" applyFont="1" applyFill="1" applyBorder="1" applyAlignment="1" applyProtection="1">
      <alignment vertical="center"/>
      <protection hidden="1"/>
    </xf>
    <xf numFmtId="0" fontId="22" fillId="0" borderId="0" xfId="0" applyFont="1" applyFill="1" applyAlignment="1" applyProtection="1">
      <alignment horizontal="left"/>
      <protection hidden="1"/>
    </xf>
    <xf numFmtId="0" fontId="31" fillId="0" borderId="0" xfId="0" applyFont="1" applyFill="1" applyBorder="1" applyProtection="1">
      <protection hidden="1"/>
    </xf>
    <xf numFmtId="164" fontId="30" fillId="0" borderId="0" xfId="1" applyNumberFormat="1" applyFont="1" applyFill="1" applyBorder="1" applyAlignment="1" applyProtection="1">
      <alignment horizontal="left"/>
      <protection hidden="1"/>
    </xf>
    <xf numFmtId="164" fontId="31" fillId="0" borderId="0" xfId="1" applyNumberFormat="1" applyFont="1" applyFill="1" applyBorder="1" applyAlignment="1" applyProtection="1">
      <alignment horizontal="left"/>
      <protection hidden="1"/>
    </xf>
    <xf numFmtId="0" fontId="16" fillId="0" borderId="0" xfId="12" applyFont="1" applyFill="1" applyProtection="1">
      <protection hidden="1"/>
    </xf>
    <xf numFmtId="0" fontId="18" fillId="0" borderId="0" xfId="12" quotePrefix="1" applyFont="1" applyFill="1" applyAlignment="1" applyProtection="1">
      <protection hidden="1"/>
    </xf>
    <xf numFmtId="0" fontId="0" fillId="0" borderId="0" xfId="0" applyFont="1" applyFill="1"/>
    <xf numFmtId="0" fontId="6" fillId="0" borderId="0" xfId="0" applyFont="1" applyProtection="1">
      <protection hidden="1"/>
    </xf>
    <xf numFmtId="0" fontId="6" fillId="0" borderId="0" xfId="0" applyFont="1" applyFill="1" applyProtection="1">
      <protection hidden="1"/>
    </xf>
    <xf numFmtId="0" fontId="6" fillId="0" borderId="0" xfId="0" applyFont="1" applyFill="1" applyBorder="1" applyProtection="1">
      <protection hidden="1"/>
    </xf>
    <xf numFmtId="0" fontId="0" fillId="0" borderId="0" xfId="0" applyFont="1" applyProtection="1">
      <protection hidden="1"/>
    </xf>
    <xf numFmtId="1" fontId="6" fillId="0" borderId="0" xfId="0" applyNumberFormat="1" applyFont="1" applyFill="1" applyProtection="1">
      <protection hidden="1"/>
    </xf>
    <xf numFmtId="0" fontId="18" fillId="0" borderId="16" xfId="12" applyFont="1" applyFill="1" applyBorder="1" applyProtection="1">
      <protection hidden="1"/>
    </xf>
    <xf numFmtId="0" fontId="18" fillId="0" borderId="19" xfId="12" applyFont="1" applyFill="1" applyBorder="1" applyProtection="1">
      <protection hidden="1"/>
    </xf>
    <xf numFmtId="0" fontId="20" fillId="0" borderId="0" xfId="0" applyFont="1" applyAlignment="1" applyProtection="1">
      <alignment horizontal="center"/>
      <protection hidden="1"/>
    </xf>
    <xf numFmtId="1" fontId="6" fillId="0" borderId="0" xfId="0" applyNumberFormat="1" applyFont="1" applyFill="1" applyBorder="1" applyProtection="1">
      <protection hidden="1"/>
    </xf>
    <xf numFmtId="0" fontId="0" fillId="0" borderId="0" xfId="0" applyFont="1" applyFill="1" applyProtection="1">
      <protection hidden="1"/>
    </xf>
    <xf numFmtId="0" fontId="0" fillId="0" borderId="0" xfId="0" applyFont="1" applyFill="1" applyBorder="1" applyProtection="1">
      <protection hidden="1"/>
    </xf>
    <xf numFmtId="0" fontId="0" fillId="0" borderId="0" xfId="0" applyFont="1" applyFill="1"/>
    <xf numFmtId="1" fontId="30" fillId="0" borderId="0" xfId="0" applyNumberFormat="1" applyFont="1" applyFill="1" applyProtection="1">
      <protection hidden="1"/>
    </xf>
    <xf numFmtId="0" fontId="30" fillId="0" borderId="10" xfId="0" applyFont="1" applyFill="1" applyBorder="1" applyAlignment="1" applyProtection="1">
      <alignment horizontal="center"/>
      <protection hidden="1"/>
    </xf>
    <xf numFmtId="0" fontId="39" fillId="0" borderId="0" xfId="0" applyFont="1" applyProtection="1">
      <protection hidden="1"/>
    </xf>
    <xf numFmtId="0" fontId="39" fillId="0" borderId="0" xfId="0" applyFont="1" applyAlignment="1" applyProtection="1">
      <alignment horizontal="left"/>
      <protection hidden="1"/>
    </xf>
    <xf numFmtId="0" fontId="6" fillId="0" borderId="15" xfId="0" applyFont="1" applyFill="1" applyBorder="1" applyAlignment="1" applyProtection="1">
      <alignment horizontal="left"/>
      <protection hidden="1"/>
    </xf>
    <xf numFmtId="0" fontId="6" fillId="0" borderId="16" xfId="0" applyFont="1" applyFill="1" applyBorder="1" applyProtection="1">
      <protection hidden="1"/>
    </xf>
    <xf numFmtId="0" fontId="6" fillId="0" borderId="15" xfId="0" applyFont="1" applyFill="1" applyBorder="1" applyProtection="1">
      <protection hidden="1"/>
    </xf>
    <xf numFmtId="0" fontId="18" fillId="0" borderId="0" xfId="12" quotePrefix="1" applyFont="1" applyFill="1" applyBorder="1" applyProtection="1">
      <protection hidden="1"/>
    </xf>
    <xf numFmtId="0" fontId="18" fillId="0" borderId="15" xfId="12" applyFont="1" applyFill="1" applyBorder="1" applyProtection="1">
      <protection hidden="1"/>
    </xf>
    <xf numFmtId="178" fontId="18" fillId="0" borderId="0" xfId="12" applyNumberFormat="1" applyFont="1" applyFill="1" applyBorder="1" applyProtection="1">
      <protection hidden="1"/>
    </xf>
    <xf numFmtId="0" fontId="18" fillId="0" borderId="17" xfId="12" applyFont="1" applyFill="1" applyBorder="1" applyProtection="1">
      <protection hidden="1"/>
    </xf>
    <xf numFmtId="0" fontId="18" fillId="0" borderId="18" xfId="12" applyFont="1" applyFill="1" applyBorder="1" applyProtection="1">
      <protection hidden="1"/>
    </xf>
    <xf numFmtId="0" fontId="6" fillId="0" borderId="13" xfId="0" applyFont="1" applyFill="1" applyBorder="1" applyProtection="1">
      <protection hidden="1"/>
    </xf>
    <xf numFmtId="0" fontId="6" fillId="0" borderId="14" xfId="0" applyFont="1" applyFill="1" applyBorder="1" applyProtection="1">
      <protection hidden="1"/>
    </xf>
    <xf numFmtId="0" fontId="6" fillId="0" borderId="20" xfId="0" applyFont="1" applyFill="1" applyBorder="1" applyProtection="1">
      <protection hidden="1"/>
    </xf>
    <xf numFmtId="0" fontId="0" fillId="0" borderId="0" xfId="0" quotePrefix="1" applyFont="1" applyFill="1" applyProtection="1">
      <protection hidden="1"/>
    </xf>
    <xf numFmtId="0" fontId="6" fillId="0" borderId="17" xfId="0" applyFont="1" applyFill="1" applyBorder="1" applyProtection="1">
      <protection hidden="1"/>
    </xf>
    <xf numFmtId="0" fontId="6" fillId="0" borderId="18" xfId="0" applyFont="1" applyFill="1" applyBorder="1" applyProtection="1">
      <protection hidden="1"/>
    </xf>
    <xf numFmtId="0" fontId="6" fillId="0" borderId="19" xfId="0" applyFont="1" applyFill="1" applyBorder="1" applyProtection="1">
      <protection hidden="1"/>
    </xf>
    <xf numFmtId="169" fontId="6" fillId="0" borderId="0" xfId="0" applyNumberFormat="1" applyFont="1" applyFill="1" applyBorder="1" applyProtection="1">
      <protection hidden="1"/>
    </xf>
    <xf numFmtId="165" fontId="6" fillId="0" borderId="0" xfId="0" applyNumberFormat="1" applyFont="1" applyFill="1" applyProtection="1">
      <protection hidden="1"/>
    </xf>
    <xf numFmtId="0" fontId="30" fillId="0" borderId="0" xfId="0" applyFont="1" applyProtection="1">
      <protection hidden="1"/>
    </xf>
    <xf numFmtId="0" fontId="15" fillId="0" borderId="0" xfId="12" applyFont="1" applyProtection="1">
      <protection hidden="1"/>
    </xf>
    <xf numFmtId="0" fontId="30" fillId="0" borderId="0" xfId="0" applyFont="1" applyProtection="1">
      <protection hidden="1"/>
    </xf>
    <xf numFmtId="0" fontId="0" fillId="0" borderId="6" xfId="0" applyFill="1" applyBorder="1" applyProtection="1">
      <protection hidden="1"/>
    </xf>
    <xf numFmtId="0" fontId="18" fillId="0" borderId="4" xfId="12" applyFont="1" applyFill="1" applyBorder="1" applyProtection="1">
      <protection hidden="1"/>
    </xf>
    <xf numFmtId="0" fontId="6" fillId="0" borderId="3" xfId="0" applyFont="1" applyFill="1" applyBorder="1" applyProtection="1">
      <protection hidden="1"/>
    </xf>
    <xf numFmtId="0" fontId="6" fillId="0" borderId="2" xfId="0" applyFont="1" applyFill="1" applyBorder="1" applyProtection="1">
      <protection hidden="1"/>
    </xf>
    <xf numFmtId="0" fontId="0" fillId="0" borderId="8" xfId="0" applyFill="1" applyBorder="1" applyProtection="1">
      <protection hidden="1"/>
    </xf>
    <xf numFmtId="0" fontId="0" fillId="0" borderId="7" xfId="0" applyFill="1" applyBorder="1" applyProtection="1">
      <protection hidden="1"/>
    </xf>
    <xf numFmtId="0" fontId="0" fillId="0" borderId="0" xfId="0" applyFill="1" applyBorder="1" applyProtection="1">
      <protection hidden="1"/>
    </xf>
    <xf numFmtId="0" fontId="0" fillId="0" borderId="5" xfId="0" applyFill="1" applyBorder="1" applyProtection="1">
      <protection hidden="1"/>
    </xf>
    <xf numFmtId="0" fontId="18" fillId="0" borderId="5" xfId="12" applyFont="1" applyFill="1" applyBorder="1" applyProtection="1">
      <protection hidden="1"/>
    </xf>
    <xf numFmtId="0" fontId="6" fillId="0" borderId="5" xfId="0" applyFont="1" applyFill="1" applyBorder="1" applyProtection="1">
      <protection hidden="1"/>
    </xf>
    <xf numFmtId="0" fontId="18" fillId="0" borderId="6" xfId="12" applyFont="1" applyFill="1" applyBorder="1" applyProtection="1">
      <protection hidden="1"/>
    </xf>
    <xf numFmtId="0" fontId="6" fillId="0" borderId="5" xfId="0" applyFont="1" applyFill="1" applyBorder="1" applyAlignment="1" applyProtection="1">
      <alignment horizontal="left"/>
      <protection hidden="1"/>
    </xf>
    <xf numFmtId="0" fontId="0" fillId="0" borderId="9" xfId="0" applyFill="1" applyBorder="1" applyProtection="1">
      <protection hidden="1"/>
    </xf>
    <xf numFmtId="0" fontId="6" fillId="0" borderId="0" xfId="0" applyFont="1" applyFill="1"/>
    <xf numFmtId="0" fontId="18" fillId="0" borderId="0" xfId="12" applyFont="1" applyFill="1" applyProtection="1"/>
    <xf numFmtId="0" fontId="6" fillId="0" borderId="0" xfId="0" applyFont="1" applyProtection="1">
      <protection hidden="1"/>
    </xf>
    <xf numFmtId="0" fontId="6" fillId="0" borderId="0" xfId="0" applyFont="1" applyFill="1" applyProtection="1">
      <protection hidden="1"/>
    </xf>
    <xf numFmtId="0" fontId="6" fillId="0" borderId="0" xfId="0" applyFont="1" applyFill="1" applyBorder="1" applyProtection="1">
      <protection hidden="1"/>
    </xf>
    <xf numFmtId="0" fontId="18" fillId="0" borderId="0" xfId="12" applyFont="1" applyProtection="1">
      <protection hidden="1"/>
    </xf>
    <xf numFmtId="0" fontId="18" fillId="0" borderId="0" xfId="12" applyFont="1" applyFill="1" applyProtection="1">
      <protection hidden="1"/>
    </xf>
    <xf numFmtId="0" fontId="0" fillId="0" borderId="0" xfId="0" applyProtection="1">
      <protection hidden="1"/>
    </xf>
    <xf numFmtId="0" fontId="18" fillId="14" borderId="0" xfId="12" applyFont="1" applyFill="1" applyBorder="1" applyProtection="1">
      <protection hidden="1"/>
    </xf>
    <xf numFmtId="172" fontId="18" fillId="0" borderId="0" xfId="12" applyNumberFormat="1" applyFont="1" applyFill="1" applyBorder="1" applyProtection="1">
      <protection hidden="1"/>
    </xf>
    <xf numFmtId="175" fontId="24" fillId="0" borderId="0" xfId="1" applyNumberFormat="1" applyFont="1" applyFill="1" applyBorder="1" applyAlignment="1" applyProtection="1">
      <alignment horizontal="right"/>
      <protection hidden="1"/>
    </xf>
    <xf numFmtId="172" fontId="22" fillId="0" borderId="0" xfId="12" applyNumberFormat="1" applyFont="1" applyFill="1" applyBorder="1" applyProtection="1">
      <protection hidden="1"/>
    </xf>
    <xf numFmtId="1" fontId="6" fillId="0" borderId="0" xfId="12" applyNumberFormat="1" applyFont="1" applyFill="1" applyBorder="1" applyAlignment="1" applyProtection="1">
      <alignment horizontal="center"/>
      <protection hidden="1"/>
    </xf>
    <xf numFmtId="0" fontId="18" fillId="0" borderId="0" xfId="12" applyFont="1" applyFill="1" applyBorder="1" applyProtection="1">
      <protection hidden="1"/>
    </xf>
    <xf numFmtId="1" fontId="18" fillId="0" borderId="0" xfId="12" applyNumberFormat="1" applyFont="1" applyFill="1" applyBorder="1" applyProtection="1">
      <protection hidden="1"/>
    </xf>
    <xf numFmtId="1" fontId="6" fillId="14" borderId="0" xfId="0" applyNumberFormat="1" applyFont="1" applyFill="1" applyBorder="1" applyProtection="1">
      <protection hidden="1"/>
    </xf>
    <xf numFmtId="0" fontId="6" fillId="14" borderId="8" xfId="0" applyFont="1" applyFill="1" applyBorder="1" applyProtection="1">
      <protection hidden="1"/>
    </xf>
    <xf numFmtId="0" fontId="18" fillId="14" borderId="0" xfId="12" applyFont="1" applyFill="1" applyBorder="1" applyAlignment="1" applyProtection="1">
      <alignment horizontal="left"/>
      <protection hidden="1"/>
    </xf>
    <xf numFmtId="0" fontId="0" fillId="0" borderId="0" xfId="0" applyFont="1" applyFill="1" applyBorder="1" applyProtection="1">
      <protection hidden="1"/>
    </xf>
    <xf numFmtId="2" fontId="18" fillId="0" borderId="0" xfId="12" applyNumberFormat="1" applyFont="1" applyFill="1" applyBorder="1" applyProtection="1">
      <protection hidden="1"/>
    </xf>
    <xf numFmtId="0" fontId="0" fillId="0" borderId="0" xfId="0" applyFont="1" applyFill="1"/>
    <xf numFmtId="0" fontId="32" fillId="0" borderId="0" xfId="12" applyFont="1" applyFill="1" applyProtection="1">
      <protection hidden="1"/>
    </xf>
    <xf numFmtId="0" fontId="15" fillId="0" borderId="0" xfId="12" applyFont="1" applyProtection="1">
      <protection hidden="1"/>
    </xf>
    <xf numFmtId="1" fontId="6" fillId="0" borderId="0" xfId="0" applyNumberFormat="1" applyFont="1" applyFill="1"/>
    <xf numFmtId="0" fontId="6" fillId="0" borderId="0" xfId="0" applyFont="1" applyFill="1" applyProtection="1"/>
    <xf numFmtId="0" fontId="22" fillId="0" borderId="0" xfId="0" applyFont="1" applyFill="1" applyProtection="1"/>
    <xf numFmtId="0" fontId="37" fillId="15" borderId="0" xfId="0" applyFont="1" applyFill="1" applyProtection="1">
      <protection hidden="1"/>
    </xf>
    <xf numFmtId="0" fontId="0" fillId="0" borderId="0" xfId="0" applyFont="1" applyFill="1" applyBorder="1"/>
    <xf numFmtId="0" fontId="22" fillId="0" borderId="0" xfId="0" applyFont="1" applyFill="1"/>
    <xf numFmtId="0" fontId="30" fillId="0" borderId="0" xfId="0" applyFont="1" applyBorder="1" applyAlignment="1" applyProtection="1">
      <alignment horizontal="left"/>
      <protection hidden="1"/>
    </xf>
    <xf numFmtId="0" fontId="30" fillId="0" borderId="0" xfId="0" applyFont="1" applyFill="1" applyAlignment="1" applyProtection="1">
      <alignment horizontal="right"/>
      <protection hidden="1"/>
    </xf>
    <xf numFmtId="0" fontId="15" fillId="0" borderId="0" xfId="12" applyFont="1" applyFill="1" applyProtection="1">
      <protection hidden="1"/>
    </xf>
    <xf numFmtId="0" fontId="30" fillId="0" borderId="0" xfId="0" applyFont="1" applyFill="1" applyProtection="1">
      <protection hidden="1"/>
    </xf>
    <xf numFmtId="0" fontId="39" fillId="0" borderId="0" xfId="0" applyFont="1" applyProtection="1">
      <protection hidden="1"/>
    </xf>
    <xf numFmtId="0" fontId="15" fillId="0" borderId="10" xfId="12" applyFont="1" applyFill="1" applyBorder="1" applyAlignment="1" applyProtection="1">
      <alignment horizontal="center"/>
      <protection hidden="1"/>
    </xf>
    <xf numFmtId="0" fontId="16" fillId="0" borderId="0" xfId="12" applyFont="1" applyFill="1" applyProtection="1">
      <protection hidden="1"/>
    </xf>
    <xf numFmtId="0" fontId="30" fillId="0" borderId="0" xfId="0" applyFont="1" applyFill="1" applyProtection="1"/>
    <xf numFmtId="0" fontId="15" fillId="0" borderId="0" xfId="12" applyFont="1" applyFill="1"/>
    <xf numFmtId="0" fontId="36" fillId="0" borderId="0" xfId="12" applyFont="1" applyFill="1"/>
    <xf numFmtId="1" fontId="31" fillId="0" borderId="0" xfId="0" applyNumberFormat="1" applyFont="1" applyFill="1"/>
    <xf numFmtId="172" fontId="18" fillId="14" borderId="0" xfId="12" applyNumberFormat="1" applyFont="1" applyFill="1" applyBorder="1" applyAlignment="1" applyProtection="1">
      <alignment horizontal="left"/>
      <protection hidden="1"/>
    </xf>
    <xf numFmtId="0" fontId="18" fillId="14" borderId="0" xfId="1" applyFont="1" applyFill="1" applyBorder="1" applyAlignment="1" applyProtection="1">
      <alignment horizontal="left"/>
      <protection hidden="1"/>
    </xf>
    <xf numFmtId="2" fontId="18" fillId="14" borderId="0" xfId="1" applyNumberFormat="1" applyFont="1" applyFill="1" applyBorder="1" applyAlignment="1" applyProtection="1">
      <alignment horizontal="center"/>
      <protection hidden="1"/>
    </xf>
    <xf numFmtId="0" fontId="18" fillId="14" borderId="0" xfId="1" applyFont="1" applyFill="1" applyBorder="1" applyProtection="1">
      <protection hidden="1"/>
    </xf>
    <xf numFmtId="1" fontId="0" fillId="0" borderId="0" xfId="0" applyNumberFormat="1"/>
    <xf numFmtId="1" fontId="18" fillId="0" borderId="0" xfId="12" applyNumberFormat="1" applyFont="1" applyFill="1" applyBorder="1" applyAlignment="1" applyProtection="1">
      <alignment horizontal="center"/>
      <protection hidden="1"/>
    </xf>
    <xf numFmtId="0" fontId="32" fillId="0" borderId="0" xfId="12" applyFont="1" applyAlignment="1" applyProtection="1">
      <alignment horizontal="right"/>
      <protection hidden="1"/>
    </xf>
    <xf numFmtId="1" fontId="23" fillId="0" borderId="0" xfId="0" applyNumberFormat="1" applyFont="1" applyAlignment="1" applyProtection="1">
      <alignment horizontal="right"/>
      <protection hidden="1"/>
    </xf>
    <xf numFmtId="1" fontId="36" fillId="0" borderId="0" xfId="12" applyNumberFormat="1" applyFont="1" applyBorder="1" applyProtection="1">
      <protection hidden="1"/>
    </xf>
    <xf numFmtId="0" fontId="15" fillId="0" borderId="0" xfId="0" applyFont="1" applyFill="1" applyBorder="1" applyProtection="1">
      <protection hidden="1"/>
    </xf>
    <xf numFmtId="0" fontId="44" fillId="0" borderId="32" xfId="0" quotePrefix="1" applyFont="1" applyBorder="1" applyAlignment="1" applyProtection="1">
      <alignment horizontal="center"/>
      <protection hidden="1"/>
    </xf>
    <xf numFmtId="165" fontId="45" fillId="0" borderId="10" xfId="0" applyNumberFormat="1" applyFont="1" applyBorder="1" applyProtection="1">
      <protection hidden="1"/>
    </xf>
    <xf numFmtId="0" fontId="45" fillId="0" borderId="32" xfId="0" quotePrefix="1" applyFont="1" applyBorder="1" applyAlignment="1" applyProtection="1">
      <alignment horizontal="center"/>
      <protection hidden="1"/>
    </xf>
    <xf numFmtId="1" fontId="23" fillId="0" borderId="10" xfId="0" applyNumberFormat="1" applyFont="1" applyFill="1" applyBorder="1" applyProtection="1">
      <protection hidden="1"/>
    </xf>
    <xf numFmtId="2" fontId="45" fillId="0" borderId="10" xfId="0" applyNumberFormat="1" applyFont="1" applyBorder="1" applyProtection="1">
      <protection hidden="1"/>
    </xf>
    <xf numFmtId="0" fontId="0" fillId="14" borderId="0" xfId="0" applyFont="1" applyFill="1" applyProtection="1">
      <protection hidden="1"/>
    </xf>
    <xf numFmtId="0" fontId="30" fillId="0" borderId="0" xfId="0" applyFont="1" applyFill="1" applyBorder="1" applyAlignment="1" applyProtection="1">
      <alignment horizontal="right"/>
      <protection hidden="1"/>
    </xf>
    <xf numFmtId="0" fontId="26" fillId="0" borderId="0" xfId="0" applyFont="1"/>
    <xf numFmtId="0" fontId="46" fillId="0" borderId="0" xfId="0" applyFont="1" applyAlignment="1">
      <alignment horizontal="left"/>
    </xf>
    <xf numFmtId="0" fontId="47" fillId="0" borderId="0" xfId="0" applyFont="1" applyAlignment="1">
      <alignment horizontal="left"/>
    </xf>
    <xf numFmtId="1" fontId="6" fillId="0" borderId="0" xfId="0" applyNumberFormat="1" applyFont="1" applyBorder="1" applyProtection="1">
      <protection hidden="1"/>
    </xf>
    <xf numFmtId="0" fontId="21" fillId="0" borderId="0" xfId="0" applyFont="1" applyFill="1" applyBorder="1"/>
    <xf numFmtId="2" fontId="15" fillId="0" borderId="10" xfId="12" applyNumberFormat="1" applyFont="1" applyFill="1" applyBorder="1" applyProtection="1">
      <protection hidden="1"/>
    </xf>
    <xf numFmtId="2" fontId="15" fillId="0" borderId="33" xfId="12" applyNumberFormat="1" applyFont="1" applyFill="1" applyBorder="1" applyProtection="1">
      <protection hidden="1"/>
    </xf>
    <xf numFmtId="1" fontId="15" fillId="0" borderId="43" xfId="12" applyNumberFormat="1" applyFont="1" applyBorder="1" applyProtection="1">
      <protection hidden="1"/>
    </xf>
    <xf numFmtId="173" fontId="0" fillId="0" borderId="0" xfId="0" applyNumberFormat="1"/>
    <xf numFmtId="14" fontId="0" fillId="0" borderId="0" xfId="0" applyNumberFormat="1"/>
    <xf numFmtId="0" fontId="0" fillId="0" borderId="0" xfId="0" applyAlignment="1">
      <alignment horizontal="center"/>
    </xf>
    <xf numFmtId="0" fontId="51" fillId="0" borderId="0" xfId="0" applyFont="1" applyFill="1"/>
    <xf numFmtId="174" fontId="51" fillId="0" borderId="0" xfId="0" applyNumberFormat="1" applyFont="1" applyFill="1"/>
    <xf numFmtId="0" fontId="49" fillId="0" borderId="0" xfId="0" applyFont="1" applyFill="1"/>
    <xf numFmtId="0" fontId="0" fillId="0" borderId="15" xfId="0" applyBorder="1"/>
    <xf numFmtId="0" fontId="0" fillId="0" borderId="16" xfId="0" applyBorder="1"/>
    <xf numFmtId="0" fontId="0" fillId="16" borderId="0" xfId="0" applyFill="1" applyBorder="1"/>
    <xf numFmtId="0" fontId="0" fillId="0" borderId="0" xfId="0" applyFill="1" applyBorder="1"/>
    <xf numFmtId="0" fontId="0" fillId="0" borderId="16" xfId="0" applyFill="1" applyBorder="1"/>
    <xf numFmtId="0" fontId="0" fillId="0" borderId="0" xfId="0" applyBorder="1" applyAlignment="1"/>
    <xf numFmtId="0" fontId="0" fillId="0" borderId="17" xfId="0" applyBorder="1"/>
    <xf numFmtId="0" fontId="0" fillId="0" borderId="18" xfId="0" applyBorder="1"/>
    <xf numFmtId="0" fontId="0" fillId="0" borderId="19" xfId="0" applyBorder="1"/>
    <xf numFmtId="0" fontId="18" fillId="0" borderId="20" xfId="12" applyFont="1" applyFill="1" applyBorder="1" applyProtection="1">
      <protection hidden="1"/>
    </xf>
    <xf numFmtId="0" fontId="48" fillId="0" borderId="0" xfId="0" applyFont="1" applyFill="1"/>
    <xf numFmtId="0" fontId="45" fillId="0" borderId="0" xfId="0" applyFont="1"/>
    <xf numFmtId="0" fontId="4" fillId="0" borderId="0" xfId="0" applyFont="1" applyFill="1"/>
    <xf numFmtId="0" fontId="45" fillId="0" borderId="0" xfId="0" applyFont="1" applyFill="1"/>
    <xf numFmtId="0" fontId="52" fillId="0" borderId="0" xfId="0" applyFont="1" applyFill="1"/>
    <xf numFmtId="0" fontId="52" fillId="0" borderId="0" xfId="0" applyFont="1" applyFill="1" applyAlignment="1">
      <alignment horizontal="center"/>
    </xf>
    <xf numFmtId="0" fontId="44" fillId="0" borderId="0" xfId="0" applyFont="1" applyFill="1"/>
    <xf numFmtId="165" fontId="52" fillId="0" borderId="0" xfId="0" applyNumberFormat="1" applyFont="1" applyFill="1"/>
    <xf numFmtId="0" fontId="54" fillId="0" borderId="0" xfId="0" applyFont="1" applyFill="1"/>
    <xf numFmtId="0" fontId="50" fillId="0" borderId="0" xfId="0" applyFont="1" applyFill="1" applyAlignment="1">
      <alignment horizontal="center"/>
    </xf>
    <xf numFmtId="0" fontId="48" fillId="0" borderId="0" xfId="0" applyFont="1" applyFill="1" applyAlignment="1">
      <alignment horizontal="center"/>
    </xf>
    <xf numFmtId="0" fontId="50" fillId="0" borderId="0" xfId="0" applyFont="1" applyFill="1" applyAlignment="1">
      <alignment horizontal="left"/>
    </xf>
    <xf numFmtId="174" fontId="45" fillId="0" borderId="0" xfId="0" applyNumberFormat="1" applyFont="1" applyFill="1"/>
    <xf numFmtId="174" fontId="4" fillId="0" borderId="0" xfId="0" applyNumberFormat="1" applyFont="1" applyFill="1"/>
    <xf numFmtId="0" fontId="53" fillId="0" borderId="0" xfId="0" applyFont="1" applyFill="1"/>
    <xf numFmtId="0" fontId="53" fillId="0" borderId="0" xfId="0" quotePrefix="1" applyFont="1" applyFill="1"/>
    <xf numFmtId="0" fontId="45" fillId="0" borderId="0" xfId="0" quotePrefix="1" applyFont="1" applyFill="1"/>
    <xf numFmtId="0" fontId="50" fillId="0" borderId="0" xfId="0" applyFont="1" applyFill="1"/>
    <xf numFmtId="0" fontId="0" fillId="0" borderId="0" xfId="0" applyFill="1" applyAlignment="1">
      <alignment horizontal="center"/>
    </xf>
    <xf numFmtId="0" fontId="29" fillId="0" borderId="0" xfId="0" applyFont="1" applyAlignment="1">
      <alignment vertical="center"/>
    </xf>
    <xf numFmtId="0" fontId="0" fillId="0" borderId="0" xfId="0" applyFont="1" applyAlignment="1">
      <alignment horizontal="center"/>
    </xf>
    <xf numFmtId="0" fontId="18" fillId="0" borderId="0" xfId="12" applyFont="1" applyBorder="1" applyAlignment="1" applyProtection="1">
      <alignment horizontal="center"/>
      <protection hidden="1"/>
    </xf>
    <xf numFmtId="172" fontId="22" fillId="0" borderId="0" xfId="12" applyNumberFormat="1" applyFont="1" applyBorder="1" applyProtection="1">
      <protection hidden="1"/>
    </xf>
    <xf numFmtId="0" fontId="30" fillId="9" borderId="0" xfId="0" applyFont="1" applyFill="1" applyAlignment="1">
      <alignment horizontal="center"/>
    </xf>
    <xf numFmtId="0" fontId="31" fillId="0" borderId="0" xfId="0" applyFont="1" applyFill="1" applyBorder="1"/>
    <xf numFmtId="0" fontId="0" fillId="14" borderId="36" xfId="0" applyFont="1" applyFill="1" applyBorder="1" applyAlignment="1">
      <alignment horizontal="center"/>
    </xf>
    <xf numFmtId="0" fontId="15" fillId="14" borderId="36" xfId="0" applyFont="1" applyFill="1" applyBorder="1" applyAlignment="1">
      <alignment horizontal="left"/>
    </xf>
    <xf numFmtId="0" fontId="31" fillId="14" borderId="36" xfId="0" applyFont="1" applyFill="1" applyBorder="1"/>
    <xf numFmtId="49" fontId="15" fillId="14" borderId="36" xfId="0" applyNumberFormat="1" applyFont="1" applyFill="1" applyBorder="1"/>
    <xf numFmtId="0" fontId="18" fillId="0" borderId="0" xfId="22" quotePrefix="1" applyFont="1" applyFill="1" applyBorder="1" applyProtection="1">
      <protection hidden="1"/>
    </xf>
    <xf numFmtId="0" fontId="18" fillId="0" borderId="0" xfId="22" applyFont="1" applyFill="1" applyBorder="1" applyProtection="1">
      <protection hidden="1"/>
    </xf>
    <xf numFmtId="0" fontId="18" fillId="14" borderId="0" xfId="22" quotePrefix="1" applyFont="1" applyFill="1" applyBorder="1" applyProtection="1">
      <protection hidden="1"/>
    </xf>
    <xf numFmtId="0" fontId="0" fillId="14" borderId="15" xfId="0" applyFont="1" applyFill="1" applyBorder="1" applyAlignment="1" applyProtection="1">
      <alignment horizontal="left"/>
      <protection hidden="1"/>
    </xf>
    <xf numFmtId="0" fontId="0" fillId="14" borderId="15" xfId="0" applyFont="1" applyFill="1" applyBorder="1" applyProtection="1">
      <protection hidden="1"/>
    </xf>
    <xf numFmtId="0" fontId="0" fillId="14" borderId="0" xfId="1" applyFont="1" applyFill="1" applyBorder="1" applyAlignment="1" applyProtection="1">
      <alignment horizontal="left"/>
      <protection hidden="1"/>
    </xf>
    <xf numFmtId="2" fontId="0" fillId="14" borderId="0" xfId="1" applyNumberFormat="1" applyFont="1" applyFill="1" applyBorder="1" applyAlignment="1" applyProtection="1">
      <alignment horizontal="center"/>
      <protection hidden="1"/>
    </xf>
    <xf numFmtId="0" fontId="0" fillId="14" borderId="0" xfId="1" applyFont="1" applyFill="1" applyBorder="1" applyProtection="1">
      <protection hidden="1"/>
    </xf>
    <xf numFmtId="172" fontId="0" fillId="14" borderId="0" xfId="1" applyNumberFormat="1" applyFont="1" applyFill="1" applyBorder="1" applyAlignment="1" applyProtection="1">
      <alignment horizontal="left"/>
      <protection hidden="1"/>
    </xf>
    <xf numFmtId="0" fontId="0" fillId="14" borderId="0" xfId="12" applyFont="1" applyFill="1" applyBorder="1" applyProtection="1">
      <protection hidden="1"/>
    </xf>
    <xf numFmtId="1" fontId="0" fillId="0" borderId="0" xfId="0" applyNumberFormat="1" applyAlignment="1">
      <alignment horizontal="center"/>
    </xf>
    <xf numFmtId="173" fontId="20" fillId="0" borderId="0" xfId="0" applyNumberFormat="1" applyFont="1" applyAlignment="1">
      <alignment horizontal="center"/>
    </xf>
    <xf numFmtId="173" fontId="0" fillId="0" borderId="0" xfId="0" applyNumberFormat="1" applyBorder="1"/>
    <xf numFmtId="1" fontId="20" fillId="0" borderId="0" xfId="0" applyNumberFormat="1" applyFont="1" applyAlignment="1">
      <alignment horizontal="center"/>
    </xf>
    <xf numFmtId="0" fontId="0" fillId="0" borderId="0" xfId="0" applyFont="1" applyAlignment="1">
      <alignment horizontal="center"/>
    </xf>
    <xf numFmtId="0" fontId="0" fillId="0" borderId="51" xfId="0" applyBorder="1" applyAlignment="1">
      <alignment horizontal="center"/>
    </xf>
    <xf numFmtId="0" fontId="0" fillId="0" borderId="51" xfId="0" applyBorder="1"/>
    <xf numFmtId="0" fontId="26" fillId="0" borderId="51" xfId="0" applyFont="1" applyBorder="1"/>
    <xf numFmtId="0" fontId="0" fillId="0" borderId="51" xfId="0" applyFont="1" applyBorder="1" applyAlignment="1">
      <alignment horizontal="left"/>
    </xf>
    <xf numFmtId="0" fontId="22" fillId="0" borderId="52" xfId="0" applyFont="1" applyBorder="1" applyAlignment="1" applyProtection="1">
      <alignment horizontal="center"/>
      <protection hidden="1"/>
    </xf>
    <xf numFmtId="173" fontId="0" fillId="0" borderId="51" xfId="0" applyNumberFormat="1" applyBorder="1"/>
    <xf numFmtId="1" fontId="0" fillId="0" borderId="51" xfId="0" applyNumberFormat="1" applyBorder="1" applyAlignment="1">
      <alignment horizontal="center"/>
    </xf>
    <xf numFmtId="0" fontId="26" fillId="0" borderId="0" xfId="0" applyFont="1" applyBorder="1"/>
    <xf numFmtId="0" fontId="0" fillId="0" borderId="0" xfId="0" applyBorder="1" applyAlignment="1">
      <alignment horizontal="center"/>
    </xf>
    <xf numFmtId="0" fontId="22" fillId="0" borderId="8" xfId="0" applyFont="1" applyBorder="1" applyAlignment="1" applyProtection="1">
      <alignment horizontal="center"/>
      <protection hidden="1"/>
    </xf>
    <xf numFmtId="0" fontId="22" fillId="0" borderId="3" xfId="0" applyFont="1" applyBorder="1" applyAlignment="1" applyProtection="1">
      <alignment horizontal="center"/>
      <protection hidden="1"/>
    </xf>
    <xf numFmtId="0" fontId="0" fillId="0" borderId="6" xfId="0" applyFont="1" applyBorder="1" applyAlignment="1">
      <alignment horizontal="left"/>
    </xf>
    <xf numFmtId="0" fontId="0" fillId="0" borderId="0" xfId="0" applyFont="1" applyFill="1" applyAlignment="1">
      <alignment horizontal="left"/>
    </xf>
    <xf numFmtId="0" fontId="0" fillId="0" borderId="0" xfId="0" applyFont="1" applyFill="1" applyBorder="1" applyAlignment="1">
      <alignment horizontal="left"/>
    </xf>
    <xf numFmtId="1" fontId="0" fillId="0" borderId="0" xfId="0" applyNumberFormat="1" applyFont="1" applyFill="1"/>
    <xf numFmtId="0" fontId="0" fillId="0" borderId="51" xfId="0" applyFont="1" applyFill="1" applyBorder="1"/>
    <xf numFmtId="0" fontId="0" fillId="0" borderId="51" xfId="0" applyFont="1" applyFill="1" applyBorder="1" applyAlignment="1">
      <alignment horizontal="left"/>
    </xf>
    <xf numFmtId="0" fontId="0" fillId="0" borderId="51" xfId="0" applyFont="1" applyBorder="1" applyAlignment="1">
      <alignment horizontal="center"/>
    </xf>
    <xf numFmtId="0" fontId="0" fillId="0" borderId="0" xfId="0" applyFont="1" applyAlignment="1">
      <alignment horizontal="center"/>
    </xf>
    <xf numFmtId="0" fontId="30" fillId="0" borderId="0" xfId="0" applyFont="1" applyFill="1" applyAlignment="1">
      <alignment horizontal="center"/>
    </xf>
    <xf numFmtId="11" fontId="0" fillId="0" borderId="0" xfId="0" applyNumberFormat="1"/>
    <xf numFmtId="178" fontId="0" fillId="0" borderId="10" xfId="0" applyNumberFormat="1" applyBorder="1"/>
    <xf numFmtId="178" fontId="0" fillId="0" borderId="21" xfId="0" applyNumberFormat="1" applyBorder="1"/>
    <xf numFmtId="178" fontId="0" fillId="0" borderId="3" xfId="0" applyNumberFormat="1" applyBorder="1"/>
    <xf numFmtId="178" fontId="0" fillId="0" borderId="8" xfId="0" applyNumberFormat="1" applyBorder="1"/>
    <xf numFmtId="178" fontId="0" fillId="0" borderId="52" xfId="0" applyNumberFormat="1" applyBorder="1"/>
    <xf numFmtId="173" fontId="47" fillId="0" borderId="0" xfId="0" applyNumberFormat="1" applyFont="1" applyAlignment="1">
      <alignment horizontal="left" wrapText="1"/>
    </xf>
    <xf numFmtId="1" fontId="26" fillId="0" borderId="0" xfId="0" applyNumberFormat="1" applyFont="1" applyAlignment="1">
      <alignment horizontal="left"/>
    </xf>
    <xf numFmtId="0" fontId="0" fillId="17" borderId="0" xfId="0" applyFill="1" applyAlignment="1">
      <alignment horizontal="center"/>
    </xf>
    <xf numFmtId="176" fontId="0" fillId="10" borderId="0" xfId="0" applyNumberFormat="1" applyFont="1" applyFill="1"/>
    <xf numFmtId="176" fontId="0" fillId="0" borderId="0" xfId="0" applyNumberFormat="1" applyFont="1"/>
    <xf numFmtId="176" fontId="0" fillId="0" borderId="0" xfId="0" applyNumberFormat="1" applyFont="1" applyAlignment="1">
      <alignment horizontal="center"/>
    </xf>
    <xf numFmtId="176" fontId="0" fillId="10" borderId="0" xfId="0" applyNumberFormat="1" applyFill="1"/>
    <xf numFmtId="176" fontId="0" fillId="0" borderId="0" xfId="0" applyNumberFormat="1" applyFont="1" applyBorder="1"/>
    <xf numFmtId="176" fontId="0" fillId="0" borderId="0" xfId="0" applyNumberFormat="1" applyFont="1" applyBorder="1" applyAlignment="1">
      <alignment horizontal="center"/>
    </xf>
    <xf numFmtId="176" fontId="0" fillId="0" borderId="0" xfId="0" applyNumberFormat="1"/>
    <xf numFmtId="176" fontId="0" fillId="10" borderId="0" xfId="0" applyNumberFormat="1" applyFont="1" applyFill="1" applyAlignment="1">
      <alignment horizontal="center"/>
    </xf>
    <xf numFmtId="176" fontId="0" fillId="10" borderId="0" xfId="0" applyNumberFormat="1" applyFont="1" applyFill="1" applyBorder="1"/>
    <xf numFmtId="176" fontId="0" fillId="10" borderId="0" xfId="0" applyNumberFormat="1" applyFont="1" applyFill="1" applyBorder="1" applyProtection="1">
      <protection hidden="1"/>
    </xf>
    <xf numFmtId="176" fontId="0" fillId="0" borderId="0" xfId="0" applyNumberFormat="1" applyFont="1" applyFill="1" applyBorder="1"/>
    <xf numFmtId="176" fontId="0" fillId="0" borderId="0" xfId="0" applyNumberFormat="1" applyFont="1" applyFill="1" applyBorder="1" applyProtection="1">
      <protection hidden="1"/>
    </xf>
    <xf numFmtId="176" fontId="0" fillId="0" borderId="0" xfId="0" applyNumberFormat="1" applyFont="1" applyFill="1"/>
    <xf numFmtId="176" fontId="0" fillId="0" borderId="0" xfId="0" applyNumberFormat="1" applyFont="1" applyFill="1" applyBorder="1" applyAlignment="1">
      <alignment horizontal="center"/>
    </xf>
    <xf numFmtId="176" fontId="0" fillId="10" borderId="0" xfId="0" applyNumberFormat="1" applyFill="1" applyBorder="1"/>
    <xf numFmtId="176" fontId="0" fillId="0" borderId="0" xfId="0" applyNumberFormat="1" applyBorder="1"/>
    <xf numFmtId="178" fontId="0" fillId="0" borderId="0" xfId="0" applyNumberFormat="1" applyFill="1"/>
    <xf numFmtId="0" fontId="0" fillId="0" borderId="5" xfId="0" applyFill="1" applyBorder="1"/>
    <xf numFmtId="0" fontId="0" fillId="17" borderId="0" xfId="0" applyFill="1" applyAlignment="1">
      <alignment horizontal="left"/>
    </xf>
    <xf numFmtId="0" fontId="0" fillId="17" borderId="0" xfId="0" applyFont="1" applyFill="1" applyAlignment="1">
      <alignment horizontal="left"/>
    </xf>
    <xf numFmtId="0" fontId="22" fillId="11" borderId="10" xfId="0" applyFont="1" applyFill="1" applyBorder="1" applyAlignment="1" applyProtection="1">
      <alignment horizontal="center"/>
      <protection hidden="1"/>
    </xf>
    <xf numFmtId="0" fontId="38" fillId="0" borderId="66" xfId="0" applyFont="1" applyFill="1" applyBorder="1"/>
    <xf numFmtId="0" fontId="38" fillId="0" borderId="58" xfId="0" applyFont="1" applyFill="1" applyBorder="1"/>
    <xf numFmtId="0" fontId="45" fillId="0" borderId="34" xfId="0" applyFont="1" applyFill="1" applyBorder="1" applyProtection="1">
      <protection locked="0"/>
    </xf>
    <xf numFmtId="0" fontId="45" fillId="0" borderId="0" xfId="0" applyFont="1" applyProtection="1">
      <protection hidden="1"/>
    </xf>
    <xf numFmtId="0" fontId="45" fillId="0" borderId="0" xfId="0" applyFont="1" applyAlignment="1" applyProtection="1">
      <alignment horizontal="center"/>
      <protection hidden="1"/>
    </xf>
    <xf numFmtId="173" fontId="45" fillId="0" borderId="0" xfId="0" applyNumberFormat="1" applyFont="1" applyProtection="1">
      <protection hidden="1"/>
    </xf>
    <xf numFmtId="0" fontId="0" fillId="0" borderId="0" xfId="0" applyBorder="1" applyProtection="1">
      <protection hidden="1"/>
    </xf>
    <xf numFmtId="178" fontId="0" fillId="0" borderId="10" xfId="0" applyNumberFormat="1" applyFill="1" applyBorder="1" applyProtection="1">
      <protection hidden="1"/>
    </xf>
    <xf numFmtId="9" fontId="6" fillId="0" borderId="0" xfId="0" applyNumberFormat="1" applyFont="1" applyFill="1" applyBorder="1" applyProtection="1">
      <protection hidden="1"/>
    </xf>
    <xf numFmtId="0" fontId="58" fillId="0" borderId="0" xfId="0" applyFont="1"/>
    <xf numFmtId="173" fontId="0" fillId="0" borderId="0" xfId="0" applyNumberFormat="1" applyAlignment="1">
      <alignment horizontal="right"/>
    </xf>
    <xf numFmtId="1" fontId="0" fillId="0" borderId="69" xfId="0" applyNumberFormat="1" applyBorder="1"/>
    <xf numFmtId="2" fontId="0" fillId="0" borderId="0" xfId="0" applyNumberFormat="1" applyFont="1"/>
    <xf numFmtId="2" fontId="0" fillId="0" borderId="51" xfId="0" applyNumberFormat="1" applyFont="1" applyBorder="1"/>
    <xf numFmtId="178" fontId="0" fillId="0" borderId="68" xfId="0" applyNumberFormat="1" applyBorder="1"/>
    <xf numFmtId="0" fontId="0" fillId="0" borderId="67" xfId="0" applyBorder="1"/>
    <xf numFmtId="2" fontId="0" fillId="0" borderId="67" xfId="0" applyNumberFormat="1" applyBorder="1"/>
    <xf numFmtId="178" fontId="0" fillId="0" borderId="67" xfId="0" applyNumberFormat="1" applyBorder="1"/>
    <xf numFmtId="0" fontId="30" fillId="0" borderId="0" xfId="0" applyFont="1"/>
    <xf numFmtId="0" fontId="40" fillId="0" borderId="0" xfId="19" applyFont="1" applyFill="1" applyBorder="1"/>
    <xf numFmtId="0" fontId="22" fillId="0" borderId="0" xfId="0" applyFont="1" applyFill="1" applyBorder="1"/>
    <xf numFmtId="0" fontId="35" fillId="14" borderId="36" xfId="0" applyFont="1" applyFill="1" applyBorder="1"/>
    <xf numFmtId="0" fontId="40" fillId="0" borderId="0" xfId="19" applyFont="1" applyFill="1" applyProtection="1">
      <protection hidden="1"/>
    </xf>
    <xf numFmtId="0" fontId="40" fillId="0" borderId="0" xfId="19" applyFont="1" applyProtection="1">
      <protection hidden="1"/>
    </xf>
    <xf numFmtId="0" fontId="40" fillId="0" borderId="0" xfId="19" applyFont="1" applyAlignment="1" applyProtection="1">
      <alignment horizontal="left"/>
      <protection hidden="1"/>
    </xf>
    <xf numFmtId="0" fontId="40" fillId="0" borderId="0" xfId="19" applyFont="1"/>
    <xf numFmtId="0" fontId="40" fillId="0" borderId="0" xfId="19" applyFont="1" applyProtection="1"/>
    <xf numFmtId="0" fontId="0" fillId="0" borderId="0" xfId="0" applyBorder="1" applyAlignment="1" applyProtection="1">
      <alignment horizontal="center"/>
      <protection hidden="1"/>
    </xf>
    <xf numFmtId="1" fontId="0" fillId="0" borderId="0" xfId="0" applyNumberFormat="1" applyFill="1" applyBorder="1" applyProtection="1">
      <protection hidden="1"/>
    </xf>
    <xf numFmtId="0" fontId="6" fillId="0" borderId="0" xfId="0" applyFont="1" applyBorder="1" applyAlignment="1" applyProtection="1">
      <alignment horizontal="center"/>
      <protection hidden="1"/>
    </xf>
    <xf numFmtId="174" fontId="6" fillId="0" borderId="0" xfId="0" applyNumberFormat="1" applyFont="1" applyBorder="1" applyProtection="1">
      <protection hidden="1"/>
    </xf>
    <xf numFmtId="169" fontId="6" fillId="0" borderId="0" xfId="0" applyNumberFormat="1" applyFont="1" applyBorder="1" applyProtection="1">
      <protection hidden="1"/>
    </xf>
    <xf numFmtId="2" fontId="45" fillId="0" borderId="0" xfId="0" applyNumberFormat="1" applyFont="1" applyBorder="1" applyProtection="1">
      <protection hidden="1"/>
    </xf>
    <xf numFmtId="165" fontId="45" fillId="0" borderId="0" xfId="0" applyNumberFormat="1" applyFont="1" applyBorder="1" applyProtection="1">
      <protection hidden="1"/>
    </xf>
    <xf numFmtId="165" fontId="6" fillId="0" borderId="0" xfId="0" applyNumberFormat="1" applyFont="1" applyBorder="1" applyProtection="1">
      <protection hidden="1"/>
    </xf>
    <xf numFmtId="1" fontId="6" fillId="0" borderId="0" xfId="0" applyNumberFormat="1" applyFont="1" applyFill="1" applyBorder="1" applyProtection="1">
      <protection locked="0"/>
    </xf>
    <xf numFmtId="2" fontId="45" fillId="0" borderId="3" xfId="0" applyNumberFormat="1" applyFont="1" applyBorder="1" applyProtection="1">
      <protection hidden="1"/>
    </xf>
    <xf numFmtId="165" fontId="45" fillId="0" borderId="3" xfId="0" applyNumberFormat="1" applyFont="1" applyBorder="1" applyProtection="1">
      <protection hidden="1"/>
    </xf>
    <xf numFmtId="0" fontId="30" fillId="0" borderId="0" xfId="1" applyFont="1" applyAlignment="1" applyProtection="1">
      <alignment horizontal="right"/>
      <protection hidden="1"/>
    </xf>
    <xf numFmtId="0" fontId="30" fillId="0" borderId="10" xfId="1" applyFont="1" applyFill="1" applyBorder="1" applyAlignment="1" applyProtection="1">
      <alignment horizontal="center"/>
      <protection hidden="1"/>
    </xf>
    <xf numFmtId="0" fontId="31" fillId="0" borderId="0" xfId="1" applyFont="1" applyProtection="1">
      <protection hidden="1"/>
    </xf>
    <xf numFmtId="0" fontId="31" fillId="0" borderId="0" xfId="0" applyFont="1" applyProtection="1">
      <protection hidden="1"/>
    </xf>
    <xf numFmtId="0" fontId="30" fillId="0" borderId="0" xfId="0" applyFont="1" applyAlignment="1" applyProtection="1">
      <alignment horizontal="right"/>
      <protection hidden="1"/>
    </xf>
    <xf numFmtId="0" fontId="30" fillId="0" borderId="10" xfId="0" applyFont="1" applyFill="1" applyBorder="1" applyProtection="1">
      <protection hidden="1"/>
    </xf>
    <xf numFmtId="1" fontId="30" fillId="0" borderId="10" xfId="0" applyNumberFormat="1" applyFont="1" applyFill="1" applyBorder="1" applyProtection="1">
      <protection hidden="1"/>
    </xf>
    <xf numFmtId="0" fontId="15" fillId="0" borderId="0" xfId="12" applyFont="1" applyAlignment="1" applyProtection="1">
      <alignment horizontal="right"/>
      <protection hidden="1"/>
    </xf>
    <xf numFmtId="0" fontId="36" fillId="0" borderId="0" xfId="12" applyFont="1" applyProtection="1">
      <protection hidden="1"/>
    </xf>
    <xf numFmtId="0" fontId="30" fillId="0" borderId="0" xfId="1" applyFont="1" applyAlignment="1" applyProtection="1">
      <alignment horizontal="center"/>
      <protection hidden="1"/>
    </xf>
    <xf numFmtId="0" fontId="59" fillId="0" borderId="10" xfId="1" applyFont="1" applyFill="1" applyBorder="1" applyAlignment="1" applyProtection="1">
      <alignment horizontal="center"/>
      <protection hidden="1"/>
    </xf>
    <xf numFmtId="37" fontId="59" fillId="0" borderId="10" xfId="1" applyNumberFormat="1" applyFont="1" applyFill="1" applyBorder="1" applyAlignment="1" applyProtection="1">
      <alignment horizontal="center"/>
      <protection hidden="1"/>
    </xf>
    <xf numFmtId="0" fontId="31" fillId="0" borderId="11" xfId="1" applyFont="1" applyFill="1" applyBorder="1" applyProtection="1">
      <protection hidden="1"/>
    </xf>
    <xf numFmtId="166" fontId="31" fillId="0" borderId="10" xfId="1" applyNumberFormat="1" applyFont="1" applyFill="1" applyBorder="1" applyProtection="1">
      <protection hidden="1"/>
    </xf>
    <xf numFmtId="0" fontId="31" fillId="0" borderId="0" xfId="1" applyFont="1" applyAlignment="1" applyProtection="1">
      <alignment horizontal="left"/>
      <protection hidden="1"/>
    </xf>
    <xf numFmtId="0" fontId="31" fillId="0" borderId="10" xfId="1" applyFont="1" applyFill="1" applyBorder="1" applyProtection="1">
      <protection hidden="1"/>
    </xf>
    <xf numFmtId="0" fontId="31" fillId="0" borderId="0" xfId="0" applyFont="1" applyAlignment="1" applyProtection="1">
      <alignment horizontal="left"/>
      <protection hidden="1"/>
    </xf>
    <xf numFmtId="0" fontId="31" fillId="0" borderId="0" xfId="0" applyFont="1" applyFill="1" applyBorder="1" applyAlignment="1" applyProtection="1">
      <alignment horizontal="right"/>
      <protection hidden="1"/>
    </xf>
    <xf numFmtId="0" fontId="31" fillId="0" borderId="0" xfId="1" applyFont="1" applyFill="1" applyBorder="1" applyProtection="1">
      <protection hidden="1"/>
    </xf>
    <xf numFmtId="167" fontId="31" fillId="0" borderId="0" xfId="1" applyNumberFormat="1" applyFont="1" applyFill="1" applyBorder="1" applyProtection="1">
      <protection hidden="1"/>
    </xf>
    <xf numFmtId="0" fontId="31" fillId="0" borderId="10" xfId="0" applyFont="1" applyFill="1" applyBorder="1" applyProtection="1">
      <protection hidden="1"/>
    </xf>
    <xf numFmtId="168" fontId="31" fillId="0" borderId="0" xfId="1" applyNumberFormat="1" applyFont="1" applyFill="1" applyAlignment="1" applyProtection="1">
      <alignment horizontal="center"/>
      <protection hidden="1"/>
    </xf>
    <xf numFmtId="0" fontId="30" fillId="0" borderId="10" xfId="1" applyFont="1" applyBorder="1" applyAlignment="1" applyProtection="1">
      <alignment horizontal="centerContinuous"/>
      <protection hidden="1"/>
    </xf>
    <xf numFmtId="0" fontId="30" fillId="0" borderId="12" xfId="1" applyFont="1" applyBorder="1" applyAlignment="1" applyProtection="1">
      <alignment horizontal="centerContinuous"/>
      <protection hidden="1"/>
    </xf>
    <xf numFmtId="169" fontId="31" fillId="0" borderId="10" xfId="1" applyNumberFormat="1" applyFont="1" applyFill="1" applyBorder="1" applyProtection="1">
      <protection hidden="1"/>
    </xf>
    <xf numFmtId="0" fontId="15" fillId="0" borderId="0" xfId="1" applyFont="1" applyAlignment="1" applyProtection="1">
      <alignment horizontal="left"/>
      <protection hidden="1"/>
    </xf>
    <xf numFmtId="0" fontId="31" fillId="0" borderId="0" xfId="1" applyFont="1" applyAlignment="1" applyProtection="1">
      <alignment horizontal="center"/>
      <protection hidden="1"/>
    </xf>
    <xf numFmtId="170" fontId="31" fillId="0" borderId="0" xfId="1" applyNumberFormat="1" applyFont="1" applyProtection="1">
      <protection hidden="1"/>
    </xf>
    <xf numFmtId="49" fontId="31" fillId="0" borderId="0" xfId="1" applyNumberFormat="1" applyFont="1" applyProtection="1">
      <protection hidden="1"/>
    </xf>
    <xf numFmtId="0" fontId="30" fillId="0" borderId="0" xfId="1" applyFont="1" applyFill="1" applyAlignment="1" applyProtection="1">
      <alignment horizontal="left"/>
      <protection hidden="1"/>
    </xf>
    <xf numFmtId="0" fontId="31" fillId="0" borderId="0" xfId="1" applyFont="1" applyFill="1" applyAlignment="1" applyProtection="1">
      <alignment horizontal="center"/>
      <protection hidden="1"/>
    </xf>
    <xf numFmtId="0" fontId="31" fillId="0" borderId="34" xfId="1" applyFont="1" applyFill="1" applyBorder="1" applyAlignment="1" applyProtection="1">
      <alignment horizontal="center" vertical="center"/>
      <protection locked="0"/>
    </xf>
    <xf numFmtId="170" fontId="31" fillId="0" borderId="47" xfId="1" applyNumberFormat="1" applyFont="1" applyBorder="1" applyProtection="1">
      <protection hidden="1"/>
    </xf>
    <xf numFmtId="1" fontId="31" fillId="0" borderId="41" xfId="1" applyNumberFormat="1" applyFont="1" applyFill="1" applyBorder="1" applyAlignment="1" applyProtection="1">
      <alignment horizontal="center"/>
      <protection hidden="1"/>
    </xf>
    <xf numFmtId="0" fontId="31" fillId="0" borderId="0" xfId="0" applyFont="1" applyBorder="1" applyProtection="1">
      <protection hidden="1"/>
    </xf>
    <xf numFmtId="49" fontId="31" fillId="0" borderId="0" xfId="1" applyNumberFormat="1" applyFont="1" applyBorder="1" applyProtection="1">
      <protection hidden="1"/>
    </xf>
    <xf numFmtId="0" fontId="31" fillId="0" borderId="0" xfId="1" applyFont="1" applyBorder="1" applyProtection="1">
      <protection hidden="1"/>
    </xf>
    <xf numFmtId="1" fontId="31" fillId="0" borderId="41" xfId="1" applyNumberFormat="1" applyFont="1" applyFill="1" applyBorder="1" applyAlignment="1" applyProtection="1">
      <alignment horizontal="center" vertical="center"/>
      <protection hidden="1"/>
    </xf>
    <xf numFmtId="1" fontId="31" fillId="0" borderId="0" xfId="1" applyNumberFormat="1" applyFont="1" applyFill="1" applyBorder="1" applyAlignment="1" applyProtection="1">
      <alignment horizontal="center" vertical="center"/>
      <protection hidden="1"/>
    </xf>
    <xf numFmtId="2" fontId="31" fillId="0" borderId="41" xfId="1" applyNumberFormat="1" applyFont="1" applyFill="1" applyBorder="1" applyAlignment="1" applyProtection="1">
      <alignment horizontal="center"/>
      <protection hidden="1"/>
    </xf>
    <xf numFmtId="1" fontId="59" fillId="0" borderId="0" xfId="1" applyNumberFormat="1" applyFont="1" applyFill="1" applyBorder="1" applyAlignment="1" applyProtection="1">
      <alignment horizontal="left"/>
      <protection hidden="1"/>
    </xf>
    <xf numFmtId="2" fontId="31" fillId="0" borderId="0" xfId="1" applyNumberFormat="1" applyFont="1" applyFill="1" applyBorder="1" applyAlignment="1" applyProtection="1">
      <alignment horizontal="right"/>
      <protection hidden="1"/>
    </xf>
    <xf numFmtId="10" fontId="31" fillId="0" borderId="0" xfId="0" applyNumberFormat="1" applyFont="1" applyFill="1" applyProtection="1">
      <protection hidden="1"/>
    </xf>
    <xf numFmtId="0" fontId="30" fillId="0" borderId="0" xfId="1" applyFont="1" applyAlignment="1" applyProtection="1">
      <alignment horizontal="left"/>
      <protection hidden="1"/>
    </xf>
    <xf numFmtId="1" fontId="59" fillId="0" borderId="43" xfId="1" applyNumberFormat="1" applyFont="1" applyFill="1" applyBorder="1" applyAlignment="1" applyProtection="1">
      <alignment horizontal="right"/>
      <protection hidden="1"/>
    </xf>
    <xf numFmtId="1" fontId="31" fillId="0" borderId="21" xfId="1" applyNumberFormat="1" applyFont="1" applyFill="1" applyBorder="1" applyAlignment="1" applyProtection="1">
      <alignment horizontal="right"/>
      <protection hidden="1"/>
    </xf>
    <xf numFmtId="165" fontId="31" fillId="0" borderId="10" xfId="1" applyNumberFormat="1" applyFont="1" applyFill="1" applyBorder="1" applyAlignment="1" applyProtection="1">
      <alignment horizontal="center"/>
      <protection hidden="1"/>
    </xf>
    <xf numFmtId="0" fontId="31" fillId="0" borderId="0" xfId="1" applyFont="1" applyFill="1" applyAlignment="1" applyProtection="1">
      <alignment horizontal="left"/>
      <protection hidden="1"/>
    </xf>
    <xf numFmtId="1" fontId="59" fillId="0" borderId="32" xfId="1" applyNumberFormat="1" applyFont="1" applyFill="1" applyBorder="1" applyAlignment="1" applyProtection="1">
      <protection hidden="1"/>
    </xf>
    <xf numFmtId="2" fontId="31" fillId="0" borderId="10" xfId="1" applyNumberFormat="1" applyFont="1" applyFill="1" applyBorder="1" applyAlignment="1" applyProtection="1">
      <alignment horizontal="left"/>
      <protection hidden="1"/>
    </xf>
    <xf numFmtId="0" fontId="31" fillId="0" borderId="0" xfId="1" applyFont="1" applyFill="1" applyProtection="1">
      <protection hidden="1"/>
    </xf>
    <xf numFmtId="1" fontId="59" fillId="0" borderId="10" xfId="1" applyNumberFormat="1" applyFont="1" applyFill="1" applyBorder="1" applyAlignment="1" applyProtection="1">
      <alignment horizontal="right"/>
      <protection hidden="1"/>
    </xf>
    <xf numFmtId="171" fontId="59" fillId="0" borderId="10" xfId="1" applyNumberFormat="1" applyFont="1" applyFill="1" applyBorder="1" applyAlignment="1" applyProtection="1">
      <alignment horizontal="right"/>
      <protection hidden="1"/>
    </xf>
    <xf numFmtId="0" fontId="31" fillId="0" borderId="10" xfId="0" applyFont="1" applyFill="1" applyBorder="1" applyAlignment="1" applyProtection="1">
      <alignment horizontal="left"/>
      <protection hidden="1"/>
    </xf>
    <xf numFmtId="0" fontId="31" fillId="0" borderId="10" xfId="1" applyFont="1" applyFill="1" applyBorder="1" applyAlignment="1" applyProtection="1">
      <alignment horizontal="left"/>
      <protection hidden="1"/>
    </xf>
    <xf numFmtId="2" fontId="31" fillId="0" borderId="10" xfId="1" applyNumberFormat="1" applyFont="1" applyFill="1" applyBorder="1" applyAlignment="1" applyProtection="1">
      <alignment horizontal="center"/>
      <protection hidden="1"/>
    </xf>
    <xf numFmtId="0" fontId="36" fillId="0" borderId="0" xfId="12" quotePrefix="1" applyFont="1" applyBorder="1" applyProtection="1">
      <protection hidden="1"/>
    </xf>
    <xf numFmtId="171" fontId="59" fillId="0" borderId="0" xfId="1" applyNumberFormat="1" applyFont="1" applyFill="1" applyBorder="1" applyAlignment="1" applyProtection="1">
      <alignment horizontal="left"/>
      <protection hidden="1"/>
    </xf>
    <xf numFmtId="0" fontId="31" fillId="0" borderId="0" xfId="1" applyFont="1" applyFill="1" applyBorder="1" applyAlignment="1" applyProtection="1">
      <alignment horizontal="left"/>
      <protection hidden="1"/>
    </xf>
    <xf numFmtId="2" fontId="31" fillId="0" borderId="0" xfId="1" applyNumberFormat="1" applyFont="1" applyFill="1" applyBorder="1" applyAlignment="1" applyProtection="1">
      <alignment horizontal="center"/>
      <protection hidden="1"/>
    </xf>
    <xf numFmtId="0" fontId="36" fillId="0" borderId="0" xfId="12" applyFont="1" applyFill="1" applyProtection="1">
      <protection hidden="1"/>
    </xf>
    <xf numFmtId="171" fontId="60" fillId="0" borderId="0" xfId="1" applyNumberFormat="1" applyFont="1" applyFill="1" applyBorder="1" applyAlignment="1" applyProtection="1">
      <alignment horizontal="left"/>
      <protection hidden="1"/>
    </xf>
    <xf numFmtId="172" fontId="31" fillId="0" borderId="0" xfId="0" applyNumberFormat="1" applyFont="1" applyFill="1" applyBorder="1" applyAlignment="1" applyProtection="1">
      <alignment horizontal="right"/>
      <protection hidden="1"/>
    </xf>
    <xf numFmtId="1" fontId="59" fillId="0" borderId="34" xfId="1" applyNumberFormat="1" applyFont="1" applyFill="1" applyBorder="1" applyAlignment="1" applyProtection="1">
      <alignment horizontal="right"/>
      <protection locked="0" hidden="1"/>
    </xf>
    <xf numFmtId="1" fontId="31" fillId="0" borderId="0" xfId="0" applyNumberFormat="1" applyFont="1" applyProtection="1">
      <protection hidden="1"/>
    </xf>
    <xf numFmtId="0" fontId="30" fillId="0" borderId="0" xfId="0" applyFont="1" applyFill="1" applyBorder="1" applyProtection="1">
      <protection hidden="1"/>
    </xf>
    <xf numFmtId="1" fontId="59" fillId="0" borderId="32" xfId="1" applyNumberFormat="1" applyFont="1" applyFill="1" applyBorder="1" applyAlignment="1" applyProtection="1">
      <alignment horizontal="right"/>
      <protection hidden="1"/>
    </xf>
    <xf numFmtId="172" fontId="31" fillId="0" borderId="0" xfId="1" applyNumberFormat="1" applyFont="1" applyFill="1" applyBorder="1" applyAlignment="1" applyProtection="1">
      <alignment horizontal="left"/>
      <protection hidden="1"/>
    </xf>
    <xf numFmtId="172" fontId="61" fillId="0" borderId="10" xfId="0" applyNumberFormat="1" applyFont="1" applyFill="1" applyBorder="1" applyProtection="1">
      <protection hidden="1"/>
    </xf>
    <xf numFmtId="172" fontId="31" fillId="0" borderId="0" xfId="0" applyNumberFormat="1" applyFont="1" applyFill="1" applyBorder="1" applyAlignment="1" applyProtection="1">
      <alignment horizontal="left"/>
      <protection hidden="1"/>
    </xf>
    <xf numFmtId="172" fontId="59" fillId="0" borderId="41" xfId="1" applyNumberFormat="1" applyFont="1" applyFill="1" applyBorder="1" applyAlignment="1" applyProtection="1">
      <alignment horizontal="right"/>
      <protection hidden="1"/>
    </xf>
    <xf numFmtId="0" fontId="62" fillId="0" borderId="10" xfId="0" applyFont="1" applyBorder="1" applyAlignment="1" applyProtection="1">
      <alignment horizontal="center"/>
      <protection hidden="1"/>
    </xf>
    <xf numFmtId="0" fontId="31" fillId="0" borderId="10" xfId="0" applyFont="1" applyBorder="1" applyAlignment="1" applyProtection="1">
      <alignment horizontal="center"/>
      <protection hidden="1"/>
    </xf>
    <xf numFmtId="0" fontId="31" fillId="0" borderId="10" xfId="0" applyFont="1" applyBorder="1" applyProtection="1">
      <protection hidden="1"/>
    </xf>
    <xf numFmtId="1" fontId="31" fillId="0" borderId="10" xfId="0" applyNumberFormat="1" applyFont="1" applyFill="1" applyBorder="1" applyProtection="1">
      <protection hidden="1"/>
    </xf>
    <xf numFmtId="0" fontId="31" fillId="11" borderId="10" xfId="0" applyFont="1" applyFill="1" applyBorder="1" applyProtection="1">
      <protection hidden="1"/>
    </xf>
    <xf numFmtId="0" fontId="31" fillId="0" borderId="3" xfId="0" applyFont="1" applyBorder="1" applyAlignment="1" applyProtection="1">
      <alignment horizontal="center"/>
      <protection hidden="1"/>
    </xf>
    <xf numFmtId="0" fontId="31" fillId="0" borderId="3" xfId="0" applyFont="1" applyBorder="1" applyProtection="1">
      <protection hidden="1"/>
    </xf>
    <xf numFmtId="1" fontId="31" fillId="0" borderId="3" xfId="0" applyNumberFormat="1" applyFont="1" applyFill="1" applyBorder="1" applyProtection="1">
      <protection hidden="1"/>
    </xf>
    <xf numFmtId="0" fontId="31" fillId="0" borderId="0" xfId="0" applyFont="1" applyBorder="1" applyAlignment="1" applyProtection="1">
      <alignment horizontal="center"/>
      <protection hidden="1"/>
    </xf>
    <xf numFmtId="1" fontId="31" fillId="0" borderId="0" xfId="0" applyNumberFormat="1" applyFont="1" applyFill="1" applyBorder="1" applyProtection="1">
      <protection hidden="1"/>
    </xf>
    <xf numFmtId="172" fontId="59" fillId="0" borderId="0" xfId="1" applyNumberFormat="1" applyFont="1" applyFill="1" applyBorder="1" applyAlignment="1" applyProtection="1">
      <alignment horizontal="right"/>
      <protection hidden="1"/>
    </xf>
    <xf numFmtId="0" fontId="15" fillId="0" borderId="10" xfId="12" applyFont="1" applyBorder="1" applyAlignment="1" applyProtection="1">
      <alignment horizontal="center"/>
      <protection hidden="1"/>
    </xf>
    <xf numFmtId="0" fontId="15" fillId="0" borderId="10" xfId="12" applyFont="1" applyFill="1" applyBorder="1" applyAlignment="1" applyProtection="1">
      <alignment horizontal="center" vertical="center"/>
      <protection hidden="1"/>
    </xf>
    <xf numFmtId="0" fontId="15" fillId="0" borderId="0" xfId="12" applyFont="1" applyFill="1" applyBorder="1" applyAlignment="1" applyProtection="1">
      <alignment horizontal="center" vertical="center" wrapText="1"/>
      <protection hidden="1"/>
    </xf>
    <xf numFmtId="0" fontId="36" fillId="0" borderId="10" xfId="12" applyFont="1" applyBorder="1" applyAlignment="1" applyProtection="1">
      <alignment horizontal="center"/>
      <protection hidden="1"/>
    </xf>
    <xf numFmtId="172" fontId="30" fillId="0" borderId="10" xfId="12" applyNumberFormat="1" applyFont="1" applyBorder="1" applyProtection="1">
      <protection hidden="1"/>
    </xf>
    <xf numFmtId="1" fontId="36" fillId="0" borderId="10" xfId="12" applyNumberFormat="1" applyFont="1" applyFill="1" applyBorder="1" applyAlignment="1" applyProtection="1">
      <alignment horizontal="center"/>
      <protection hidden="1"/>
    </xf>
    <xf numFmtId="173" fontId="36" fillId="0" borderId="0" xfId="12" applyNumberFormat="1" applyFont="1" applyFill="1" applyBorder="1" applyProtection="1">
      <protection hidden="1"/>
    </xf>
    <xf numFmtId="175" fontId="59" fillId="0" borderId="0" xfId="1" applyNumberFormat="1" applyFont="1" applyFill="1" applyBorder="1" applyAlignment="1" applyProtection="1">
      <alignment horizontal="right"/>
      <protection hidden="1"/>
    </xf>
    <xf numFmtId="172" fontId="36" fillId="0" borderId="0" xfId="12" applyNumberFormat="1" applyFont="1" applyFill="1" applyBorder="1" applyProtection="1">
      <protection hidden="1"/>
    </xf>
    <xf numFmtId="172" fontId="30" fillId="11" borderId="10" xfId="12" applyNumberFormat="1" applyFont="1" applyFill="1" applyBorder="1" applyProtection="1">
      <protection hidden="1"/>
    </xf>
    <xf numFmtId="179" fontId="36" fillId="0" borderId="0" xfId="12" applyNumberFormat="1" applyFont="1" applyFill="1" applyBorder="1" applyProtection="1">
      <protection hidden="1"/>
    </xf>
    <xf numFmtId="0" fontId="36" fillId="0" borderId="3" xfId="12" applyFont="1" applyBorder="1" applyAlignment="1" applyProtection="1">
      <alignment horizontal="center"/>
      <protection hidden="1"/>
    </xf>
    <xf numFmtId="172" fontId="30" fillId="0" borderId="3" xfId="12" applyNumberFormat="1" applyFont="1" applyBorder="1" applyProtection="1">
      <protection hidden="1"/>
    </xf>
    <xf numFmtId="1" fontId="36" fillId="0" borderId="3" xfId="12" applyNumberFormat="1" applyFont="1" applyFill="1" applyBorder="1" applyAlignment="1" applyProtection="1">
      <alignment horizontal="center"/>
      <protection hidden="1"/>
    </xf>
    <xf numFmtId="2" fontId="36" fillId="0" borderId="0" xfId="12" applyNumberFormat="1" applyFont="1" applyFill="1" applyBorder="1" applyProtection="1">
      <protection hidden="1"/>
    </xf>
    <xf numFmtId="0" fontId="36" fillId="0" borderId="0" xfId="12" applyFont="1" applyBorder="1" applyProtection="1">
      <protection hidden="1"/>
    </xf>
    <xf numFmtId="0" fontId="15" fillId="0" borderId="10" xfId="12" applyFont="1" applyFill="1" applyBorder="1" applyProtection="1">
      <protection hidden="1"/>
    </xf>
    <xf numFmtId="0" fontId="36" fillId="0" borderId="10" xfId="12" applyFont="1" applyBorder="1" applyProtection="1">
      <protection hidden="1"/>
    </xf>
    <xf numFmtId="0" fontId="31" fillId="0" borderId="0" xfId="12" applyFont="1" applyFill="1" applyBorder="1" applyProtection="1">
      <protection hidden="1"/>
    </xf>
    <xf numFmtId="178" fontId="36" fillId="0" borderId="10" xfId="12" applyNumberFormat="1" applyFont="1" applyFill="1" applyBorder="1" applyProtection="1">
      <protection hidden="1"/>
    </xf>
    <xf numFmtId="0" fontId="31" fillId="0" borderId="0" xfId="12" applyFont="1" applyBorder="1" applyProtection="1">
      <protection hidden="1"/>
    </xf>
    <xf numFmtId="0" fontId="30" fillId="0" borderId="0" xfId="12" applyFont="1" applyFill="1" applyBorder="1" applyAlignment="1" applyProtection="1">
      <alignment horizontal="center"/>
      <protection hidden="1"/>
    </xf>
    <xf numFmtId="0" fontId="31" fillId="0" borderId="0" xfId="12" applyFont="1" applyBorder="1" applyAlignment="1" applyProtection="1">
      <alignment horizontal="left"/>
      <protection hidden="1"/>
    </xf>
    <xf numFmtId="0" fontId="36" fillId="0" borderId="0" xfId="12" applyFont="1" applyFill="1" applyBorder="1" applyProtection="1">
      <protection hidden="1"/>
    </xf>
    <xf numFmtId="1" fontId="36" fillId="0" borderId="0" xfId="12" applyNumberFormat="1" applyFont="1" applyFill="1" applyBorder="1" applyProtection="1">
      <protection hidden="1"/>
    </xf>
    <xf numFmtId="0" fontId="31" fillId="0" borderId="0" xfId="12" applyFont="1" applyBorder="1" applyAlignment="1" applyProtection="1">
      <alignment horizontal="right"/>
      <protection hidden="1"/>
    </xf>
    <xf numFmtId="0" fontId="15" fillId="0" borderId="0" xfId="12" applyFont="1" applyBorder="1" applyProtection="1">
      <protection hidden="1"/>
    </xf>
    <xf numFmtId="0" fontId="31" fillId="0" borderId="11" xfId="12" applyFont="1" applyBorder="1" applyProtection="1">
      <protection hidden="1"/>
    </xf>
    <xf numFmtId="172" fontId="36" fillId="0" borderId="34" xfId="12" applyNumberFormat="1" applyFont="1" applyFill="1" applyBorder="1" applyProtection="1">
      <protection locked="0" hidden="1"/>
    </xf>
    <xf numFmtId="0" fontId="31" fillId="0" borderId="12" xfId="12" applyFont="1" applyBorder="1" applyProtection="1">
      <protection hidden="1"/>
    </xf>
    <xf numFmtId="0" fontId="31" fillId="0" borderId="10" xfId="12" applyFont="1" applyBorder="1" applyProtection="1">
      <protection hidden="1"/>
    </xf>
    <xf numFmtId="0" fontId="36" fillId="0" borderId="11" xfId="12" applyFont="1" applyFill="1" applyBorder="1" applyProtection="1">
      <protection hidden="1"/>
    </xf>
    <xf numFmtId="0" fontId="15" fillId="0" borderId="11" xfId="12" applyFont="1" applyBorder="1" applyProtection="1">
      <protection hidden="1"/>
    </xf>
    <xf numFmtId="0" fontId="36" fillId="0" borderId="41" xfId="12" applyFont="1" applyFill="1" applyBorder="1" applyProtection="1">
      <protection hidden="1"/>
    </xf>
    <xf numFmtId="0" fontId="36" fillId="0" borderId="12" xfId="12" applyFont="1" applyBorder="1" applyProtection="1">
      <protection hidden="1"/>
    </xf>
    <xf numFmtId="172" fontId="36" fillId="0" borderId="32" xfId="12" applyNumberFormat="1" applyFont="1" applyFill="1" applyBorder="1" applyProtection="1">
      <protection hidden="1"/>
    </xf>
    <xf numFmtId="1" fontId="36" fillId="0" borderId="41" xfId="12" applyNumberFormat="1" applyFont="1" applyFill="1" applyBorder="1" applyProtection="1">
      <protection hidden="1"/>
    </xf>
    <xf numFmtId="172" fontId="36" fillId="0" borderId="10" xfId="12" applyNumberFormat="1" applyFont="1" applyFill="1" applyBorder="1" applyProtection="1">
      <protection hidden="1"/>
    </xf>
    <xf numFmtId="0" fontId="36" fillId="0" borderId="10" xfId="12" applyFont="1" applyFill="1" applyBorder="1" applyProtection="1">
      <protection hidden="1"/>
    </xf>
    <xf numFmtId="1" fontId="36" fillId="0" borderId="10" xfId="12" applyNumberFormat="1" applyFont="1" applyFill="1" applyBorder="1" applyProtection="1">
      <protection hidden="1"/>
    </xf>
    <xf numFmtId="2" fontId="36" fillId="0" borderId="10" xfId="12" applyNumberFormat="1" applyFont="1" applyFill="1" applyBorder="1" applyProtection="1">
      <protection hidden="1"/>
    </xf>
    <xf numFmtId="1" fontId="36" fillId="0" borderId="33" xfId="12" applyNumberFormat="1" applyFont="1" applyFill="1" applyBorder="1" applyProtection="1">
      <protection hidden="1"/>
    </xf>
    <xf numFmtId="0" fontId="36" fillId="0" borderId="11" xfId="12" applyFont="1" applyBorder="1" applyProtection="1">
      <protection hidden="1"/>
    </xf>
    <xf numFmtId="0" fontId="36" fillId="0" borderId="3" xfId="12" applyFont="1" applyFill="1" applyBorder="1" applyProtection="1">
      <protection hidden="1"/>
    </xf>
    <xf numFmtId="172" fontId="30" fillId="0" borderId="0" xfId="12" applyNumberFormat="1" applyFont="1" applyBorder="1" applyProtection="1">
      <protection hidden="1"/>
    </xf>
    <xf numFmtId="1" fontId="31" fillId="0" borderId="0" xfId="12" applyNumberFormat="1" applyFont="1" applyFill="1" applyBorder="1" applyAlignment="1" applyProtection="1">
      <alignment horizontal="center"/>
      <protection hidden="1"/>
    </xf>
    <xf numFmtId="172" fontId="36" fillId="0" borderId="0" xfId="12" applyNumberFormat="1" applyFont="1" applyBorder="1" applyProtection="1">
      <protection hidden="1"/>
    </xf>
    <xf numFmtId="172" fontId="30" fillId="0" borderId="0" xfId="12" applyNumberFormat="1" applyFont="1" applyProtection="1">
      <protection hidden="1"/>
    </xf>
    <xf numFmtId="172" fontId="31" fillId="0" borderId="0" xfId="12" applyNumberFormat="1" applyFont="1" applyFill="1" applyProtection="1">
      <protection hidden="1"/>
    </xf>
    <xf numFmtId="2" fontId="31" fillId="0" borderId="0" xfId="12" applyNumberFormat="1" applyFont="1" applyFill="1" applyProtection="1">
      <protection hidden="1"/>
    </xf>
    <xf numFmtId="0" fontId="4" fillId="0" borderId="0" xfId="29" applyFont="1"/>
    <xf numFmtId="0" fontId="4" fillId="0" borderId="34" xfId="29" applyFont="1" applyFill="1" applyBorder="1"/>
    <xf numFmtId="0" fontId="31" fillId="0" borderId="55" xfId="0" applyFont="1" applyBorder="1" applyProtection="1">
      <protection hidden="1"/>
    </xf>
    <xf numFmtId="0" fontId="31" fillId="0" borderId="56" xfId="0" applyFont="1" applyBorder="1" applyProtection="1">
      <protection hidden="1"/>
    </xf>
    <xf numFmtId="0" fontId="31" fillId="0" borderId="11" xfId="0" applyFont="1" applyBorder="1" applyProtection="1">
      <protection hidden="1"/>
    </xf>
    <xf numFmtId="173" fontId="31" fillId="10" borderId="45" xfId="0" applyNumberFormat="1" applyFont="1" applyFill="1" applyBorder="1" applyProtection="1">
      <protection locked="0"/>
    </xf>
    <xf numFmtId="173" fontId="31" fillId="0" borderId="12" xfId="0" applyNumberFormat="1" applyFont="1" applyBorder="1" applyProtection="1">
      <protection hidden="1"/>
    </xf>
    <xf numFmtId="173" fontId="31" fillId="0" borderId="40" xfId="0" applyNumberFormat="1" applyFont="1" applyBorder="1" applyProtection="1">
      <protection locked="0"/>
    </xf>
    <xf numFmtId="0" fontId="31" fillId="0" borderId="53" xfId="0" applyFont="1" applyBorder="1" applyProtection="1">
      <protection hidden="1"/>
    </xf>
    <xf numFmtId="0" fontId="31" fillId="0" borderId="51" xfId="0" applyFont="1" applyBorder="1" applyProtection="1">
      <protection hidden="1"/>
    </xf>
    <xf numFmtId="0" fontId="31" fillId="0" borderId="54" xfId="0" applyFont="1" applyBorder="1" applyProtection="1">
      <protection hidden="1"/>
    </xf>
    <xf numFmtId="0" fontId="45" fillId="12" borderId="58" xfId="0" applyFont="1" applyFill="1" applyBorder="1" applyProtection="1">
      <protection hidden="1"/>
    </xf>
    <xf numFmtId="0" fontId="45" fillId="12" borderId="0" xfId="0" applyFont="1" applyFill="1" applyBorder="1" applyProtection="1">
      <protection hidden="1"/>
    </xf>
    <xf numFmtId="0" fontId="31" fillId="12" borderId="0" xfId="0" applyFont="1" applyFill="1" applyBorder="1" applyProtection="1">
      <protection hidden="1"/>
    </xf>
    <xf numFmtId="0" fontId="31" fillId="12" borderId="59" xfId="0" applyFont="1" applyFill="1" applyBorder="1" applyProtection="1">
      <protection hidden="1"/>
    </xf>
    <xf numFmtId="0" fontId="45" fillId="0" borderId="58" xfId="0" applyFont="1" applyBorder="1" applyProtection="1">
      <protection hidden="1"/>
    </xf>
    <xf numFmtId="0" fontId="45" fillId="0" borderId="0" xfId="0" applyFont="1" applyBorder="1" applyProtection="1">
      <protection hidden="1"/>
    </xf>
    <xf numFmtId="0" fontId="31" fillId="0" borderId="59" xfId="0" applyFont="1" applyBorder="1" applyProtection="1">
      <protection hidden="1"/>
    </xf>
    <xf numFmtId="0" fontId="44" fillId="0" borderId="60" xfId="0" applyFont="1" applyBorder="1" applyProtection="1">
      <protection hidden="1"/>
    </xf>
    <xf numFmtId="0" fontId="45" fillId="0" borderId="3" xfId="0" applyFont="1" applyBorder="1" applyProtection="1">
      <protection hidden="1"/>
    </xf>
    <xf numFmtId="0" fontId="31" fillId="0" borderId="61" xfId="0" applyFont="1" applyBorder="1" applyProtection="1">
      <protection hidden="1"/>
    </xf>
    <xf numFmtId="0" fontId="31" fillId="0" borderId="62" xfId="0" applyFont="1" applyBorder="1" applyProtection="1">
      <protection hidden="1"/>
    </xf>
    <xf numFmtId="0" fontId="31" fillId="0" borderId="8" xfId="0" applyFont="1" applyBorder="1" applyProtection="1">
      <protection hidden="1"/>
    </xf>
    <xf numFmtId="0" fontId="31" fillId="0" borderId="63" xfId="0" applyFont="1" applyBorder="1" applyProtection="1">
      <protection hidden="1"/>
    </xf>
    <xf numFmtId="173" fontId="31" fillId="0" borderId="64" xfId="0" applyNumberFormat="1" applyFont="1" applyBorder="1" applyProtection="1">
      <protection locked="0"/>
    </xf>
    <xf numFmtId="173" fontId="31" fillId="0" borderId="65" xfId="0" applyNumberFormat="1" applyFont="1" applyBorder="1" applyProtection="1">
      <protection locked="0"/>
    </xf>
    <xf numFmtId="173" fontId="31" fillId="0" borderId="57" xfId="0" applyNumberFormat="1" applyFont="1" applyBorder="1" applyProtection="1">
      <protection locked="0"/>
    </xf>
    <xf numFmtId="173" fontId="31" fillId="0" borderId="0" xfId="0" applyNumberFormat="1" applyFont="1" applyBorder="1" applyProtection="1">
      <protection hidden="1"/>
    </xf>
    <xf numFmtId="173" fontId="31" fillId="0" borderId="0" xfId="0" applyNumberFormat="1" applyFont="1" applyProtection="1">
      <protection hidden="1"/>
    </xf>
    <xf numFmtId="0" fontId="31" fillId="0" borderId="0" xfId="0" applyFont="1" applyProtection="1"/>
    <xf numFmtId="0" fontId="36" fillId="0" borderId="0" xfId="12" applyFont="1" applyProtection="1"/>
    <xf numFmtId="0" fontId="30" fillId="0" borderId="0" xfId="1" applyFont="1" applyFill="1" applyAlignment="1" applyProtection="1">
      <alignment horizontal="left"/>
    </xf>
    <xf numFmtId="0" fontId="36" fillId="0" borderId="0" xfId="12" applyFont="1" applyFill="1" applyProtection="1"/>
    <xf numFmtId="2" fontId="36" fillId="0" borderId="0" xfId="12" applyNumberFormat="1" applyFont="1" applyProtection="1"/>
    <xf numFmtId="2" fontId="36" fillId="0" borderId="32" xfId="12" applyNumberFormat="1" applyFont="1" applyFill="1" applyBorder="1" applyProtection="1">
      <protection hidden="1"/>
    </xf>
    <xf numFmtId="0" fontId="36" fillId="0" borderId="34" xfId="12" applyFont="1" applyFill="1" applyBorder="1" applyProtection="1">
      <protection locked="0"/>
    </xf>
    <xf numFmtId="1" fontId="59" fillId="0" borderId="0" xfId="1" applyNumberFormat="1" applyFont="1" applyFill="1" applyBorder="1" applyAlignment="1" applyProtection="1">
      <alignment horizontal="left"/>
    </xf>
    <xf numFmtId="2" fontId="31" fillId="0" borderId="0" xfId="1" applyNumberFormat="1" applyFont="1" applyFill="1" applyBorder="1" applyAlignment="1" applyProtection="1">
      <alignment horizontal="right"/>
    </xf>
    <xf numFmtId="0" fontId="31" fillId="0" borderId="0" xfId="1" applyFont="1" applyFill="1" applyProtection="1"/>
    <xf numFmtId="0" fontId="31" fillId="0" borderId="0" xfId="1" applyFont="1" applyProtection="1"/>
    <xf numFmtId="0" fontId="31" fillId="0" borderId="0" xfId="12" applyFont="1" applyAlignment="1" applyProtection="1">
      <alignment horizontal="left"/>
    </xf>
    <xf numFmtId="1" fontId="31" fillId="0" borderId="10" xfId="12" applyNumberFormat="1" applyFont="1" applyFill="1" applyBorder="1" applyAlignment="1" applyProtection="1">
      <alignment horizontal="right"/>
      <protection hidden="1"/>
    </xf>
    <xf numFmtId="0" fontId="31" fillId="0" borderId="0" xfId="12" applyFont="1" applyProtection="1">
      <protection hidden="1"/>
    </xf>
    <xf numFmtId="2" fontId="31" fillId="0" borderId="10" xfId="12" applyNumberFormat="1" applyFont="1" applyFill="1" applyBorder="1" applyAlignment="1" applyProtection="1">
      <alignment horizontal="right"/>
      <protection hidden="1"/>
    </xf>
    <xf numFmtId="0" fontId="31" fillId="0" borderId="0" xfId="1" applyFont="1" applyAlignment="1" applyProtection="1">
      <alignment horizontal="left"/>
    </xf>
    <xf numFmtId="1" fontId="59" fillId="0" borderId="48" xfId="1" applyNumberFormat="1" applyFont="1" applyFill="1" applyBorder="1" applyAlignment="1" applyProtection="1">
      <alignment horizontal="right"/>
      <protection hidden="1"/>
    </xf>
    <xf numFmtId="1" fontId="31" fillId="0" borderId="41" xfId="1" applyNumberFormat="1" applyFont="1" applyFill="1" applyBorder="1" applyAlignment="1" applyProtection="1">
      <alignment horizontal="right"/>
      <protection hidden="1"/>
    </xf>
    <xf numFmtId="0" fontId="36" fillId="0" borderId="21" xfId="12" applyFont="1" applyBorder="1" applyProtection="1">
      <protection hidden="1"/>
    </xf>
    <xf numFmtId="165" fontId="31" fillId="0" borderId="41" xfId="1" applyNumberFormat="1" applyFont="1" applyFill="1" applyBorder="1" applyAlignment="1" applyProtection="1">
      <alignment horizontal="right"/>
      <protection hidden="1"/>
    </xf>
    <xf numFmtId="0" fontId="31" fillId="0" borderId="10" xfId="1" applyFont="1" applyBorder="1" applyProtection="1">
      <protection hidden="1"/>
    </xf>
    <xf numFmtId="0" fontId="30" fillId="0" borderId="0" xfId="1" applyFont="1" applyAlignment="1" applyProtection="1">
      <alignment horizontal="left"/>
    </xf>
    <xf numFmtId="1" fontId="36" fillId="0" borderId="34" xfId="12" applyNumberFormat="1" applyFont="1" applyFill="1" applyBorder="1" applyProtection="1">
      <protection locked="0" hidden="1"/>
    </xf>
    <xf numFmtId="1" fontId="31" fillId="0" borderId="0" xfId="1" applyNumberFormat="1" applyFont="1" applyFill="1" applyBorder="1" applyAlignment="1" applyProtection="1">
      <alignment horizontal="right"/>
      <protection hidden="1"/>
    </xf>
    <xf numFmtId="165" fontId="31" fillId="0" borderId="0" xfId="1" applyNumberFormat="1" applyFont="1" applyFill="1" applyBorder="1" applyAlignment="1" applyProtection="1">
      <alignment horizontal="right"/>
      <protection hidden="1"/>
    </xf>
    <xf numFmtId="0" fontId="30" fillId="0" borderId="0" xfId="0" applyFont="1" applyProtection="1"/>
    <xf numFmtId="1" fontId="59" fillId="0" borderId="44" xfId="1" applyNumberFormat="1" applyFont="1" applyFill="1" applyBorder="1" applyAlignment="1" applyProtection="1">
      <alignment horizontal="right"/>
      <protection hidden="1"/>
    </xf>
    <xf numFmtId="2" fontId="31" fillId="0" borderId="50" xfId="1" applyNumberFormat="1" applyFont="1" applyFill="1" applyBorder="1" applyAlignment="1" applyProtection="1">
      <alignment horizontal="left"/>
      <protection hidden="1"/>
    </xf>
    <xf numFmtId="1" fontId="59" fillId="0" borderId="42" xfId="1" applyNumberFormat="1" applyFont="1" applyFill="1" applyBorder="1" applyAlignment="1" applyProtection="1">
      <alignment horizontal="right"/>
      <protection hidden="1"/>
    </xf>
    <xf numFmtId="2" fontId="31" fillId="0" borderId="12" xfId="1" applyNumberFormat="1" applyFont="1" applyFill="1" applyBorder="1" applyAlignment="1" applyProtection="1">
      <alignment horizontal="left"/>
      <protection hidden="1"/>
    </xf>
    <xf numFmtId="1" fontId="59" fillId="0" borderId="41" xfId="1" applyNumberFormat="1" applyFont="1" applyFill="1" applyBorder="1" applyAlignment="1" applyProtection="1">
      <alignment horizontal="right"/>
      <protection hidden="1"/>
    </xf>
    <xf numFmtId="171" fontId="59" fillId="0" borderId="44" xfId="1" applyNumberFormat="1" applyFont="1" applyFill="1" applyBorder="1" applyAlignment="1" applyProtection="1">
      <alignment horizontal="right"/>
      <protection hidden="1"/>
    </xf>
    <xf numFmtId="171" fontId="59" fillId="0" borderId="41" xfId="1" applyNumberFormat="1" applyFont="1" applyFill="1" applyBorder="1" applyAlignment="1" applyProtection="1">
      <alignment horizontal="right"/>
      <protection hidden="1"/>
    </xf>
    <xf numFmtId="0" fontId="36" fillId="0" borderId="12" xfId="12" applyFont="1" applyBorder="1" applyAlignment="1" applyProtection="1">
      <alignment horizontal="left"/>
      <protection hidden="1"/>
    </xf>
    <xf numFmtId="0" fontId="31" fillId="0" borderId="12" xfId="1" applyFont="1" applyBorder="1" applyAlignment="1" applyProtection="1">
      <alignment horizontal="left"/>
      <protection hidden="1"/>
    </xf>
    <xf numFmtId="171" fontId="59" fillId="0" borderId="0" xfId="1" applyNumberFormat="1" applyFont="1" applyFill="1" applyBorder="1" applyAlignment="1" applyProtection="1">
      <alignment horizontal="right"/>
      <protection hidden="1"/>
    </xf>
    <xf numFmtId="0" fontId="31" fillId="0" borderId="3" xfId="1" applyFont="1" applyBorder="1" applyAlignment="1" applyProtection="1">
      <alignment horizontal="left"/>
      <protection hidden="1"/>
    </xf>
    <xf numFmtId="0" fontId="36" fillId="0" borderId="0" xfId="12" applyFont="1" applyBorder="1" applyProtection="1"/>
    <xf numFmtId="0" fontId="31" fillId="0" borderId="49" xfId="1" applyFont="1" applyBorder="1" applyProtection="1">
      <protection hidden="1"/>
    </xf>
    <xf numFmtId="2" fontId="31" fillId="0" borderId="41" xfId="1" applyNumberFormat="1" applyFont="1" applyFill="1" applyBorder="1" applyAlignment="1" applyProtection="1">
      <alignment horizontal="right"/>
      <protection hidden="1"/>
    </xf>
    <xf numFmtId="173" fontId="31" fillId="0" borderId="41" xfId="1" applyNumberFormat="1" applyFont="1" applyFill="1" applyBorder="1" applyProtection="1">
      <protection hidden="1"/>
    </xf>
    <xf numFmtId="0" fontId="30" fillId="0" borderId="0" xfId="0" applyFont="1" applyBorder="1" applyAlignment="1" applyProtection="1">
      <alignment horizontal="right"/>
      <protection hidden="1"/>
    </xf>
    <xf numFmtId="1" fontId="31" fillId="0" borderId="0" xfId="0" applyNumberFormat="1" applyFont="1"/>
    <xf numFmtId="1" fontId="62" fillId="0" borderId="0" xfId="0" applyNumberFormat="1" applyFont="1" applyAlignment="1">
      <alignment horizontal="center"/>
    </xf>
    <xf numFmtId="1" fontId="30" fillId="0" borderId="33" xfId="0" applyNumberFormat="1" applyFont="1" applyFill="1" applyBorder="1" applyProtection="1">
      <protection hidden="1"/>
    </xf>
    <xf numFmtId="1" fontId="59" fillId="0" borderId="0" xfId="0" applyNumberFormat="1" applyFont="1"/>
    <xf numFmtId="10" fontId="31" fillId="0" borderId="34" xfId="0" applyNumberFormat="1" applyFont="1" applyFill="1" applyBorder="1" applyProtection="1">
      <protection locked="0"/>
    </xf>
    <xf numFmtId="0" fontId="59" fillId="0" borderId="0" xfId="0" applyFont="1"/>
    <xf numFmtId="0" fontId="31" fillId="0" borderId="34" xfId="0" applyFont="1" applyFill="1" applyBorder="1" applyProtection="1">
      <protection locked="0"/>
    </xf>
    <xf numFmtId="0" fontId="31" fillId="0" borderId="0" xfId="0" applyFont="1" applyAlignment="1">
      <alignment horizontal="center"/>
    </xf>
    <xf numFmtId="1" fontId="60" fillId="0" borderId="0" xfId="0" applyNumberFormat="1" applyFont="1" applyFill="1" applyBorder="1" applyAlignment="1">
      <alignment horizontal="center"/>
    </xf>
    <xf numFmtId="0" fontId="30" fillId="0" borderId="0" xfId="0" applyFont="1" applyAlignment="1">
      <alignment horizontal="center"/>
    </xf>
    <xf numFmtId="0" fontId="62" fillId="0" borderId="0" xfId="0" quotePrefix="1" applyFont="1" applyAlignment="1">
      <alignment horizontal="center"/>
    </xf>
    <xf numFmtId="0" fontId="62" fillId="0" borderId="0" xfId="0" applyFont="1" applyAlignment="1">
      <alignment horizontal="center"/>
    </xf>
    <xf numFmtId="0" fontId="31" fillId="0" borderId="10" xfId="0" applyFont="1" applyFill="1" applyBorder="1"/>
    <xf numFmtId="1" fontId="31" fillId="0" borderId="10" xfId="0" applyNumberFormat="1" applyFont="1" applyFill="1" applyBorder="1"/>
    <xf numFmtId="10" fontId="31" fillId="0" borderId="10" xfId="0" applyNumberFormat="1" applyFont="1" applyFill="1" applyBorder="1"/>
    <xf numFmtId="0" fontId="65" fillId="0" borderId="0" xfId="0" applyFont="1" applyAlignment="1">
      <alignment horizontal="center" wrapText="1"/>
    </xf>
    <xf numFmtId="0" fontId="59" fillId="0" borderId="0" xfId="0" applyFont="1" applyFill="1"/>
    <xf numFmtId="172" fontId="31" fillId="0" borderId="10" xfId="0" applyNumberFormat="1" applyFont="1" applyFill="1" applyBorder="1"/>
    <xf numFmtId="1" fontId="59" fillId="0" borderId="0" xfId="0" applyNumberFormat="1" applyFont="1" applyFill="1"/>
    <xf numFmtId="165" fontId="31" fillId="0" borderId="10" xfId="0" applyNumberFormat="1" applyFont="1" applyFill="1" applyBorder="1"/>
    <xf numFmtId="0" fontId="66" fillId="0" borderId="10" xfId="12" applyFont="1" applyBorder="1" applyAlignment="1" applyProtection="1">
      <alignment horizontal="center"/>
      <protection hidden="1"/>
    </xf>
    <xf numFmtId="0" fontId="62" fillId="0" borderId="10" xfId="0" applyFont="1" applyBorder="1" applyAlignment="1" applyProtection="1">
      <alignment horizontal="center" wrapText="1"/>
      <protection hidden="1"/>
    </xf>
    <xf numFmtId="0" fontId="62" fillId="0" borderId="5" xfId="0" applyFont="1" applyBorder="1" applyAlignment="1" applyProtection="1">
      <alignment horizontal="center" wrapText="1"/>
      <protection hidden="1"/>
    </xf>
    <xf numFmtId="0" fontId="62" fillId="0" borderId="0" xfId="0" applyFont="1" applyBorder="1" applyAlignment="1" applyProtection="1">
      <alignment horizontal="center" wrapText="1"/>
      <protection hidden="1"/>
    </xf>
    <xf numFmtId="0" fontId="62" fillId="0" borderId="0" xfId="0" applyFont="1" applyAlignment="1" applyProtection="1">
      <alignment horizontal="center"/>
      <protection hidden="1"/>
    </xf>
    <xf numFmtId="0" fontId="62" fillId="0" borderId="0" xfId="12" applyFont="1" applyFill="1" applyBorder="1" applyAlignment="1" applyProtection="1">
      <alignment horizontal="center"/>
      <protection hidden="1"/>
    </xf>
    <xf numFmtId="0" fontId="62" fillId="0" borderId="0" xfId="12" applyFont="1" applyFill="1" applyBorder="1" applyAlignment="1" applyProtection="1">
      <alignment horizontal="center" wrapText="1"/>
      <protection hidden="1"/>
    </xf>
    <xf numFmtId="0" fontId="66" fillId="0" borderId="10" xfId="12" applyFont="1" applyBorder="1" applyAlignment="1" applyProtection="1">
      <alignment horizontal="center" wrapText="1"/>
      <protection hidden="1"/>
    </xf>
    <xf numFmtId="1" fontId="31" fillId="0" borderId="10" xfId="0" applyNumberFormat="1" applyFont="1" applyBorder="1" applyProtection="1">
      <protection hidden="1"/>
    </xf>
    <xf numFmtId="1" fontId="31" fillId="0" borderId="5" xfId="0" applyNumberFormat="1" applyFont="1" applyBorder="1" applyProtection="1">
      <protection hidden="1"/>
    </xf>
    <xf numFmtId="1" fontId="31" fillId="0" borderId="0" xfId="0" applyNumberFormat="1" applyFont="1" applyBorder="1" applyProtection="1">
      <protection hidden="1"/>
    </xf>
    <xf numFmtId="172" fontId="31" fillId="0" borderId="0" xfId="12" applyNumberFormat="1" applyFont="1" applyFill="1" applyBorder="1" applyProtection="1">
      <protection hidden="1"/>
    </xf>
    <xf numFmtId="0" fontId="36" fillId="11" borderId="10" xfId="12" applyFont="1" applyFill="1" applyBorder="1" applyProtection="1">
      <protection hidden="1"/>
    </xf>
    <xf numFmtId="0" fontId="36" fillId="0" borderId="3" xfId="12" applyFont="1" applyBorder="1" applyProtection="1">
      <protection hidden="1"/>
    </xf>
    <xf numFmtId="1" fontId="31" fillId="0" borderId="3" xfId="0" applyNumberFormat="1" applyFont="1" applyBorder="1" applyProtection="1">
      <protection hidden="1"/>
    </xf>
    <xf numFmtId="1" fontId="36" fillId="0" borderId="3" xfId="12" applyNumberFormat="1" applyFont="1" applyFill="1" applyBorder="1" applyProtection="1">
      <protection hidden="1"/>
    </xf>
    <xf numFmtId="1" fontId="31" fillId="0" borderId="0" xfId="0" applyNumberFormat="1" applyFont="1" applyFill="1" applyProtection="1">
      <protection hidden="1"/>
    </xf>
    <xf numFmtId="1" fontId="30" fillId="0" borderId="0" xfId="0" applyNumberFormat="1" applyFont="1" applyAlignment="1" applyProtection="1">
      <alignment horizontal="right"/>
      <protection hidden="1"/>
    </xf>
    <xf numFmtId="2" fontId="30" fillId="0" borderId="10" xfId="0" applyNumberFormat="1" applyFont="1" applyFill="1" applyBorder="1" applyProtection="1">
      <protection hidden="1"/>
    </xf>
    <xf numFmtId="0" fontId="67" fillId="0" borderId="0" xfId="0" applyFont="1" applyProtection="1">
      <protection hidden="1"/>
    </xf>
    <xf numFmtId="177" fontId="36" fillId="10" borderId="10" xfId="12" applyNumberFormat="1" applyFont="1" applyFill="1" applyBorder="1" applyProtection="1">
      <protection hidden="1"/>
    </xf>
    <xf numFmtId="1" fontId="30" fillId="0" borderId="0" xfId="0" applyNumberFormat="1" applyFont="1" applyFill="1" applyBorder="1" applyAlignment="1" applyProtection="1">
      <alignment horizontal="center"/>
      <protection hidden="1"/>
    </xf>
    <xf numFmtId="0" fontId="30" fillId="0" borderId="35" xfId="0" applyFont="1" applyFill="1" applyBorder="1" applyProtection="1">
      <protection locked="0"/>
    </xf>
    <xf numFmtId="0" fontId="30" fillId="0" borderId="36" xfId="0" applyFont="1" applyFill="1" applyBorder="1" applyProtection="1">
      <protection locked="0"/>
    </xf>
    <xf numFmtId="0" fontId="30" fillId="0" borderId="37" xfId="0" applyFont="1" applyFill="1" applyBorder="1" applyProtection="1">
      <protection locked="0"/>
    </xf>
    <xf numFmtId="1" fontId="31" fillId="0" borderId="0" xfId="0" quotePrefix="1" applyNumberFormat="1" applyFont="1" applyFill="1" applyBorder="1" applyAlignment="1" applyProtection="1">
      <alignment horizontal="center"/>
      <protection hidden="1"/>
    </xf>
    <xf numFmtId="0" fontId="30" fillId="0" borderId="38" xfId="0" applyFont="1" applyFill="1" applyBorder="1" applyProtection="1">
      <protection locked="0"/>
    </xf>
    <xf numFmtId="0" fontId="30" fillId="0" borderId="25" xfId="0" applyFont="1" applyFill="1" applyBorder="1" applyProtection="1">
      <protection locked="0"/>
    </xf>
    <xf numFmtId="0" fontId="30" fillId="0" borderId="39" xfId="0" applyFont="1" applyFill="1" applyBorder="1" applyProtection="1">
      <protection locked="0"/>
    </xf>
    <xf numFmtId="0" fontId="31" fillId="0" borderId="0" xfId="0" applyFont="1" applyAlignment="1" applyProtection="1">
      <alignment vertical="center"/>
      <protection hidden="1"/>
    </xf>
    <xf numFmtId="0" fontId="62" fillId="0" borderId="33" xfId="0" applyFont="1" applyBorder="1" applyAlignment="1" applyProtection="1">
      <alignment horizontal="center"/>
      <protection hidden="1"/>
    </xf>
    <xf numFmtId="0" fontId="31" fillId="0" borderId="32" xfId="0" applyFont="1" applyBorder="1" applyAlignment="1" applyProtection="1">
      <alignment horizontal="center"/>
      <protection hidden="1"/>
    </xf>
    <xf numFmtId="0" fontId="31" fillId="0" borderId="0" xfId="0" applyFont="1" applyAlignment="1" applyProtection="1">
      <alignment horizontal="center"/>
      <protection hidden="1"/>
    </xf>
    <xf numFmtId="0" fontId="31" fillId="0" borderId="46" xfId="0" applyFont="1" applyBorder="1" applyAlignment="1" applyProtection="1">
      <alignment horizontal="center"/>
      <protection hidden="1"/>
    </xf>
    <xf numFmtId="174" fontId="31" fillId="0" borderId="10" xfId="0" applyNumberFormat="1" applyFont="1" applyBorder="1" applyProtection="1">
      <protection hidden="1"/>
    </xf>
    <xf numFmtId="169" fontId="31" fillId="0" borderId="10" xfId="0" applyNumberFormat="1" applyFont="1" applyBorder="1" applyProtection="1">
      <protection hidden="1"/>
    </xf>
    <xf numFmtId="165" fontId="31" fillId="0" borderId="0" xfId="0" applyNumberFormat="1" applyFont="1" applyProtection="1">
      <protection hidden="1"/>
    </xf>
    <xf numFmtId="0" fontId="31" fillId="0" borderId="7" xfId="0" applyFont="1" applyBorder="1" applyProtection="1">
      <protection hidden="1"/>
    </xf>
    <xf numFmtId="1" fontId="31" fillId="0" borderId="45" xfId="0" applyNumberFormat="1" applyFont="1" applyFill="1" applyBorder="1" applyProtection="1">
      <protection locked="0"/>
    </xf>
    <xf numFmtId="174" fontId="31" fillId="0" borderId="9" xfId="0" applyNumberFormat="1" applyFont="1" applyBorder="1" applyProtection="1">
      <protection hidden="1"/>
    </xf>
    <xf numFmtId="174" fontId="31" fillId="0" borderId="32" xfId="0" applyNumberFormat="1" applyFont="1" applyBorder="1" applyProtection="1">
      <protection hidden="1"/>
    </xf>
    <xf numFmtId="1" fontId="31" fillId="0" borderId="40" xfId="0" applyNumberFormat="1" applyFont="1" applyFill="1" applyBorder="1" applyProtection="1">
      <protection locked="0"/>
    </xf>
    <xf numFmtId="0" fontId="31" fillId="11" borderId="11" xfId="0" applyFont="1" applyFill="1" applyBorder="1" applyProtection="1">
      <protection hidden="1"/>
    </xf>
    <xf numFmtId="1" fontId="31" fillId="0" borderId="57" xfId="0" applyNumberFormat="1" applyFont="1" applyFill="1" applyBorder="1" applyProtection="1">
      <protection locked="0"/>
    </xf>
    <xf numFmtId="174" fontId="31" fillId="0" borderId="3" xfId="0" applyNumberFormat="1" applyFont="1" applyBorder="1" applyProtection="1">
      <protection hidden="1"/>
    </xf>
    <xf numFmtId="169" fontId="31" fillId="0" borderId="3" xfId="0" applyNumberFormat="1" applyFont="1" applyBorder="1" applyProtection="1">
      <protection hidden="1"/>
    </xf>
    <xf numFmtId="165" fontId="31" fillId="0" borderId="0" xfId="0" applyNumberFormat="1" applyFont="1" applyBorder="1" applyProtection="1">
      <protection hidden="1"/>
    </xf>
    <xf numFmtId="1" fontId="31" fillId="0" borderId="0" xfId="0" applyNumberFormat="1" applyFont="1" applyFill="1" applyBorder="1" applyProtection="1">
      <protection locked="0"/>
    </xf>
    <xf numFmtId="174" fontId="31" fillId="0" borderId="0" xfId="0" applyNumberFormat="1" applyFont="1" applyBorder="1" applyProtection="1">
      <protection hidden="1"/>
    </xf>
    <xf numFmtId="169" fontId="31" fillId="0" borderId="0" xfId="0" applyNumberFormat="1" applyFont="1" applyBorder="1" applyProtection="1">
      <protection hidden="1"/>
    </xf>
    <xf numFmtId="0" fontId="30" fillId="0" borderId="13" xfId="12" applyFont="1" applyFill="1" applyBorder="1" applyProtection="1">
      <protection hidden="1"/>
    </xf>
    <xf numFmtId="0" fontId="36" fillId="0" borderId="14" xfId="12" applyFont="1" applyFill="1" applyBorder="1" applyProtection="1">
      <protection hidden="1"/>
    </xf>
    <xf numFmtId="0" fontId="36" fillId="0" borderId="14" xfId="12" applyFont="1" applyBorder="1" applyProtection="1">
      <protection hidden="1"/>
    </xf>
    <xf numFmtId="0" fontId="30" fillId="0" borderId="20" xfId="12" applyFont="1" applyFill="1" applyBorder="1" applyProtection="1">
      <protection hidden="1"/>
    </xf>
    <xf numFmtId="0" fontId="30" fillId="0" borderId="15" xfId="12" applyFont="1" applyFill="1" applyBorder="1" applyProtection="1">
      <protection hidden="1"/>
    </xf>
    <xf numFmtId="0" fontId="15" fillId="0" borderId="16" xfId="12" applyFont="1" applyFill="1" applyBorder="1" applyProtection="1">
      <protection hidden="1"/>
    </xf>
    <xf numFmtId="0" fontId="31" fillId="0" borderId="15" xfId="12" applyFont="1" applyFill="1" applyBorder="1" applyProtection="1">
      <protection hidden="1"/>
    </xf>
    <xf numFmtId="0" fontId="30" fillId="0" borderId="0" xfId="12" applyFont="1" applyBorder="1" applyProtection="1">
      <protection hidden="1"/>
    </xf>
    <xf numFmtId="0" fontId="31" fillId="0" borderId="16" xfId="12" applyFont="1" applyFill="1" applyBorder="1" applyProtection="1">
      <protection hidden="1"/>
    </xf>
    <xf numFmtId="0" fontId="60" fillId="0" borderId="28" xfId="12" quotePrefix="1" applyFont="1" applyFill="1" applyBorder="1" applyProtection="1">
      <protection hidden="1"/>
    </xf>
    <xf numFmtId="0" fontId="36" fillId="0" borderId="26" xfId="12" applyFont="1" applyFill="1" applyBorder="1" applyProtection="1">
      <protection hidden="1"/>
    </xf>
    <xf numFmtId="0" fontId="36" fillId="0" borderId="27" xfId="12" applyFont="1" applyFill="1" applyBorder="1" applyProtection="1">
      <protection hidden="1"/>
    </xf>
    <xf numFmtId="0" fontId="74" fillId="0" borderId="0" xfId="12" applyFont="1" applyAlignment="1" applyProtection="1">
      <alignment horizontal="left" vertical="center" readingOrder="1"/>
      <protection hidden="1"/>
    </xf>
    <xf numFmtId="0" fontId="60" fillId="0" borderId="16" xfId="12" quotePrefix="1" applyFont="1" applyFill="1" applyBorder="1" applyProtection="1">
      <protection hidden="1"/>
    </xf>
    <xf numFmtId="0" fontId="36" fillId="0" borderId="15" xfId="12" applyFont="1" applyBorder="1" applyProtection="1">
      <protection hidden="1"/>
    </xf>
    <xf numFmtId="0" fontId="36" fillId="0" borderId="16" xfId="12" applyFont="1" applyFill="1" applyBorder="1" applyProtection="1">
      <protection hidden="1"/>
    </xf>
    <xf numFmtId="176" fontId="36" fillId="0" borderId="0" xfId="12" applyNumberFormat="1" applyFont="1" applyFill="1" applyBorder="1" applyProtection="1">
      <protection hidden="1"/>
    </xf>
    <xf numFmtId="0" fontId="31" fillId="0" borderId="15" xfId="12" applyFont="1" applyBorder="1" applyProtection="1">
      <protection hidden="1"/>
    </xf>
    <xf numFmtId="0" fontId="75" fillId="0" borderId="0" xfId="12" applyFont="1" applyBorder="1" applyProtection="1">
      <protection hidden="1"/>
    </xf>
    <xf numFmtId="0" fontId="15" fillId="0" borderId="0" xfId="12" applyFont="1" applyBorder="1" applyAlignment="1" applyProtection="1">
      <alignment horizontal="center"/>
      <protection hidden="1"/>
    </xf>
    <xf numFmtId="0" fontId="76" fillId="0" borderId="0" xfId="12" applyFont="1" applyBorder="1" applyProtection="1">
      <protection hidden="1"/>
    </xf>
    <xf numFmtId="176" fontId="31" fillId="0" borderId="0" xfId="12" applyNumberFormat="1" applyFont="1" applyFill="1" applyBorder="1" applyProtection="1">
      <protection hidden="1"/>
    </xf>
    <xf numFmtId="0" fontId="77" fillId="0" borderId="0" xfId="12" applyFont="1" applyBorder="1" applyProtection="1">
      <protection hidden="1"/>
    </xf>
    <xf numFmtId="0" fontId="78" fillId="0" borderId="0" xfId="12" applyFont="1" applyBorder="1" applyProtection="1">
      <protection hidden="1"/>
    </xf>
    <xf numFmtId="172" fontId="36" fillId="0" borderId="34" xfId="12" applyNumberFormat="1" applyFont="1" applyFill="1" applyBorder="1" applyProtection="1">
      <protection locked="0"/>
    </xf>
    <xf numFmtId="0" fontId="79" fillId="0" borderId="0" xfId="12" applyFont="1" applyBorder="1" applyProtection="1">
      <protection hidden="1"/>
    </xf>
    <xf numFmtId="172" fontId="36" fillId="0" borderId="33" xfId="12" applyNumberFormat="1" applyFont="1" applyFill="1" applyBorder="1" applyProtection="1">
      <protection hidden="1"/>
    </xf>
    <xf numFmtId="0" fontId="80" fillId="0" borderId="0" xfId="12" applyFont="1" applyBorder="1" applyProtection="1">
      <protection hidden="1"/>
    </xf>
    <xf numFmtId="172" fontId="30" fillId="0" borderId="0" xfId="12" applyNumberFormat="1" applyFont="1" applyFill="1" applyBorder="1" applyProtection="1">
      <protection hidden="1"/>
    </xf>
    <xf numFmtId="0" fontId="15" fillId="0" borderId="0" xfId="12" applyFont="1" applyFill="1" applyBorder="1" applyProtection="1">
      <protection hidden="1"/>
    </xf>
    <xf numFmtId="0" fontId="15" fillId="0" borderId="15" xfId="12" applyFont="1" applyFill="1" applyBorder="1" applyProtection="1">
      <protection hidden="1"/>
    </xf>
    <xf numFmtId="0" fontId="30" fillId="0" borderId="28" xfId="12" quotePrefix="1" applyFont="1" applyFill="1" applyBorder="1" applyProtection="1">
      <protection hidden="1"/>
    </xf>
    <xf numFmtId="0" fontId="30" fillId="0" borderId="0" xfId="12" applyFont="1" applyBorder="1" applyAlignment="1" applyProtection="1">
      <alignment horizontal="center"/>
      <protection hidden="1"/>
    </xf>
    <xf numFmtId="1" fontId="59" fillId="0" borderId="34" xfId="1" applyNumberFormat="1" applyFont="1" applyFill="1" applyBorder="1" applyAlignment="1" applyProtection="1">
      <alignment horizontal="right"/>
      <protection locked="0"/>
    </xf>
    <xf numFmtId="172" fontId="36" fillId="0" borderId="42" xfId="12" applyNumberFormat="1" applyFont="1" applyFill="1" applyBorder="1" applyProtection="1">
      <protection hidden="1"/>
    </xf>
    <xf numFmtId="0" fontId="80" fillId="0" borderId="0" xfId="12" applyFont="1" applyFill="1" applyBorder="1" applyProtection="1">
      <protection hidden="1"/>
    </xf>
    <xf numFmtId="172" fontId="31" fillId="0" borderId="32" xfId="12" applyNumberFormat="1" applyFont="1" applyFill="1" applyBorder="1" applyProtection="1">
      <protection hidden="1"/>
    </xf>
    <xf numFmtId="169" fontId="36" fillId="0" borderId="0" xfId="12" applyNumberFormat="1" applyFont="1" applyBorder="1" applyProtection="1">
      <protection hidden="1"/>
    </xf>
    <xf numFmtId="0" fontId="36" fillId="0" borderId="17" xfId="12" applyFont="1" applyBorder="1" applyProtection="1">
      <protection hidden="1"/>
    </xf>
    <xf numFmtId="0" fontId="36" fillId="0" borderId="18" xfId="12" applyFont="1" applyBorder="1" applyProtection="1">
      <protection hidden="1"/>
    </xf>
    <xf numFmtId="0" fontId="36" fillId="0" borderId="19" xfId="12" applyFont="1" applyFill="1" applyBorder="1" applyProtection="1">
      <protection hidden="1"/>
    </xf>
    <xf numFmtId="174" fontId="59" fillId="0" borderId="34" xfId="1" applyNumberFormat="1" applyFont="1" applyFill="1" applyBorder="1" applyAlignment="1" applyProtection="1">
      <alignment horizontal="right"/>
      <protection locked="0"/>
    </xf>
    <xf numFmtId="0" fontId="0" fillId="0" borderId="0" xfId="0" applyFont="1" applyAlignment="1">
      <alignment horizontal="center"/>
    </xf>
    <xf numFmtId="0" fontId="0" fillId="13" borderId="22" xfId="0" applyFont="1" applyFill="1" applyBorder="1" applyAlignment="1">
      <alignment horizontal="center"/>
    </xf>
    <xf numFmtId="0" fontId="0" fillId="13" borderId="0" xfId="0" applyFont="1" applyFill="1" applyBorder="1" applyAlignment="1">
      <alignment horizontal="center"/>
    </xf>
    <xf numFmtId="0" fontId="40" fillId="0" borderId="11" xfId="19" applyFont="1" applyFill="1" applyBorder="1"/>
    <xf numFmtId="0" fontId="40" fillId="0" borderId="21" xfId="19" applyFont="1" applyFill="1" applyBorder="1"/>
    <xf numFmtId="0" fontId="40" fillId="0" borderId="12" xfId="19" applyFont="1" applyFill="1" applyBorder="1"/>
    <xf numFmtId="2" fontId="38" fillId="0" borderId="23" xfId="0" applyNumberFormat="1" applyFont="1" applyFill="1" applyBorder="1" applyAlignment="1" applyProtection="1">
      <alignment horizontal="center"/>
      <protection locked="0"/>
    </xf>
    <xf numFmtId="2" fontId="38" fillId="0" borderId="24" xfId="0" applyNumberFormat="1" applyFont="1" applyFill="1" applyBorder="1" applyAlignment="1" applyProtection="1">
      <alignment horizontal="center"/>
      <protection locked="0"/>
    </xf>
    <xf numFmtId="0" fontId="31" fillId="0" borderId="25" xfId="0" applyFont="1" applyFill="1" applyBorder="1" applyAlignment="1">
      <alignment horizontal="center"/>
    </xf>
    <xf numFmtId="0" fontId="38" fillId="0" borderId="23" xfId="0" applyFont="1" applyFill="1" applyBorder="1" applyAlignment="1" applyProtection="1">
      <alignment horizontal="center" vertical="center"/>
      <protection locked="0"/>
    </xf>
    <xf numFmtId="0" fontId="38" fillId="0" borderId="24" xfId="0" applyFont="1" applyFill="1" applyBorder="1" applyAlignment="1" applyProtection="1">
      <alignment horizontal="center" vertical="center"/>
      <protection locked="0"/>
    </xf>
    <xf numFmtId="1" fontId="38" fillId="0" borderId="23" xfId="0" applyNumberFormat="1" applyFont="1" applyFill="1" applyBorder="1" applyAlignment="1" applyProtection="1">
      <alignment horizontal="center"/>
      <protection locked="0"/>
    </xf>
    <xf numFmtId="1" fontId="38" fillId="0" borderId="24" xfId="0" applyNumberFormat="1" applyFont="1" applyFill="1" applyBorder="1" applyAlignment="1" applyProtection="1">
      <alignment horizontal="center"/>
      <protection locked="0"/>
    </xf>
    <xf numFmtId="0" fontId="31" fillId="0" borderId="31" xfId="0" applyFont="1" applyFill="1" applyBorder="1" applyAlignment="1" applyProtection="1">
      <alignment horizontal="center"/>
      <protection hidden="1"/>
    </xf>
    <xf numFmtId="0" fontId="38" fillId="0" borderId="29" xfId="0" applyFont="1" applyFill="1" applyBorder="1" applyAlignment="1" applyProtection="1">
      <alignment horizontal="center"/>
      <protection hidden="1"/>
    </xf>
    <xf numFmtId="0" fontId="38" fillId="0" borderId="30" xfId="0" applyFont="1" applyFill="1" applyBorder="1" applyAlignment="1" applyProtection="1">
      <alignment horizontal="center"/>
      <protection hidden="1"/>
    </xf>
    <xf numFmtId="0" fontId="31" fillId="0" borderId="0" xfId="0" applyFont="1" applyFill="1" applyBorder="1" applyAlignment="1">
      <alignment horizontal="center"/>
    </xf>
    <xf numFmtId="0" fontId="40" fillId="14" borderId="11" xfId="19" applyFont="1" applyFill="1" applyBorder="1"/>
    <xf numFmtId="0" fontId="40" fillId="14" borderId="21" xfId="19" applyFont="1" applyFill="1" applyBorder="1"/>
    <xf numFmtId="0" fontId="40" fillId="14" borderId="12" xfId="19" applyFont="1" applyFill="1" applyBorder="1"/>
    <xf numFmtId="0" fontId="0" fillId="0" borderId="0" xfId="0" applyFont="1" applyAlignment="1" applyProtection="1">
      <alignment horizontal="center"/>
      <protection hidden="1"/>
    </xf>
    <xf numFmtId="0" fontId="0" fillId="13" borderId="22" xfId="0" applyFont="1" applyFill="1" applyBorder="1" applyAlignment="1" applyProtection="1">
      <alignment horizontal="center"/>
      <protection hidden="1"/>
    </xf>
    <xf numFmtId="0" fontId="0" fillId="13" borderId="0" xfId="0" applyFont="1" applyFill="1" applyBorder="1" applyAlignment="1" applyProtection="1">
      <alignment horizontal="center"/>
      <protection hidden="1"/>
    </xf>
    <xf numFmtId="0" fontId="40" fillId="0" borderId="0" xfId="19" applyFont="1" applyProtection="1"/>
  </cellXfs>
  <cellStyles count="31">
    <cellStyle name="20% - Accent1 2" xfId="3" xr:uid="{00000000-0005-0000-0000-000000000000}"/>
    <cellStyle name="20% - Accent1 2 2" xfId="20" xr:uid="{00000000-0005-0000-0000-000001000000}"/>
    <cellStyle name="20% - Accent6 2" xfId="4" xr:uid="{00000000-0005-0000-0000-000002000000}"/>
    <cellStyle name="20% - Accent6 2 2" xfId="21" xr:uid="{00000000-0005-0000-0000-000003000000}"/>
    <cellStyle name="Accent1 2" xfId="5" xr:uid="{00000000-0005-0000-0000-000004000000}"/>
    <cellStyle name="Accent6 2" xfId="6" xr:uid="{00000000-0005-0000-0000-000005000000}"/>
    <cellStyle name="Calculation 2" xfId="7" xr:uid="{00000000-0005-0000-0000-000006000000}"/>
    <cellStyle name="Hiperhivatkozás_smdrakt" xfId="8" xr:uid="{00000000-0005-0000-0000-000007000000}"/>
    <cellStyle name="Hyperlink" xfId="19" builtinId="8"/>
    <cellStyle name="Input 2" xfId="9" xr:uid="{00000000-0005-0000-0000-000009000000}"/>
    <cellStyle name="Neutral 2" xfId="10" xr:uid="{00000000-0005-0000-0000-00000A000000}"/>
    <cellStyle name="Normal" xfId="0" builtinId="0"/>
    <cellStyle name="Normal 10" xfId="29" xr:uid="{00000000-0005-0000-0000-00004C000000}"/>
    <cellStyle name="Normal 2" xfId="11" xr:uid="{00000000-0005-0000-0000-00000C000000}"/>
    <cellStyle name="Normal 3" xfId="12" xr:uid="{00000000-0005-0000-0000-00000D000000}"/>
    <cellStyle name="Normal 3 2" xfId="13" xr:uid="{00000000-0005-0000-0000-00000E000000}"/>
    <cellStyle name="Normal 3 3" xfId="22" xr:uid="{00000000-0005-0000-0000-00000F000000}"/>
    <cellStyle name="Normal 3 4" xfId="30" xr:uid="{00000000-0005-0000-0000-000001000000}"/>
    <cellStyle name="Normal 4" xfId="14" xr:uid="{00000000-0005-0000-0000-000010000000}"/>
    <cellStyle name="Normal 4 2" xfId="23" xr:uid="{00000000-0005-0000-0000-000011000000}"/>
    <cellStyle name="Normal 5" xfId="15" xr:uid="{00000000-0005-0000-0000-000012000000}"/>
    <cellStyle name="Normal 5 2" xfId="24" xr:uid="{00000000-0005-0000-0000-000013000000}"/>
    <cellStyle name="Normal 6" xfId="16" xr:uid="{00000000-0005-0000-0000-000014000000}"/>
    <cellStyle name="Normal 6 2" xfId="25" xr:uid="{00000000-0005-0000-0000-000015000000}"/>
    <cellStyle name="Normal 7" xfId="26" xr:uid="{00000000-0005-0000-0000-000016000000}"/>
    <cellStyle name="Normal 8" xfId="27" xr:uid="{00000000-0005-0000-0000-000017000000}"/>
    <cellStyle name="Normal 9" xfId="28" xr:uid="{00000000-0005-0000-0000-000018000000}"/>
    <cellStyle name="Normál_smdrakt" xfId="17" xr:uid="{00000000-0005-0000-0000-000019000000}"/>
    <cellStyle name="Normal_ST&amp;HT_EQ" xfId="1" xr:uid="{00000000-0005-0000-0000-00001A000000}"/>
    <cellStyle name="Normal_STEINHRT" xfId="2" xr:uid="{00000000-0005-0000-0000-00001B000000}"/>
    <cellStyle name="Percent 2" xfId="18" xr:uid="{00000000-0005-0000-0000-00001C000000}"/>
  </cellStyles>
  <dxfs count="0"/>
  <tableStyles count="0" defaultTableStyle="TableStyleMedium2" defaultPivotStyle="PivotStyleLight16"/>
  <colors>
    <mruColors>
      <color rgb="FF2004C6"/>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Resistance to temperature characteristics</a:t>
            </a:r>
          </a:p>
        </c:rich>
      </c:tx>
      <c:overlay val="0"/>
    </c:title>
    <c:autoTitleDeleted val="0"/>
    <c:plotArea>
      <c:layout/>
      <c:scatterChart>
        <c:scatterStyle val="lineMarker"/>
        <c:varyColors val="0"/>
        <c:ser>
          <c:idx val="0"/>
          <c:order val="0"/>
          <c:tx>
            <c:strRef>
              <c:f>'NTC Thermistor Comparison'!$B$26</c:f>
              <c:strCache>
                <c:ptCount val="1"/>
                <c:pt idx="0">
                  <c:v>TMP6131DECR</c:v>
                </c:pt>
              </c:strCache>
            </c:strRef>
          </c:tx>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Comparison'!$D$33:$D$248</c:f>
              <c:numCache>
                <c:formatCode>0</c:formatCode>
                <c:ptCount val="216"/>
                <c:pt idx="0">
                  <c:v>6603.4333582991267</c:v>
                </c:pt>
                <c:pt idx="1">
                  <c:v>6646.8933815461605</c:v>
                </c:pt>
                <c:pt idx="2">
                  <c:v>6690.6551550258555</c:v>
                </c:pt>
                <c:pt idx="3">
                  <c:v>6734.7186294058711</c:v>
                </c:pt>
                <c:pt idx="4">
                  <c:v>6779.083764096953</c:v>
                </c:pt>
                <c:pt idx="5">
                  <c:v>6823.7505272529388</c:v>
                </c:pt>
                <c:pt idx="6">
                  <c:v>6868.7188957707649</c:v>
                </c:pt>
                <c:pt idx="7">
                  <c:v>6913.988855290454</c:v>
                </c:pt>
                <c:pt idx="8">
                  <c:v>6959.5604001951224</c:v>
                </c:pt>
                <c:pt idx="9">
                  <c:v>7005.4335336109807</c:v>
                </c:pt>
                <c:pt idx="10">
                  <c:v>7051.6082674073314</c:v>
                </c:pt>
                <c:pt idx="11">
                  <c:v>7098.0846221965667</c:v>
                </c:pt>
                <c:pt idx="12">
                  <c:v>7144.8626273341724</c:v>
                </c:pt>
                <c:pt idx="13">
                  <c:v>7191.9423209187325</c:v>
                </c:pt>
                <c:pt idx="14">
                  <c:v>7239.3237497919117</c:v>
                </c:pt>
                <c:pt idx="15">
                  <c:v>7287.0069695384755</c:v>
                </c:pt>
                <c:pt idx="16">
                  <c:v>7334.992044486281</c:v>
                </c:pt>
                <c:pt idx="17">
                  <c:v>7383.2790477062763</c:v>
                </c:pt>
                <c:pt idx="18">
                  <c:v>7431.8680610125002</c:v>
                </c:pt>
                <c:pt idx="19">
                  <c:v>7480.7591749620869</c:v>
                </c:pt>
                <c:pt idx="20">
                  <c:v>7529.9524888552605</c:v>
                </c:pt>
                <c:pt idx="21">
                  <c:v>7579.4481107353395</c:v>
                </c:pt>
                <c:pt idx="22">
                  <c:v>7629.2461573887349</c:v>
                </c:pt>
                <c:pt idx="23">
                  <c:v>7679.3467543449451</c:v>
                </c:pt>
                <c:pt idx="24">
                  <c:v>7729.7500358765683</c:v>
                </c:pt>
                <c:pt idx="25">
                  <c:v>7780.4561449992898</c:v>
                </c:pt>
                <c:pt idx="26">
                  <c:v>7831.4652334718885</c:v>
                </c:pt>
                <c:pt idx="27">
                  <c:v>7882.7774617962377</c:v>
                </c:pt>
                <c:pt idx="28">
                  <c:v>7934.3929992172989</c:v>
                </c:pt>
                <c:pt idx="29">
                  <c:v>7986.3120237231315</c:v>
                </c:pt>
                <c:pt idx="30">
                  <c:v>8038.5347220448821</c:v>
                </c:pt>
                <c:pt idx="31">
                  <c:v>8091.06128965679</c:v>
                </c:pt>
                <c:pt idx="32">
                  <c:v>8143.8919307761917</c:v>
                </c:pt>
                <c:pt idx="33">
                  <c:v>8197.0268583635097</c:v>
                </c:pt>
                <c:pt idx="34">
                  <c:v>8250.4662941222668</c:v>
                </c:pt>
                <c:pt idx="35">
                  <c:v>8304.2104684990682</c:v>
                </c:pt>
                <c:pt idx="36">
                  <c:v>8358.2596206836224</c:v>
                </c:pt>
                <c:pt idx="37">
                  <c:v>8412.6139986087164</c:v>
                </c:pt>
                <c:pt idx="38">
                  <c:v>8467.2738589502424</c:v>
                </c:pt>
                <c:pt idx="39">
                  <c:v>8522.2394671271832</c:v>
                </c:pt>
                <c:pt idx="40">
                  <c:v>8577.5110973016035</c:v>
                </c:pt>
                <c:pt idx="41">
                  <c:v>8633.0890323786734</c:v>
                </c:pt>
                <c:pt idx="42">
                  <c:v>8688.9735640066483</c:v>
                </c:pt>
                <c:pt idx="43">
                  <c:v>8745.1649925768743</c:v>
                </c:pt>
                <c:pt idx="44">
                  <c:v>8801.6636272237974</c:v>
                </c:pt>
                <c:pt idx="45">
                  <c:v>8858.469785824951</c:v>
                </c:pt>
                <c:pt idx="46">
                  <c:v>8915.5837950009554</c:v>
                </c:pt>
                <c:pt idx="47">
                  <c:v>8973.0059901155346</c:v>
                </c:pt>
                <c:pt idx="48">
                  <c:v>9030.7367152754996</c:v>
                </c:pt>
                <c:pt idx="49">
                  <c:v>9088.7763233307523</c:v>
                </c:pt>
                <c:pt idx="50">
                  <c:v>9147.1251758742856</c:v>
                </c:pt>
                <c:pt idx="51">
                  <c:v>9205.7836432421918</c:v>
                </c:pt>
                <c:pt idx="52">
                  <c:v>9264.7521045136491</c:v>
                </c:pt>
                <c:pt idx="53">
                  <c:v>9324.0309475109261</c:v>
                </c:pt>
                <c:pt idx="54">
                  <c:v>9383.6205687993952</c:v>
                </c:pt>
                <c:pt idx="55">
                  <c:v>9443.5213736875103</c:v>
                </c:pt>
                <c:pt idx="56">
                  <c:v>9503.7337762268198</c:v>
                </c:pt>
                <c:pt idx="57">
                  <c:v>9564.2581992119649</c:v>
                </c:pt>
                <c:pt idx="58">
                  <c:v>9625.0950741806828</c:v>
                </c:pt>
                <c:pt idx="59">
                  <c:v>9686.2448414137998</c:v>
                </c:pt>
                <c:pt idx="60">
                  <c:v>9747.707949935233</c:v>
                </c:pt>
                <c:pt idx="61">
                  <c:v>9809.4848575119941</c:v>
                </c:pt>
                <c:pt idx="62">
                  <c:v>9871.576030654187</c:v>
                </c:pt>
                <c:pt idx="63">
                  <c:v>9933.9819446150068</c:v>
                </c:pt>
                <c:pt idx="64">
                  <c:v>9996.7030833907429</c:v>
                </c:pt>
                <c:pt idx="65">
                  <c:v>10059.739939720781</c:v>
                </c:pt>
                <c:pt idx="66">
                  <c:v>10123.093015087585</c:v>
                </c:pt>
                <c:pt idx="67">
                  <c:v>10186.762819716723</c:v>
                </c:pt>
                <c:pt idx="68">
                  <c:v>10250.749872576858</c:v>
                </c:pt>
                <c:pt idx="69">
                  <c:v>10315.054701379731</c:v>
                </c:pt>
                <c:pt idx="70">
                  <c:v>10379.677842580193</c:v>
                </c:pt>
                <c:pt idx="71">
                  <c:v>10444.619841376174</c:v>
                </c:pt>
                <c:pt idx="72">
                  <c:v>10509.881251708703</c:v>
                </c:pt>
                <c:pt idx="73">
                  <c:v>10575.4626362619</c:v>
                </c:pt>
                <c:pt idx="74">
                  <c:v>10641.364566462973</c:v>
                </c:pt>
                <c:pt idx="75">
                  <c:v>10707.587622482231</c:v>
                </c:pt>
                <c:pt idx="76">
                  <c:v>10774.132393233067</c:v>
                </c:pt>
                <c:pt idx="77">
                  <c:v>10840.999476371971</c:v>
                </c:pt>
                <c:pt idx="78">
                  <c:v>10908.189478298526</c:v>
                </c:pt>
                <c:pt idx="79">
                  <c:v>10975.703014155399</c:v>
                </c:pt>
                <c:pt idx="80">
                  <c:v>11043.540707828366</c:v>
                </c:pt>
                <c:pt idx="81">
                  <c:v>11111.703191946277</c:v>
                </c:pt>
                <c:pt idx="82">
                  <c:v>11180.191107881083</c:v>
                </c:pt>
                <c:pt idx="83">
                  <c:v>11249.005105747832</c:v>
                </c:pt>
                <c:pt idx="84">
                  <c:v>11318.145844404657</c:v>
                </c:pt>
                <c:pt idx="85">
                  <c:v>11387.613991452783</c:v>
                </c:pt>
                <c:pt idx="86">
                  <c:v>11457.410223236533</c:v>
                </c:pt>
                <c:pt idx="87">
                  <c:v>11527.535224843319</c:v>
                </c:pt>
                <c:pt idx="88">
                  <c:v>11597.989690103641</c:v>
                </c:pt>
                <c:pt idx="89">
                  <c:v>11668.774321591101</c:v>
                </c:pt>
                <c:pt idx="90">
                  <c:v>11739.889830622387</c:v>
                </c:pt>
                <c:pt idx="91">
                  <c:v>11811.336937257283</c:v>
                </c:pt>
                <c:pt idx="92">
                  <c:v>11883.116370298658</c:v>
                </c:pt>
                <c:pt idx="93">
                  <c:v>11955.228867292482</c:v>
                </c:pt>
                <c:pt idx="94">
                  <c:v>12027.675174527814</c:v>
                </c:pt>
                <c:pt idx="95">
                  <c:v>12100.456047036801</c:v>
                </c:pt>
                <c:pt idx="96">
                  <c:v>12173.572248594688</c:v>
                </c:pt>
                <c:pt idx="97">
                  <c:v>12247.024551719816</c:v>
                </c:pt>
                <c:pt idx="98">
                  <c:v>12320.813737673605</c:v>
                </c:pt>
                <c:pt idx="99">
                  <c:v>12394.940596460579</c:v>
                </c:pt>
                <c:pt idx="100">
                  <c:v>12469.405926828353</c:v>
                </c:pt>
                <c:pt idx="101">
                  <c:v>12544.21053626763</c:v>
                </c:pt>
                <c:pt idx="102">
                  <c:v>12619.355241012207</c:v>
                </c:pt>
                <c:pt idx="103">
                  <c:v>12694.840866038974</c:v>
                </c:pt>
                <c:pt idx="104">
                  <c:v>12770.668245067913</c:v>
                </c:pt>
                <c:pt idx="105">
                  <c:v>12846.838220562098</c:v>
                </c:pt>
                <c:pt idx="106">
                  <c:v>12923.351643727698</c:v>
                </c:pt>
                <c:pt idx="107">
                  <c:v>13000.209374513968</c:v>
                </c:pt>
                <c:pt idx="108">
                  <c:v>13077.412281613264</c:v>
                </c:pt>
                <c:pt idx="109">
                  <c:v>13154.961242461028</c:v>
                </c:pt>
                <c:pt idx="110">
                  <c:v>13232.857143235797</c:v>
                </c:pt>
                <c:pt idx="111">
                  <c:v>13311.100878859197</c:v>
                </c:pt>
                <c:pt idx="112">
                  <c:v>13389.693352995951</c:v>
                </c:pt>
                <c:pt idx="113">
                  <c:v>13468.635478053871</c:v>
                </c:pt>
                <c:pt idx="114">
                  <c:v>13547.928175183866</c:v>
                </c:pt>
                <c:pt idx="115">
                  <c:v>13627.572374279933</c:v>
                </c:pt>
                <c:pt idx="116">
                  <c:v>13707.569013979157</c:v>
                </c:pt>
                <c:pt idx="117">
                  <c:v>13787.919041661722</c:v>
                </c:pt>
                <c:pt idx="118">
                  <c:v>13868.623413450909</c:v>
                </c:pt>
                <c:pt idx="119">
                  <c:v>13949.683094213076</c:v>
                </c:pt>
                <c:pt idx="120">
                  <c:v>14031.099057557696</c:v>
                </c:pt>
                <c:pt idx="121">
                  <c:v>14112.872285837311</c:v>
                </c:pt>
                <c:pt idx="122">
                  <c:v>14195.003770147563</c:v>
                </c:pt>
                <c:pt idx="123">
                  <c:v>14277.494510327195</c:v>
                </c:pt>
                <c:pt idx="124">
                  <c:v>14360.345514958033</c:v>
                </c:pt>
                <c:pt idx="125">
                  <c:v>14443.557801365005</c:v>
                </c:pt>
                <c:pt idx="126">
                  <c:v>14527.132395616114</c:v>
                </c:pt>
                <c:pt idx="127">
                  <c:v>14611.070332522471</c:v>
                </c:pt>
                <c:pt idx="128">
                  <c:v>14695.372655638273</c:v>
                </c:pt>
                <c:pt idx="129">
                  <c:v>14780.040417260818</c:v>
                </c:pt>
                <c:pt idx="130">
                  <c:v>14865.074678430481</c:v>
                </c:pt>
                <c:pt idx="131">
                  <c:v>14950.476508930737</c:v>
                </c:pt>
                <c:pt idx="132">
                  <c:v>15036.246987288159</c:v>
                </c:pt>
                <c:pt idx="133">
                  <c:v>15122.387200772404</c:v>
                </c:pt>
                <c:pt idx="134">
                  <c:v>15208.898245396225</c:v>
                </c:pt>
                <c:pt idx="135">
                  <c:v>15295.781225915465</c:v>
                </c:pt>
                <c:pt idx="136">
                  <c:v>15383.037255829067</c:v>
                </c:pt>
                <c:pt idx="137">
                  <c:v>15470.667457379051</c:v>
                </c:pt>
                <c:pt idx="138">
                  <c:v>15558.67296155055</c:v>
                </c:pt>
                <c:pt idx="139">
                  <c:v>15647.054908071772</c:v>
                </c:pt>
                <c:pt idx="140">
                  <c:v>15735.81444541402</c:v>
                </c:pt>
                <c:pt idx="141">
                  <c:v>15824.952730791701</c:v>
                </c:pt>
                <c:pt idx="142">
                  <c:v>15914.470930162299</c:v>
                </c:pt>
                <c:pt idx="143">
                  <c:v>16004.370218226402</c:v>
                </c:pt>
                <c:pt idx="144">
                  <c:v>16094.651778427688</c:v>
                </c:pt>
                <c:pt idx="145">
                  <c:v>16185.316802952917</c:v>
                </c:pt>
                <c:pt idx="146">
                  <c:v>16276.366492731955</c:v>
                </c:pt>
                <c:pt idx="147">
                  <c:v>16367.802057437757</c:v>
                </c:pt>
                <c:pt idx="148">
                  <c:v>16459.624715486363</c:v>
                </c:pt>
                <c:pt idx="149">
                  <c:v>16551.835694036916</c:v>
                </c:pt>
                <c:pt idx="150">
                  <c:v>16644.436228991643</c:v>
                </c:pt>
                <c:pt idx="151">
                  <c:v>16737.427564995862</c:v>
                </c:pt>
                <c:pt idx="152">
                  <c:v>16830.810955437995</c:v>
                </c:pt>
                <c:pt idx="153">
                  <c:v>16924.587662449547</c:v>
                </c:pt>
                <c:pt idx="154">
                  <c:v>17018.758956905116</c:v>
                </c:pt>
                <c:pt idx="155">
                  <c:v>17113.326118422396</c:v>
                </c:pt>
                <c:pt idx="156">
                  <c:v>17208.290435362167</c:v>
                </c:pt>
                <c:pt idx="157">
                  <c:v>17303.653204828308</c:v>
                </c:pt>
                <c:pt idx="158">
                  <c:v>17399.415732667792</c:v>
                </c:pt>
                <c:pt idx="159">
                  <c:v>17495.579333470669</c:v>
                </c:pt>
                <c:pt idx="160">
                  <c:v>17592.1453305701</c:v>
                </c:pt>
                <c:pt idx="161">
                  <c:v>17689.115056042334</c:v>
                </c:pt>
                <c:pt idx="162">
                  <c:v>17786.489850706701</c:v>
                </c:pt>
                <c:pt idx="163">
                  <c:v>17884.271064125631</c:v>
                </c:pt>
                <c:pt idx="164">
                  <c:v>17982.460054604664</c:v>
                </c:pt>
                <c:pt idx="165">
                  <c:v>18081.05818919239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82D6-4CF8-820B-7C84E8339E8B}"/>
            </c:ext>
          </c:extLst>
        </c:ser>
        <c:ser>
          <c:idx val="1"/>
          <c:order val="1"/>
          <c:tx>
            <c:strRef>
              <c:f>'NTC Thermistor Comparison'!$O$26</c:f>
              <c:strCache>
                <c:ptCount val="1"/>
                <c:pt idx="0">
                  <c:v>Typical NTC</c:v>
                </c:pt>
              </c:strCache>
            </c:strRef>
          </c:tx>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Comparison'!$Q$33:$Q$248</c:f>
              <c:numCache>
                <c:formatCode>0</c:formatCode>
                <c:ptCount val="216"/>
                <c:pt idx="0">
                  <c:v>195652</c:v>
                </c:pt>
                <c:pt idx="1">
                  <c:v>184917.1</c:v>
                </c:pt>
                <c:pt idx="2">
                  <c:v>174845.2</c:v>
                </c:pt>
                <c:pt idx="3">
                  <c:v>165391</c:v>
                </c:pt>
                <c:pt idx="4">
                  <c:v>156512.5</c:v>
                </c:pt>
                <c:pt idx="5">
                  <c:v>148171</c:v>
                </c:pt>
                <c:pt idx="6">
                  <c:v>140330.4</c:v>
                </c:pt>
                <c:pt idx="7">
                  <c:v>132957.6</c:v>
                </c:pt>
                <c:pt idx="8">
                  <c:v>126021.5</c:v>
                </c:pt>
                <c:pt idx="9">
                  <c:v>119493.6</c:v>
                </c:pt>
                <c:pt idx="10">
                  <c:v>113347.1</c:v>
                </c:pt>
                <c:pt idx="11">
                  <c:v>107564.9</c:v>
                </c:pt>
                <c:pt idx="12">
                  <c:v>102115.5</c:v>
                </c:pt>
                <c:pt idx="13">
                  <c:v>96977.600000000006</c:v>
                </c:pt>
                <c:pt idx="14">
                  <c:v>92131.5</c:v>
                </c:pt>
                <c:pt idx="15">
                  <c:v>87558.8</c:v>
                </c:pt>
                <c:pt idx="16">
                  <c:v>83242.399999999994</c:v>
                </c:pt>
                <c:pt idx="17">
                  <c:v>79166.3</c:v>
                </c:pt>
                <c:pt idx="18">
                  <c:v>75315.7</c:v>
                </c:pt>
                <c:pt idx="19">
                  <c:v>71676.800000000003</c:v>
                </c:pt>
                <c:pt idx="20">
                  <c:v>68236.7</c:v>
                </c:pt>
                <c:pt idx="21">
                  <c:v>64990.7</c:v>
                </c:pt>
                <c:pt idx="22">
                  <c:v>61919</c:v>
                </c:pt>
                <c:pt idx="23">
                  <c:v>59011.3</c:v>
                </c:pt>
                <c:pt idx="24">
                  <c:v>56257.9</c:v>
                </c:pt>
                <c:pt idx="25">
                  <c:v>53649.599999999999</c:v>
                </c:pt>
                <c:pt idx="26">
                  <c:v>51177.9</c:v>
                </c:pt>
                <c:pt idx="27">
                  <c:v>48834.9</c:v>
                </c:pt>
                <c:pt idx="28">
                  <c:v>46613.2</c:v>
                </c:pt>
                <c:pt idx="29">
                  <c:v>44505.8</c:v>
                </c:pt>
                <c:pt idx="30">
                  <c:v>42506.2</c:v>
                </c:pt>
                <c:pt idx="31">
                  <c:v>40599.699999999997</c:v>
                </c:pt>
                <c:pt idx="32">
                  <c:v>38790.5</c:v>
                </c:pt>
                <c:pt idx="33">
                  <c:v>37072.9</c:v>
                </c:pt>
                <c:pt idx="34">
                  <c:v>35441.699999999997</c:v>
                </c:pt>
                <c:pt idx="35">
                  <c:v>33892.199999999997</c:v>
                </c:pt>
                <c:pt idx="36">
                  <c:v>32419.7</c:v>
                </c:pt>
                <c:pt idx="37">
                  <c:v>31020</c:v>
                </c:pt>
                <c:pt idx="38">
                  <c:v>29689</c:v>
                </c:pt>
                <c:pt idx="39">
                  <c:v>28423.1</c:v>
                </c:pt>
                <c:pt idx="40">
                  <c:v>27218.6</c:v>
                </c:pt>
                <c:pt idx="41">
                  <c:v>26076</c:v>
                </c:pt>
                <c:pt idx="42">
                  <c:v>24987.7</c:v>
                </c:pt>
                <c:pt idx="43">
                  <c:v>23950.9</c:v>
                </c:pt>
                <c:pt idx="44">
                  <c:v>22962.9</c:v>
                </c:pt>
                <c:pt idx="45">
                  <c:v>22021.1</c:v>
                </c:pt>
                <c:pt idx="46">
                  <c:v>21123</c:v>
                </c:pt>
                <c:pt idx="47">
                  <c:v>20266.599999999999</c:v>
                </c:pt>
                <c:pt idx="48">
                  <c:v>19449.5</c:v>
                </c:pt>
                <c:pt idx="49">
                  <c:v>18669.8</c:v>
                </c:pt>
                <c:pt idx="50">
                  <c:v>17925.5</c:v>
                </c:pt>
                <c:pt idx="51">
                  <c:v>17213.900000000001</c:v>
                </c:pt>
                <c:pt idx="52">
                  <c:v>16534.400000000001</c:v>
                </c:pt>
                <c:pt idx="53">
                  <c:v>15885.6</c:v>
                </c:pt>
                <c:pt idx="54">
                  <c:v>15265.8</c:v>
                </c:pt>
                <c:pt idx="55">
                  <c:v>14673.5</c:v>
                </c:pt>
                <c:pt idx="56">
                  <c:v>14107.5</c:v>
                </c:pt>
                <c:pt idx="57">
                  <c:v>13566.4</c:v>
                </c:pt>
                <c:pt idx="58">
                  <c:v>13048.9</c:v>
                </c:pt>
                <c:pt idx="59">
                  <c:v>12554</c:v>
                </c:pt>
                <c:pt idx="60">
                  <c:v>12080.5</c:v>
                </c:pt>
                <c:pt idx="61">
                  <c:v>11628.1</c:v>
                </c:pt>
                <c:pt idx="62">
                  <c:v>11194.7</c:v>
                </c:pt>
                <c:pt idx="63">
                  <c:v>10779.5</c:v>
                </c:pt>
                <c:pt idx="64">
                  <c:v>10381.5</c:v>
                </c:pt>
                <c:pt idx="65">
                  <c:v>10000</c:v>
                </c:pt>
                <c:pt idx="66">
                  <c:v>9634.2000000000007</c:v>
                </c:pt>
                <c:pt idx="67">
                  <c:v>9283.5</c:v>
                </c:pt>
                <c:pt idx="68">
                  <c:v>8947</c:v>
                </c:pt>
                <c:pt idx="69">
                  <c:v>8624.2000000000007</c:v>
                </c:pt>
                <c:pt idx="70">
                  <c:v>8314.5</c:v>
                </c:pt>
                <c:pt idx="71">
                  <c:v>8018.1</c:v>
                </c:pt>
                <c:pt idx="72">
                  <c:v>7733.7</c:v>
                </c:pt>
                <c:pt idx="73">
                  <c:v>7460.9</c:v>
                </c:pt>
                <c:pt idx="74">
                  <c:v>7199.1</c:v>
                </c:pt>
                <c:pt idx="75">
                  <c:v>6947.9</c:v>
                </c:pt>
                <c:pt idx="76">
                  <c:v>6706.7</c:v>
                </c:pt>
                <c:pt idx="77">
                  <c:v>6475.1</c:v>
                </c:pt>
                <c:pt idx="78">
                  <c:v>6252.6</c:v>
                </c:pt>
                <c:pt idx="79">
                  <c:v>6039</c:v>
                </c:pt>
                <c:pt idx="80">
                  <c:v>5833.6</c:v>
                </c:pt>
                <c:pt idx="81">
                  <c:v>5635.7</c:v>
                </c:pt>
                <c:pt idx="82">
                  <c:v>5445.4</c:v>
                </c:pt>
                <c:pt idx="83">
                  <c:v>5262.3</c:v>
                </c:pt>
                <c:pt idx="84">
                  <c:v>5086.3</c:v>
                </c:pt>
                <c:pt idx="85">
                  <c:v>4916.8999999999996</c:v>
                </c:pt>
                <c:pt idx="86">
                  <c:v>4753.8999999999996</c:v>
                </c:pt>
                <c:pt idx="87">
                  <c:v>4597.1000000000004</c:v>
                </c:pt>
                <c:pt idx="88">
                  <c:v>4446.1000000000004</c:v>
                </c:pt>
                <c:pt idx="89">
                  <c:v>4300.8</c:v>
                </c:pt>
                <c:pt idx="90">
                  <c:v>4160.8999999999996</c:v>
                </c:pt>
                <c:pt idx="91">
                  <c:v>4026.2</c:v>
                </c:pt>
                <c:pt idx="92">
                  <c:v>3896.4</c:v>
                </c:pt>
                <c:pt idx="93">
                  <c:v>3771.4</c:v>
                </c:pt>
                <c:pt idx="94">
                  <c:v>3651</c:v>
                </c:pt>
                <c:pt idx="95">
                  <c:v>3535</c:v>
                </c:pt>
                <c:pt idx="96">
                  <c:v>3423.1</c:v>
                </c:pt>
                <c:pt idx="97">
                  <c:v>3315.2</c:v>
                </c:pt>
                <c:pt idx="98">
                  <c:v>3211.3</c:v>
                </c:pt>
                <c:pt idx="99">
                  <c:v>3111</c:v>
                </c:pt>
                <c:pt idx="100">
                  <c:v>3014.3</c:v>
                </c:pt>
                <c:pt idx="101">
                  <c:v>2922.4</c:v>
                </c:pt>
                <c:pt idx="102">
                  <c:v>2833.7</c:v>
                </c:pt>
                <c:pt idx="103">
                  <c:v>2748.2</c:v>
                </c:pt>
                <c:pt idx="104">
                  <c:v>2665.7</c:v>
                </c:pt>
                <c:pt idx="105">
                  <c:v>2586.1</c:v>
                </c:pt>
                <c:pt idx="106">
                  <c:v>2509.3000000000002</c:v>
                </c:pt>
                <c:pt idx="107">
                  <c:v>2435.1</c:v>
                </c:pt>
                <c:pt idx="108">
                  <c:v>2363.5</c:v>
                </c:pt>
                <c:pt idx="109">
                  <c:v>2294.3000000000002</c:v>
                </c:pt>
                <c:pt idx="110">
                  <c:v>2227.5</c:v>
                </c:pt>
                <c:pt idx="111">
                  <c:v>2162.6999999999998</c:v>
                </c:pt>
                <c:pt idx="112">
                  <c:v>2100.1</c:v>
                </c:pt>
                <c:pt idx="113">
                  <c:v>2039.6</c:v>
                </c:pt>
                <c:pt idx="114">
                  <c:v>1981.1</c:v>
                </c:pt>
                <c:pt idx="115">
                  <c:v>1924.5</c:v>
                </c:pt>
                <c:pt idx="116">
                  <c:v>1869.8</c:v>
                </c:pt>
                <c:pt idx="117">
                  <c:v>1817</c:v>
                </c:pt>
                <c:pt idx="118">
                  <c:v>1765.8</c:v>
                </c:pt>
                <c:pt idx="119">
                  <c:v>1716.4</c:v>
                </c:pt>
                <c:pt idx="120">
                  <c:v>1668.5</c:v>
                </c:pt>
                <c:pt idx="121">
                  <c:v>1622.4</c:v>
                </c:pt>
                <c:pt idx="122">
                  <c:v>1577.7</c:v>
                </c:pt>
                <c:pt idx="123">
                  <c:v>1534.5</c:v>
                </c:pt>
                <c:pt idx="124">
                  <c:v>1492.7</c:v>
                </c:pt>
                <c:pt idx="125">
                  <c:v>1452.1</c:v>
                </c:pt>
                <c:pt idx="126">
                  <c:v>1412.9</c:v>
                </c:pt>
                <c:pt idx="127">
                  <c:v>1374.9</c:v>
                </c:pt>
                <c:pt idx="128">
                  <c:v>1338.1</c:v>
                </c:pt>
                <c:pt idx="129">
                  <c:v>1302.5</c:v>
                </c:pt>
                <c:pt idx="130">
                  <c:v>1268</c:v>
                </c:pt>
                <c:pt idx="131">
                  <c:v>1234.3</c:v>
                </c:pt>
                <c:pt idx="132">
                  <c:v>1201.5999999999999</c:v>
                </c:pt>
                <c:pt idx="133">
                  <c:v>1170</c:v>
                </c:pt>
                <c:pt idx="134">
                  <c:v>1139.3</c:v>
                </c:pt>
                <c:pt idx="135">
                  <c:v>1109.5999999999999</c:v>
                </c:pt>
                <c:pt idx="136">
                  <c:v>1080.7</c:v>
                </c:pt>
                <c:pt idx="137">
                  <c:v>1052.8</c:v>
                </c:pt>
                <c:pt idx="138">
                  <c:v>1025.5999999999999</c:v>
                </c:pt>
                <c:pt idx="139">
                  <c:v>999.3</c:v>
                </c:pt>
                <c:pt idx="140">
                  <c:v>973.8</c:v>
                </c:pt>
                <c:pt idx="141">
                  <c:v>949.2</c:v>
                </c:pt>
                <c:pt idx="142">
                  <c:v>925.4</c:v>
                </c:pt>
                <c:pt idx="143">
                  <c:v>902.2</c:v>
                </c:pt>
                <c:pt idx="144">
                  <c:v>879.8</c:v>
                </c:pt>
                <c:pt idx="145">
                  <c:v>858</c:v>
                </c:pt>
                <c:pt idx="146">
                  <c:v>836.8</c:v>
                </c:pt>
                <c:pt idx="147">
                  <c:v>816.2</c:v>
                </c:pt>
                <c:pt idx="148">
                  <c:v>796.3</c:v>
                </c:pt>
                <c:pt idx="149">
                  <c:v>776.9</c:v>
                </c:pt>
                <c:pt idx="150">
                  <c:v>758</c:v>
                </c:pt>
                <c:pt idx="151">
                  <c:v>739.7</c:v>
                </c:pt>
                <c:pt idx="152">
                  <c:v>721.9</c:v>
                </c:pt>
                <c:pt idx="153">
                  <c:v>704.6</c:v>
                </c:pt>
                <c:pt idx="154">
                  <c:v>687.8</c:v>
                </c:pt>
                <c:pt idx="155">
                  <c:v>671.5</c:v>
                </c:pt>
                <c:pt idx="156">
                  <c:v>655.6</c:v>
                </c:pt>
                <c:pt idx="157">
                  <c:v>640.20000000000005</c:v>
                </c:pt>
                <c:pt idx="158">
                  <c:v>625.20000000000005</c:v>
                </c:pt>
                <c:pt idx="159">
                  <c:v>610.6</c:v>
                </c:pt>
                <c:pt idx="160">
                  <c:v>596.4</c:v>
                </c:pt>
                <c:pt idx="161">
                  <c:v>582.6</c:v>
                </c:pt>
                <c:pt idx="162">
                  <c:v>569.20000000000005</c:v>
                </c:pt>
                <c:pt idx="163">
                  <c:v>556.20000000000005</c:v>
                </c:pt>
                <c:pt idx="164">
                  <c:v>543.5</c:v>
                </c:pt>
                <c:pt idx="165">
                  <c:v>531.1</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82D6-4CF8-820B-7C84E8339E8B}"/>
            </c:ext>
          </c:extLst>
        </c:ser>
        <c:dLbls>
          <c:showLegendKey val="0"/>
          <c:showVal val="0"/>
          <c:showCatName val="0"/>
          <c:showSerName val="0"/>
          <c:showPercent val="0"/>
          <c:showBubbleSize val="0"/>
        </c:dLbls>
        <c:axId val="505775232"/>
        <c:axId val="505777152"/>
      </c:scatterChart>
      <c:valAx>
        <c:axId val="505775232"/>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nextTo"/>
        <c:crossAx val="505777152"/>
        <c:crosses val="autoZero"/>
        <c:crossBetween val="midCat"/>
      </c:valAx>
      <c:valAx>
        <c:axId val="505777152"/>
        <c:scaling>
          <c:orientation val="minMax"/>
          <c:max val="100000"/>
        </c:scaling>
        <c:delete val="0"/>
        <c:axPos val="l"/>
        <c:majorGridlines/>
        <c:title>
          <c:tx>
            <c:rich>
              <a:bodyPr/>
              <a:lstStyle/>
              <a:p>
                <a:pPr>
                  <a:defRPr sz="1050"/>
                </a:pPr>
                <a:r>
                  <a:rPr lang="en-US" sz="1050"/>
                  <a:t>Resistance in </a:t>
                </a:r>
                <a:r>
                  <a:rPr lang="el-GR" sz="1050"/>
                  <a:t>(Ω)</a:t>
                </a:r>
                <a:endParaRPr lang="en-US" sz="1050"/>
              </a:p>
            </c:rich>
          </c:tx>
          <c:overlay val="0"/>
        </c:title>
        <c:numFmt formatCode="0" sourceLinked="1"/>
        <c:majorTickMark val="none"/>
        <c:minorTickMark val="none"/>
        <c:tickLblPos val="low"/>
        <c:crossAx val="50577523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Thermistor</a:t>
            </a:r>
            <a:r>
              <a:rPr lang="en-US" sz="1400" baseline="0"/>
              <a:t> Vsense</a:t>
            </a:r>
            <a:r>
              <a:rPr lang="en-US" sz="1400"/>
              <a:t> Vdc compare</a:t>
            </a:r>
          </a:p>
        </c:rich>
      </c:tx>
      <c:overlay val="0"/>
    </c:title>
    <c:autoTitleDeleted val="0"/>
    <c:plotArea>
      <c:layout/>
      <c:scatterChart>
        <c:scatterStyle val="lineMarker"/>
        <c:varyColors val="0"/>
        <c:ser>
          <c:idx val="0"/>
          <c:order val="0"/>
          <c:tx>
            <c:strRef>
              <c:f>'NTC Thermistor Comparison'!$B$26</c:f>
              <c:strCache>
                <c:ptCount val="1"/>
                <c:pt idx="0">
                  <c:v>TMP6131DECR</c:v>
                </c:pt>
              </c:strCache>
            </c:strRef>
          </c:tx>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Comparison'!$F$33:$F$248</c:f>
              <c:numCache>
                <c:formatCode>0.0000</c:formatCode>
                <c:ptCount val="216"/>
                <c:pt idx="0">
                  <c:v>1.9885746567586997</c:v>
                </c:pt>
                <c:pt idx="1">
                  <c:v>1.9964365810483728</c:v>
                </c:pt>
                <c:pt idx="2">
                  <c:v>2.0043117220030693</c:v>
                </c:pt>
                <c:pt idx="3">
                  <c:v>2.0121995411299523</c:v>
                </c:pt>
                <c:pt idx="4">
                  <c:v>2.0200995058509981</c:v>
                </c:pt>
                <c:pt idx="5">
                  <c:v>2.0280110895008479</c:v>
                </c:pt>
                <c:pt idx="6">
                  <c:v>2.0359337713229824</c:v>
                </c:pt>
                <c:pt idx="7">
                  <c:v>2.0438670364642748</c:v>
                </c:pt>
                <c:pt idx="8">
                  <c:v>2.051810375967956</c:v>
                </c:pt>
                <c:pt idx="9">
                  <c:v>2.0597632867650355</c:v>
                </c:pt>
                <c:pt idx="10">
                  <c:v>2.067725271664218</c:v>
                </c:pt>
                <c:pt idx="11">
                  <c:v>2.0756958393403617</c:v>
                </c:pt>
                <c:pt idx="12">
                  <c:v>2.083674504321507</c:v>
                </c:pt>
                <c:pt idx="13">
                  <c:v>2.0916607869745332</c:v>
                </c:pt>
                <c:pt idx="14">
                  <c:v>2.0996542134894631</c:v>
                </c:pt>
                <c:pt idx="15">
                  <c:v>2.1076543158624705</c:v>
                </c:pt>
                <c:pt idx="16">
                  <c:v>2.1156606318776228</c:v>
                </c:pt>
                <c:pt idx="17">
                  <c:v>2.1236727050873925</c:v>
                </c:pt>
                <c:pt idx="18">
                  <c:v>2.1316900847919888</c:v>
                </c:pt>
                <c:pt idx="19">
                  <c:v>2.1397123260175315</c:v>
                </c:pt>
                <c:pt idx="20">
                  <c:v>2.147738989493114</c:v>
                </c:pt>
                <c:pt idx="21">
                  <c:v>2.1557696416267915</c:v>
                </c:pt>
                <c:pt idx="22">
                  <c:v>2.163803854480522</c:v>
                </c:pt>
                <c:pt idx="23">
                  <c:v>2.171841205744109</c:v>
                </c:pt>
                <c:pt idx="24">
                  <c:v>2.1798812787081703</c:v>
                </c:pt>
                <c:pt idx="25">
                  <c:v>2.1879236622361695</c:v>
                </c:pt>
                <c:pt idx="26">
                  <c:v>2.1959679507355485</c:v>
                </c:pt>
                <c:pt idx="27">
                  <c:v>2.2040137441279919</c:v>
                </c:pt>
                <c:pt idx="28">
                  <c:v>2.2120606478188511</c:v>
                </c:pt>
                <c:pt idx="29">
                  <c:v>2.2201082726657773</c:v>
                </c:pt>
                <c:pt idx="30">
                  <c:v>2.2281562349465651</c:v>
                </c:pt>
                <c:pt idx="31">
                  <c:v>2.236204156326278</c:v>
                </c:pt>
                <c:pt idx="32">
                  <c:v>2.2442516638236496</c:v>
                </c:pt>
                <c:pt idx="33">
                  <c:v>2.2522983897768123</c:v>
                </c:pt>
                <c:pt idx="34">
                  <c:v>2.2603439718083824</c:v>
                </c:pt>
                <c:pt idx="35">
                  <c:v>2.2683880527899127</c:v>
                </c:pt>
                <c:pt idx="36">
                  <c:v>2.2764302808057733</c:v>
                </c:pt>
                <c:pt idx="37">
                  <c:v>2.2844703091164531</c:v>
                </c:pt>
                <c:pt idx="38">
                  <c:v>2.2925077961213378</c:v>
                </c:pt>
                <c:pt idx="39">
                  <c:v>2.3005424053209778</c:v>
                </c:pt>
                <c:pt idx="40">
                  <c:v>2.3085738052788707</c:v>
                </c:pt>
                <c:pt idx="41">
                  <c:v>2.3166016695827989</c:v>
                </c:pt>
                <c:pt idx="42">
                  <c:v>2.3246256768057241</c:v>
                </c:pt>
                <c:pt idx="43">
                  <c:v>2.3326455104662935</c:v>
                </c:pt>
                <c:pt idx="44">
                  <c:v>2.3406608589889522</c:v>
                </c:pt>
                <c:pt idx="45">
                  <c:v>2.3486714156637083</c:v>
                </c:pt>
                <c:pt idx="46">
                  <c:v>2.356676878605561</c:v>
                </c:pt>
                <c:pt idx="47">
                  <c:v>2.3646769507136218</c:v>
                </c:pt>
                <c:pt idx="48">
                  <c:v>2.372671339629945</c:v>
                </c:pt>
                <c:pt idx="49">
                  <c:v>2.3806597576980972</c:v>
                </c:pt>
                <c:pt idx="50">
                  <c:v>2.3886419219214758</c:v>
                </c:pt>
                <c:pt idx="51">
                  <c:v>2.3966175539214118</c:v>
                </c:pt>
                <c:pt idx="52">
                  <c:v>2.4045863798950617</c:v>
                </c:pt>
                <c:pt idx="53">
                  <c:v>2.4125481305731218</c:v>
                </c:pt>
                <c:pt idx="54">
                  <c:v>2.4205025411773757</c:v>
                </c:pt>
                <c:pt idx="55">
                  <c:v>2.4284493513780947</c:v>
                </c:pt>
                <c:pt idx="56">
                  <c:v>2.4363883052513149</c:v>
                </c:pt>
                <c:pt idx="57">
                  <c:v>2.4443191512360039</c:v>
                </c:pt>
                <c:pt idx="58">
                  <c:v>2.4522416420911317</c:v>
                </c:pt>
                <c:pt idx="59">
                  <c:v>2.4601555348526709</c:v>
                </c:pt>
                <c:pt idx="60">
                  <c:v>2.4680605907905386</c:v>
                </c:pt>
                <c:pt idx="61">
                  <c:v>2.4759565753654922</c:v>
                </c:pt>
                <c:pt idx="62">
                  <c:v>2.4838432581860013</c:v>
                </c:pt>
                <c:pt idx="63">
                  <c:v>2.4917204129651043</c:v>
                </c:pt>
                <c:pt idx="64">
                  <c:v>2.4995878174772725</c:v>
                </c:pt>
                <c:pt idx="65">
                  <c:v>2.5074452535152871</c:v>
                </c:pt>
                <c:pt idx="66">
                  <c:v>2.5152925068471448</c:v>
                </c:pt>
                <c:pt idx="67">
                  <c:v>2.5231293671730159</c:v>
                </c:pt>
                <c:pt idx="68">
                  <c:v>2.5309556280822494</c:v>
                </c:pt>
                <c:pt idx="69">
                  <c:v>2.5387710870104536</c:v>
                </c:pt>
                <c:pt idx="70">
                  <c:v>2.546575545196661</c:v>
                </c:pt>
                <c:pt idx="71">
                  <c:v>2.5543688076405733</c:v>
                </c:pt>
                <c:pt idx="72">
                  <c:v>2.5621506830599303</c:v>
                </c:pt>
                <c:pt idx="73">
                  <c:v>2.569920983847978</c:v>
                </c:pt>
                <c:pt idx="74">
                  <c:v>2.5776795260310732</c:v>
                </c:pt>
                <c:pt idx="75">
                  <c:v>2.5854261292264198</c:v>
                </c:pt>
                <c:pt idx="76">
                  <c:v>2.5931606165999539</c:v>
                </c:pt>
                <c:pt idx="77">
                  <c:v>2.6008828148243843</c:v>
                </c:pt>
                <c:pt idx="78">
                  <c:v>2.6085925540373993</c:v>
                </c:pt>
                <c:pt idx="79">
                  <c:v>2.6162896678000434</c:v>
                </c:pt>
                <c:pt idx="80">
                  <c:v>2.6239739930552846</c:v>
                </c:pt>
                <c:pt idx="81">
                  <c:v>2.6316453700867646</c:v>
                </c:pt>
                <c:pt idx="82">
                  <c:v>2.639303642477751</c:v>
                </c:pt>
                <c:pt idx="83">
                  <c:v>2.6469486570702991</c:v>
                </c:pt>
                <c:pt idx="84">
                  <c:v>2.6545802639246214</c:v>
                </c:pt>
                <c:pt idx="85">
                  <c:v>2.6621983162786793</c:v>
                </c:pt>
                <c:pt idx="86">
                  <c:v>2.6698026705080049</c:v>
                </c:pt>
                <c:pt idx="87">
                  <c:v>2.677393186085756</c:v>
                </c:pt>
                <c:pt idx="88">
                  <c:v>2.6849697255430041</c:v>
                </c:pt>
                <c:pt idx="89">
                  <c:v>2.6925321544292782</c:v>
                </c:pt>
                <c:pt idx="90">
                  <c:v>2.7000803412733507</c:v>
                </c:pt>
                <c:pt idx="91">
                  <c:v>2.7076141575442843</c:v>
                </c:pt>
                <c:pt idx="92">
                  <c:v>2.7151334776127403</c:v>
                </c:pt>
                <c:pt idx="93">
                  <c:v>2.72263817871255</c:v>
                </c:pt>
                <c:pt idx="94">
                  <c:v>2.7301281409025586</c:v>
                </c:pt>
                <c:pt idx="95">
                  <c:v>2.737603247028745</c:v>
                </c:pt>
                <c:pt idx="96">
                  <c:v>2.7450633826866171</c:v>
                </c:pt>
                <c:pt idx="97">
                  <c:v>2.7525084361838976</c:v>
                </c:pt>
                <c:pt idx="98">
                  <c:v>2.7599382985034815</c:v>
                </c:pt>
                <c:pt idx="99">
                  <c:v>2.7673528632667024</c:v>
                </c:pt>
                <c:pt idx="100">
                  <c:v>2.7747520266968757</c:v>
                </c:pt>
                <c:pt idx="101">
                  <c:v>2.7821356875831462</c:v>
                </c:pt>
                <c:pt idx="102">
                  <c:v>2.7895037472446309</c:v>
                </c:pt>
                <c:pt idx="103">
                  <c:v>2.7968561094948661</c:v>
                </c:pt>
                <c:pt idx="104">
                  <c:v>2.8041926806065556</c:v>
                </c:pt>
                <c:pt idx="105">
                  <c:v>2.8115133692766237</c:v>
                </c:pt>
                <c:pt idx="106">
                  <c:v>2.8188180865915808</c:v>
                </c:pt>
                <c:pt idx="107">
                  <c:v>2.8261067459931946</c:v>
                </c:pt>
                <c:pt idx="108">
                  <c:v>2.8333792632444719</c:v>
                </c:pt>
                <c:pt idx="109">
                  <c:v>2.8406355563959589</c:v>
                </c:pt>
                <c:pt idx="110">
                  <c:v>2.8478755457523479</c:v>
                </c:pt>
                <c:pt idx="111">
                  <c:v>2.8550991538394084</c:v>
                </c:pt>
                <c:pt idx="112">
                  <c:v>2.8623063053712259</c:v>
                </c:pt>
                <c:pt idx="113">
                  <c:v>2.8694969272177628</c:v>
                </c:pt>
                <c:pt idx="114">
                  <c:v>2.8766709483727402</c:v>
                </c:pt>
                <c:pt idx="115">
                  <c:v>2.883828299921829</c:v>
                </c:pt>
                <c:pt idx="116">
                  <c:v>2.8909689150111713</c:v>
                </c:pt>
                <c:pt idx="117">
                  <c:v>2.898092728816215</c:v>
                </c:pt>
                <c:pt idx="118">
                  <c:v>2.9051996785108676</c:v>
                </c:pt>
                <c:pt idx="119">
                  <c:v>2.9122897032369743</c:v>
                </c:pt>
                <c:pt idx="120">
                  <c:v>2.9193627440741139</c:v>
                </c:pt>
                <c:pt idx="121">
                  <c:v>2.9264187440097094</c:v>
                </c:pt>
                <c:pt idx="122">
                  <c:v>2.9334576479094694</c:v>
                </c:pt>
                <c:pt idx="123">
                  <c:v>2.9404794024881382</c:v>
                </c:pt>
                <c:pt idx="124">
                  <c:v>2.9474839562805712</c:v>
                </c:pt>
                <c:pt idx="125">
                  <c:v>2.9544712596131224</c:v>
                </c:pt>
                <c:pt idx="126">
                  <c:v>2.9614412645753561</c:v>
                </c:pt>
                <c:pt idx="127">
                  <c:v>2.9683939249920739</c:v>
                </c:pt>
                <c:pt idx="128">
                  <c:v>2.9753291963956512</c:v>
                </c:pt>
                <c:pt idx="129">
                  <c:v>2.982247035998701</c:v>
                </c:pt>
                <c:pt idx="130">
                  <c:v>2.9891474026670379</c:v>
                </c:pt>
                <c:pt idx="131">
                  <c:v>2.9960302568929666</c:v>
                </c:pt>
                <c:pt idx="132">
                  <c:v>3.0028955607688772</c:v>
                </c:pt>
                <c:pt idx="133">
                  <c:v>3.0097432779611517</c:v>
                </c:pt>
                <c:pt idx="134">
                  <c:v>3.0165733736843796</c:v>
                </c:pt>
                <c:pt idx="135">
                  <c:v>3.0233858146758825</c:v>
                </c:pt>
                <c:pt idx="136">
                  <c:v>3.0301805691705472</c:v>
                </c:pt>
                <c:pt idx="137">
                  <c:v>3.0369576068759594</c:v>
                </c:pt>
                <c:pt idx="138">
                  <c:v>3.043716898947844</c:v>
                </c:pt>
                <c:pt idx="139">
                  <c:v>3.0504584179658094</c:v>
                </c:pt>
                <c:pt idx="140">
                  <c:v>3.0571821379093862</c:v>
                </c:pt>
                <c:pt idx="141">
                  <c:v>3.0638880341343735</c:v>
                </c:pt>
                <c:pt idx="142">
                  <c:v>3.0705760833494713</c:v>
                </c:pt>
                <c:pt idx="143">
                  <c:v>3.0772462635932203</c:v>
                </c:pt>
                <c:pt idx="144">
                  <c:v>3.0838985542112218</c:v>
                </c:pt>
                <c:pt idx="145">
                  <c:v>3.0905329358336613</c:v>
                </c:pt>
                <c:pt idx="146">
                  <c:v>3.0971493903531142</c:v>
                </c:pt>
                <c:pt idx="147">
                  <c:v>3.1037479009026407</c:v>
                </c:pt>
                <c:pt idx="148">
                  <c:v>3.1103284518341692</c:v>
                </c:pt>
                <c:pt idx="149">
                  <c:v>3.1168910286971556</c:v>
                </c:pt>
                <c:pt idx="150">
                  <c:v>3.1234356182175356</c:v>
                </c:pt>
                <c:pt idx="151">
                  <c:v>3.1299622082769449</c:v>
                </c:pt>
                <c:pt idx="152">
                  <c:v>3.1364707878922258</c:v>
                </c:pt>
                <c:pt idx="153">
                  <c:v>3.142961347195202</c:v>
                </c:pt>
                <c:pt idx="154">
                  <c:v>3.1494338774127288</c:v>
                </c:pt>
                <c:pt idx="155">
                  <c:v>3.1558883708470185</c:v>
                </c:pt>
                <c:pt idx="156">
                  <c:v>3.162324820856226</c:v>
                </c:pt>
                <c:pt idx="157">
                  <c:v>3.1687432218353062</c:v>
                </c:pt>
                <c:pt idx="158">
                  <c:v>3.1751435691971355</c:v>
                </c:pt>
                <c:pt idx="159">
                  <c:v>3.1815258593538909</c:v>
                </c:pt>
                <c:pt idx="160">
                  <c:v>3.1878900896986933</c:v>
                </c:pt>
                <c:pt idx="161">
                  <c:v>3.1942362585875066</c:v>
                </c:pt>
                <c:pt idx="162">
                  <c:v>3.2005643653212879</c:v>
                </c:pt>
                <c:pt idx="163">
                  <c:v>3.2068744101283948</c:v>
                </c:pt>
                <c:pt idx="164">
                  <c:v>3.2131663941472421</c:v>
                </c:pt>
                <c:pt idx="165">
                  <c:v>3.2194403194092023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651A-4D5D-9632-3F6AB9A3017E}"/>
            </c:ext>
          </c:extLst>
        </c:ser>
        <c:ser>
          <c:idx val="1"/>
          <c:order val="1"/>
          <c:tx>
            <c:v>NTC/Vdiv</c:v>
          </c:tx>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Comparison'!$S$33:$S$248</c:f>
              <c:numCache>
                <c:formatCode>0.0000</c:formatCode>
                <c:ptCount val="216"/>
                <c:pt idx="0">
                  <c:v>4.7568708303347398</c:v>
                </c:pt>
                <c:pt idx="1">
                  <c:v>4.7434806899959003</c:v>
                </c:pt>
                <c:pt idx="2">
                  <c:v>4.7295033898635177</c:v>
                </c:pt>
                <c:pt idx="3">
                  <c:v>4.7149226585172554</c:v>
                </c:pt>
                <c:pt idx="4">
                  <c:v>4.6997222430748442</c:v>
                </c:pt>
                <c:pt idx="5">
                  <c:v>4.6838864267153903</c:v>
                </c:pt>
                <c:pt idx="6">
                  <c:v>4.6673992751965008</c:v>
                </c:pt>
                <c:pt idx="7">
                  <c:v>4.6502459470500339</c:v>
                </c:pt>
                <c:pt idx="8">
                  <c:v>4.6324110526644686</c:v>
                </c:pt>
                <c:pt idx="9">
                  <c:v>4.6138805315475047</c:v>
                </c:pt>
                <c:pt idx="10">
                  <c:v>4.5946398415528211</c:v>
                </c:pt>
                <c:pt idx="11">
                  <c:v>4.5747029938357455</c:v>
                </c:pt>
                <c:pt idx="12">
                  <c:v>4.5540313337584903</c:v>
                </c:pt>
                <c:pt idx="13">
                  <c:v>4.5326124347526955</c:v>
                </c:pt>
                <c:pt idx="14">
                  <c:v>4.5104350763476493</c:v>
                </c:pt>
                <c:pt idx="15">
                  <c:v>4.4874885709951329</c:v>
                </c:pt>
                <c:pt idx="16">
                  <c:v>4.4637632664967866</c:v>
                </c:pt>
                <c:pt idx="17">
                  <c:v>4.4392500305608733</c:v>
                </c:pt>
                <c:pt idx="18">
                  <c:v>4.4139413964838825</c:v>
                </c:pt>
                <c:pt idx="19">
                  <c:v>4.387831060962232</c:v>
                </c:pt>
                <c:pt idx="20">
                  <c:v>4.3609137399711386</c:v>
                </c:pt>
                <c:pt idx="21">
                  <c:v>4.3332506564147293</c:v>
                </c:pt>
                <c:pt idx="22">
                  <c:v>4.3047734256594223</c:v>
                </c:pt>
                <c:pt idx="23">
                  <c:v>4.2754809719567666</c:v>
                </c:pt>
                <c:pt idx="24">
                  <c:v>4.2453730045775675</c:v>
                </c:pt>
                <c:pt idx="25">
                  <c:v>4.2144491088710687</c:v>
                </c:pt>
                <c:pt idx="26">
                  <c:v>4.1827114039546958</c:v>
                </c:pt>
                <c:pt idx="27">
                  <c:v>4.1501642732459816</c:v>
                </c:pt>
                <c:pt idx="28">
                  <c:v>4.1168137466173969</c:v>
                </c:pt>
                <c:pt idx="29">
                  <c:v>4.0826664318292734</c:v>
                </c:pt>
                <c:pt idx="30">
                  <c:v>4.0477315059935774</c:v>
                </c:pt>
                <c:pt idx="31">
                  <c:v>4.0118518489240049</c:v>
                </c:pt>
                <c:pt idx="32">
                  <c:v>3.9752103380781096</c:v>
                </c:pt>
                <c:pt idx="33">
                  <c:v>3.9378177252729278</c:v>
                </c:pt>
                <c:pt idx="34">
                  <c:v>3.8996890521261309</c:v>
                </c:pt>
                <c:pt idx="35">
                  <c:v>3.8608454349519961</c:v>
                </c:pt>
                <c:pt idx="36">
                  <c:v>3.8213023665891086</c:v>
                </c:pt>
                <c:pt idx="37">
                  <c:v>3.781082398829839</c:v>
                </c:pt>
                <c:pt idx="38">
                  <c:v>3.7402050946105976</c:v>
                </c:pt>
                <c:pt idx="39">
                  <c:v>3.6986994802605722</c:v>
                </c:pt>
                <c:pt idx="40">
                  <c:v>3.6565856856517973</c:v>
                </c:pt>
                <c:pt idx="41">
                  <c:v>3.6140370329304803</c:v>
                </c:pt>
                <c:pt idx="42">
                  <c:v>3.5709263541187339</c:v>
                </c:pt>
                <c:pt idx="43">
                  <c:v>3.527284990972257</c:v>
                </c:pt>
                <c:pt idx="44">
                  <c:v>3.4831431700487521</c:v>
                </c:pt>
                <c:pt idx="45">
                  <c:v>3.4385295945485943</c:v>
                </c:pt>
                <c:pt idx="46">
                  <c:v>3.3934710664139063</c:v>
                </c:pt>
                <c:pt idx="47">
                  <c:v>3.3480139824096526</c:v>
                </c:pt>
                <c:pt idx="48">
                  <c:v>3.3021783052343845</c:v>
                </c:pt>
                <c:pt idx="49">
                  <c:v>3.256004576243992</c:v>
                </c:pt>
                <c:pt idx="50">
                  <c:v>3.2095217632629676</c:v>
                </c:pt>
                <c:pt idx="51">
                  <c:v>3.1627036183714941</c:v>
                </c:pt>
                <c:pt idx="52">
                  <c:v>3.1156536420646406</c:v>
                </c:pt>
                <c:pt idx="53">
                  <c:v>3.0684241431529502</c:v>
                </c:pt>
                <c:pt idx="54">
                  <c:v>3.0210402995353398</c:v>
                </c:pt>
                <c:pt idx="55">
                  <c:v>2.9735343587249479</c:v>
                </c:pt>
                <c:pt idx="56">
                  <c:v>2.9259566524940372</c:v>
                </c:pt>
                <c:pt idx="57">
                  <c:v>2.8783352569760332</c:v>
                </c:pt>
                <c:pt idx="58">
                  <c:v>2.8306990789148285</c:v>
                </c:pt>
                <c:pt idx="59">
                  <c:v>2.7830983417575599</c:v>
                </c:pt>
                <c:pt idx="60">
                  <c:v>2.7355585244899343</c:v>
                </c:pt>
                <c:pt idx="61">
                  <c:v>2.6881926752696725</c:v>
                </c:pt>
                <c:pt idx="62">
                  <c:v>2.640919663878234</c:v>
                </c:pt>
                <c:pt idx="63">
                  <c:v>2.5937823335498931</c:v>
                </c:pt>
                <c:pt idx="64">
                  <c:v>2.5467948875205457</c:v>
                </c:pt>
                <c:pt idx="65">
                  <c:v>2.5</c:v>
                </c:pt>
                <c:pt idx="66">
                  <c:v>2.4534231086573426</c:v>
                </c:pt>
                <c:pt idx="67">
                  <c:v>2.4071097051883732</c:v>
                </c:pt>
                <c:pt idx="68">
                  <c:v>2.3610597983849688</c:v>
                </c:pt>
                <c:pt idx="69">
                  <c:v>2.3153209265364421</c:v>
                </c:pt>
                <c:pt idx="70">
                  <c:v>2.2699227388135084</c:v>
                </c:pt>
                <c:pt idx="71">
                  <c:v>2.2250126261925511</c:v>
                </c:pt>
                <c:pt idx="72">
                  <c:v>2.1805094255569903</c:v>
                </c:pt>
                <c:pt idx="73">
                  <c:v>2.1364591744984507</c:v>
                </c:pt>
                <c:pt idx="74">
                  <c:v>2.0928711386060899</c:v>
                </c:pt>
                <c:pt idx="75">
                  <c:v>2.0497819788882397</c:v>
                </c:pt>
                <c:pt idx="76">
                  <c:v>2.0071887326641407</c:v>
                </c:pt>
                <c:pt idx="77">
                  <c:v>1.965117055435172</c:v>
                </c:pt>
                <c:pt idx="78">
                  <c:v>1.923569152012601</c:v>
                </c:pt>
                <c:pt idx="79">
                  <c:v>1.8825986657522289</c:v>
                </c:pt>
                <c:pt idx="80">
                  <c:v>1.8421584478577204</c:v>
                </c:pt>
                <c:pt idx="81">
                  <c:v>1.8021898603836093</c:v>
                </c:pt>
                <c:pt idx="82">
                  <c:v>1.7627902158571485</c:v>
                </c:pt>
                <c:pt idx="83">
                  <c:v>1.7239537946443197</c:v>
                </c:pt>
                <c:pt idx="84">
                  <c:v>1.6857347394656079</c:v>
                </c:pt>
                <c:pt idx="85">
                  <c:v>1.6480971247377136</c:v>
                </c:pt>
                <c:pt idx="86">
                  <c:v>1.6110655487701555</c:v>
                </c:pt>
                <c:pt idx="87">
                  <c:v>1.5746620904152195</c:v>
                </c:pt>
                <c:pt idx="88">
                  <c:v>1.538858238555735</c:v>
                </c:pt>
                <c:pt idx="89">
                  <c:v>1.503692101141195</c:v>
                </c:pt>
                <c:pt idx="90">
                  <c:v>1.4691509720427374</c:v>
                </c:pt>
                <c:pt idx="91">
                  <c:v>1.4352426173874604</c:v>
                </c:pt>
                <c:pt idx="92">
                  <c:v>1.4019458276963819</c:v>
                </c:pt>
                <c:pt idx="93">
                  <c:v>1.3692870732096956</c:v>
                </c:pt>
                <c:pt idx="94">
                  <c:v>1.3372646692549996</c:v>
                </c:pt>
                <c:pt idx="95">
                  <c:v>1.3058736608792021</c:v>
                </c:pt>
                <c:pt idx="96">
                  <c:v>1.2750780371151222</c:v>
                </c:pt>
                <c:pt idx="97">
                  <c:v>1.2448930545541936</c:v>
                </c:pt>
                <c:pt idx="98">
                  <c:v>1.2153610923981744</c:v>
                </c:pt>
                <c:pt idx="99">
                  <c:v>1.1864083593928763</c:v>
                </c:pt>
                <c:pt idx="100">
                  <c:v>1.1580722743443752</c:v>
                </c:pt>
                <c:pt idx="101">
                  <c:v>1.1307497059369778</c:v>
                </c:pt>
                <c:pt idx="102">
                  <c:v>1.104007417969876</c:v>
                </c:pt>
                <c:pt idx="103">
                  <c:v>1.0778776611600067</c:v>
                </c:pt>
                <c:pt idx="104">
                  <c:v>1.0523303094183503</c:v>
                </c:pt>
                <c:pt idx="105">
                  <c:v>1.0273635200737321</c:v>
                </c:pt>
                <c:pt idx="106">
                  <c:v>1.0029737875020985</c:v>
                </c:pt>
                <c:pt idx="107">
                  <c:v>0.97912360978198798</c:v>
                </c:pt>
                <c:pt idx="108">
                  <c:v>0.9558377482104583</c:v>
                </c:pt>
                <c:pt idx="109">
                  <c:v>0.93307467688278323</c:v>
                </c:pt>
                <c:pt idx="110">
                  <c:v>0.9108566755264772</c:v>
                </c:pt>
                <c:pt idx="111">
                  <c:v>0.8890706833186709</c:v>
                </c:pt>
                <c:pt idx="112">
                  <c:v>0.86780274543185587</c:v>
                </c:pt>
                <c:pt idx="113">
                  <c:v>0.84703810757832487</c:v>
                </c:pt>
                <c:pt idx="114">
                  <c:v>0.82676048109105171</c:v>
                </c:pt>
                <c:pt idx="115">
                  <c:v>0.80695207346219966</c:v>
                </c:pt>
                <c:pt idx="116">
                  <c:v>0.78762910916780404</c:v>
                </c:pt>
                <c:pt idx="117">
                  <c:v>0.76880764999576878</c:v>
                </c:pt>
                <c:pt idx="118">
                  <c:v>0.75039521324516822</c:v>
                </c:pt>
                <c:pt idx="119">
                  <c:v>0.73247755283192795</c:v>
                </c:pt>
                <c:pt idx="120">
                  <c:v>0.71495907785919355</c:v>
                </c:pt>
                <c:pt idx="121">
                  <c:v>0.6979625550660794</c:v>
                </c:pt>
                <c:pt idx="122">
                  <c:v>0.68135294574915573</c:v>
                </c:pt>
                <c:pt idx="123">
                  <c:v>0.66517837790974899</c:v>
                </c:pt>
                <c:pt idx="124">
                  <c:v>0.64941223559302863</c:v>
                </c:pt>
                <c:pt idx="125">
                  <c:v>0.63398852612184664</c:v>
                </c:pt>
                <c:pt idx="126">
                  <c:v>0.61899254352530908</c:v>
                </c:pt>
                <c:pt idx="127">
                  <c:v>0.60435696137988026</c:v>
                </c:pt>
                <c:pt idx="128">
                  <c:v>0.59009005036117157</c:v>
                </c:pt>
                <c:pt idx="129">
                  <c:v>0.57619995576199956</c:v>
                </c:pt>
                <c:pt idx="130">
                  <c:v>0.56265530706425282</c:v>
                </c:pt>
                <c:pt idx="131">
                  <c:v>0.54934441843283521</c:v>
                </c:pt>
                <c:pt idx="132">
                  <c:v>0.53635194972146838</c:v>
                </c:pt>
                <c:pt idx="133">
                  <c:v>0.52372426141450312</c:v>
                </c:pt>
                <c:pt idx="134">
                  <c:v>0.51138760963435759</c:v>
                </c:pt>
                <c:pt idx="135">
                  <c:v>0.49938791675667887</c:v>
                </c:pt>
                <c:pt idx="136">
                  <c:v>0.4876496972212947</c:v>
                </c:pt>
                <c:pt idx="137">
                  <c:v>0.47625940938042849</c:v>
                </c:pt>
                <c:pt idx="138">
                  <c:v>0.46509940502104186</c:v>
                </c:pt>
                <c:pt idx="139">
                  <c:v>0.45425617993872341</c:v>
                </c:pt>
                <c:pt idx="140">
                  <c:v>0.44369316007217191</c:v>
                </c:pt>
                <c:pt idx="141">
                  <c:v>0.43345632557629776</c:v>
                </c:pt>
                <c:pt idx="142">
                  <c:v>0.42350852142713313</c:v>
                </c:pt>
                <c:pt idx="143">
                  <c:v>0.41376969785914769</c:v>
                </c:pt>
                <c:pt idx="144">
                  <c:v>0.40432728542804097</c:v>
                </c:pt>
                <c:pt idx="145">
                  <c:v>0.39510038681156751</c:v>
                </c:pt>
                <c:pt idx="146">
                  <c:v>0.38609183522811164</c:v>
                </c:pt>
                <c:pt idx="147">
                  <c:v>0.37730441374974572</c:v>
                </c:pt>
                <c:pt idx="148">
                  <c:v>0.368783749988422</c:v>
                </c:pt>
                <c:pt idx="149">
                  <c:v>0.36044688175634926</c:v>
                </c:pt>
                <c:pt idx="150">
                  <c:v>0.35229596579289829</c:v>
                </c:pt>
                <c:pt idx="151">
                  <c:v>0.3443764723409406</c:v>
                </c:pt>
                <c:pt idx="152">
                  <c:v>0.33664742256503044</c:v>
                </c:pt>
                <c:pt idx="153">
                  <c:v>0.3291108495413187</c:v>
                </c:pt>
                <c:pt idx="154">
                  <c:v>0.32176874567263608</c:v>
                </c:pt>
                <c:pt idx="155">
                  <c:v>0.31462306142529167</c:v>
                </c:pt>
                <c:pt idx="156">
                  <c:v>0.30763166785539997</c:v>
                </c:pt>
                <c:pt idx="157">
                  <c:v>0.30084020977049303</c:v>
                </c:pt>
                <c:pt idx="158">
                  <c:v>0.29420622670632085</c:v>
                </c:pt>
                <c:pt idx="159">
                  <c:v>0.28773113678774054</c:v>
                </c:pt>
                <c:pt idx="160">
                  <c:v>0.2814163300743649</c:v>
                </c:pt>
                <c:pt idx="161">
                  <c:v>0.27526316784155119</c:v>
                </c:pt>
                <c:pt idx="162">
                  <c:v>0.26927298187185406</c:v>
                </c:pt>
                <c:pt idx="163">
                  <c:v>0.26344707375760218</c:v>
                </c:pt>
                <c:pt idx="164">
                  <c:v>0.25774173661497607</c:v>
                </c:pt>
                <c:pt idx="165">
                  <c:v>0.25215789423706925</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651A-4D5D-9632-3F6AB9A3017E}"/>
            </c:ext>
          </c:extLst>
        </c:ser>
        <c:dLbls>
          <c:showLegendKey val="0"/>
          <c:showVal val="0"/>
          <c:showCatName val="0"/>
          <c:showSerName val="0"/>
          <c:showPercent val="0"/>
          <c:showBubbleSize val="0"/>
        </c:dLbls>
        <c:axId val="113181056"/>
        <c:axId val="113182976"/>
      </c:scatterChart>
      <c:valAx>
        <c:axId val="113181056"/>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nextTo"/>
        <c:crossAx val="113182976"/>
        <c:crosses val="autoZero"/>
        <c:crossBetween val="midCat"/>
      </c:valAx>
      <c:valAx>
        <c:axId val="113182976"/>
        <c:scaling>
          <c:orientation val="minMax"/>
        </c:scaling>
        <c:delete val="0"/>
        <c:axPos val="l"/>
        <c:majorGridlines/>
        <c:title>
          <c:tx>
            <c:rich>
              <a:bodyPr/>
              <a:lstStyle/>
              <a:p>
                <a:pPr>
                  <a:defRPr sz="1050"/>
                </a:pPr>
                <a:r>
                  <a:rPr lang="en-US" sz="1050"/>
                  <a:t>Thermistor Vsense in Vdc</a:t>
                </a:r>
              </a:p>
            </c:rich>
          </c:tx>
          <c:overlay val="0"/>
        </c:title>
        <c:numFmt formatCode="0.00" sourceLinked="0"/>
        <c:majorTickMark val="none"/>
        <c:minorTickMark val="none"/>
        <c:tickLblPos val="low"/>
        <c:crossAx val="11318105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Sensitivity  for</a:t>
            </a:r>
            <a:r>
              <a:rPr lang="en-US" sz="1400" baseline="0"/>
              <a:t> r</a:t>
            </a:r>
            <a:r>
              <a:rPr lang="en-US" sz="1400"/>
              <a:t>esistance per °C</a:t>
            </a:r>
          </a:p>
        </c:rich>
      </c:tx>
      <c:overlay val="0"/>
    </c:title>
    <c:autoTitleDeleted val="0"/>
    <c:plotArea>
      <c:layout/>
      <c:scatterChart>
        <c:scatterStyle val="lineMarker"/>
        <c:varyColors val="0"/>
        <c:ser>
          <c:idx val="0"/>
          <c:order val="0"/>
          <c:tx>
            <c:strRef>
              <c:f>'NTC Thermistor Comparison'!$B$26</c:f>
              <c:strCache>
                <c:ptCount val="1"/>
                <c:pt idx="0">
                  <c:v>TMP6131DECR</c:v>
                </c:pt>
              </c:strCache>
            </c:strRef>
          </c:tx>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Comparison'!$H$33:$H$248</c:f>
              <c:numCache>
                <c:formatCode>0</c:formatCode>
                <c:ptCount val="216"/>
                <c:pt idx="1">
                  <c:v>43.46002324703386</c:v>
                </c:pt>
                <c:pt idx="2">
                  <c:v>43.761773479694966</c:v>
                </c:pt>
                <c:pt idx="3">
                  <c:v>44.063474380015577</c:v>
                </c:pt>
                <c:pt idx="4">
                  <c:v>44.365134691081948</c:v>
                </c:pt>
                <c:pt idx="5">
                  <c:v>44.666763155985791</c:v>
                </c:pt>
                <c:pt idx="6">
                  <c:v>44.968368517826093</c:v>
                </c:pt>
                <c:pt idx="7">
                  <c:v>45.26995951968911</c:v>
                </c:pt>
                <c:pt idx="8">
                  <c:v>45.571544904668372</c:v>
                </c:pt>
                <c:pt idx="9">
                  <c:v>45.873133415858319</c:v>
                </c:pt>
                <c:pt idx="10">
                  <c:v>46.174733796350665</c:v>
                </c:pt>
                <c:pt idx="11">
                  <c:v>46.476354789235302</c:v>
                </c:pt>
                <c:pt idx="12">
                  <c:v>46.77800513760576</c:v>
                </c:pt>
                <c:pt idx="13">
                  <c:v>47.079693584560118</c:v>
                </c:pt>
                <c:pt idx="14">
                  <c:v>47.381428873179175</c:v>
                </c:pt>
                <c:pt idx="15">
                  <c:v>47.683219746563736</c:v>
                </c:pt>
                <c:pt idx="16">
                  <c:v>47.985074947805515</c:v>
                </c:pt>
                <c:pt idx="17">
                  <c:v>48.287003219995313</c:v>
                </c:pt>
                <c:pt idx="18">
                  <c:v>48.589013306223933</c:v>
                </c:pt>
                <c:pt idx="19">
                  <c:v>48.891113949586725</c:v>
                </c:pt>
                <c:pt idx="20">
                  <c:v>49.193313893173581</c:v>
                </c:pt>
                <c:pt idx="21">
                  <c:v>49.495621880078943</c:v>
                </c:pt>
                <c:pt idx="22">
                  <c:v>49.798046653395431</c:v>
                </c:pt>
                <c:pt idx="23">
                  <c:v>50.100596956210211</c:v>
                </c:pt>
                <c:pt idx="24">
                  <c:v>50.403281531623179</c:v>
                </c:pt>
                <c:pt idx="25">
                  <c:v>50.7061091227215</c:v>
                </c:pt>
                <c:pt idx="26">
                  <c:v>51.009088472598705</c:v>
                </c:pt>
                <c:pt idx="27">
                  <c:v>51.312228324349235</c:v>
                </c:pt>
                <c:pt idx="28">
                  <c:v>51.615537421061163</c:v>
                </c:pt>
                <c:pt idx="29">
                  <c:v>51.919024505832567</c:v>
                </c:pt>
                <c:pt idx="30">
                  <c:v>52.222698321750613</c:v>
                </c:pt>
                <c:pt idx="31">
                  <c:v>52.526567611907922</c:v>
                </c:pt>
                <c:pt idx="32">
                  <c:v>52.830641119401662</c:v>
                </c:pt>
                <c:pt idx="33">
                  <c:v>53.134927587318089</c:v>
                </c:pt>
                <c:pt idx="34">
                  <c:v>53.439435758757099</c:v>
                </c:pt>
                <c:pt idx="35">
                  <c:v>53.744174376801311</c:v>
                </c:pt>
                <c:pt idx="36">
                  <c:v>54.049152184554259</c:v>
                </c:pt>
                <c:pt idx="37">
                  <c:v>54.354377925094013</c:v>
                </c:pt>
                <c:pt idx="38">
                  <c:v>54.659860341525928</c:v>
                </c:pt>
                <c:pt idx="39">
                  <c:v>54.965608176940805</c:v>
                </c:pt>
                <c:pt idx="40">
                  <c:v>55.271630174420352</c:v>
                </c:pt>
                <c:pt idx="41">
                  <c:v>55.577935077069924</c:v>
                </c:pt>
                <c:pt idx="42">
                  <c:v>55.884531627974866</c:v>
                </c:pt>
                <c:pt idx="43">
                  <c:v>56.19142857022598</c:v>
                </c:pt>
                <c:pt idx="44">
                  <c:v>56.498634646923165</c:v>
                </c:pt>
                <c:pt idx="45">
                  <c:v>56.806158601153584</c:v>
                </c:pt>
                <c:pt idx="46">
                  <c:v>57.114009176004402</c:v>
                </c:pt>
                <c:pt idx="47">
                  <c:v>57.422195114579154</c:v>
                </c:pt>
                <c:pt idx="48">
                  <c:v>57.730725159965004</c:v>
                </c:pt>
                <c:pt idx="49">
                  <c:v>58.039608055252756</c:v>
                </c:pt>
                <c:pt idx="50">
                  <c:v>58.348852543533212</c:v>
                </c:pt>
                <c:pt idx="51">
                  <c:v>58.658467367906269</c:v>
                </c:pt>
                <c:pt idx="52">
                  <c:v>58.968461271457272</c:v>
                </c:pt>
                <c:pt idx="53">
                  <c:v>59.278842997277025</c:v>
                </c:pt>
                <c:pt idx="54">
                  <c:v>59.589621288469061</c:v>
                </c:pt>
                <c:pt idx="55">
                  <c:v>59.90080488811509</c:v>
                </c:pt>
                <c:pt idx="56">
                  <c:v>60.212402539309551</c:v>
                </c:pt>
                <c:pt idx="57">
                  <c:v>60.524422985145065</c:v>
                </c:pt>
                <c:pt idx="58">
                  <c:v>60.836874968717893</c:v>
                </c:pt>
                <c:pt idx="59">
                  <c:v>61.149767233117018</c:v>
                </c:pt>
                <c:pt idx="60">
                  <c:v>61.463108521433242</c:v>
                </c:pt>
                <c:pt idx="61">
                  <c:v>61.776907576761005</c:v>
                </c:pt>
                <c:pt idx="62">
                  <c:v>62.091173142192929</c:v>
                </c:pt>
                <c:pt idx="63">
                  <c:v>62.405913960819817</c:v>
                </c:pt>
                <c:pt idx="64">
                  <c:v>62.721138775736108</c:v>
                </c:pt>
                <c:pt idx="65">
                  <c:v>63.036856330038063</c:v>
                </c:pt>
                <c:pt idx="66">
                  <c:v>63.353075366803751</c:v>
                </c:pt>
                <c:pt idx="67">
                  <c:v>63.669804629138525</c:v>
                </c:pt>
                <c:pt idx="68">
                  <c:v>63.987052860135009</c:v>
                </c:pt>
                <c:pt idx="69">
                  <c:v>64.304828802873089</c:v>
                </c:pt>
                <c:pt idx="70">
                  <c:v>64.62314120046176</c:v>
                </c:pt>
                <c:pt idx="71">
                  <c:v>64.941998795980908</c:v>
                </c:pt>
                <c:pt idx="72">
                  <c:v>65.261410332528612</c:v>
                </c:pt>
                <c:pt idx="73">
                  <c:v>65.581384553197495</c:v>
                </c:pt>
                <c:pt idx="74">
                  <c:v>65.901930201072901</c:v>
                </c:pt>
                <c:pt idx="75">
                  <c:v>66.223056019258365</c:v>
                </c:pt>
                <c:pt idx="76">
                  <c:v>66.544770750835596</c:v>
                </c:pt>
                <c:pt idx="77">
                  <c:v>66.867083138904491</c:v>
                </c:pt>
                <c:pt idx="78">
                  <c:v>67.190001926554032</c:v>
                </c:pt>
                <c:pt idx="79">
                  <c:v>67.513535856873204</c:v>
                </c:pt>
                <c:pt idx="80">
                  <c:v>67.837693672967362</c:v>
                </c:pt>
                <c:pt idx="81">
                  <c:v>68.162484117910935</c:v>
                </c:pt>
                <c:pt idx="82">
                  <c:v>68.487915934805642</c:v>
                </c:pt>
                <c:pt idx="83">
                  <c:v>68.81399786674956</c:v>
                </c:pt>
                <c:pt idx="84">
                  <c:v>69.140738656824396</c:v>
                </c:pt>
                <c:pt idx="85">
                  <c:v>69.468147048126411</c:v>
                </c:pt>
                <c:pt idx="86">
                  <c:v>69.796231783750045</c:v>
                </c:pt>
                <c:pt idx="87">
                  <c:v>70.1250016067861</c:v>
                </c:pt>
                <c:pt idx="88">
                  <c:v>70.45446526032174</c:v>
                </c:pt>
                <c:pt idx="89">
                  <c:v>70.784631487460501</c:v>
                </c:pt>
                <c:pt idx="90">
                  <c:v>71.11550903128591</c:v>
                </c:pt>
                <c:pt idx="91">
                  <c:v>71.447106634896045</c:v>
                </c:pt>
                <c:pt idx="92">
                  <c:v>71.779433041374432</c:v>
                </c:pt>
                <c:pt idx="93">
                  <c:v>72.112496993824607</c:v>
                </c:pt>
                <c:pt idx="94">
                  <c:v>72.446307235331915</c:v>
                </c:pt>
                <c:pt idx="95">
                  <c:v>72.780872508987159</c:v>
                </c:pt>
                <c:pt idx="96">
                  <c:v>73.116201557886598</c:v>
                </c:pt>
                <c:pt idx="97">
                  <c:v>73.45230312512831</c:v>
                </c:pt>
                <c:pt idx="98">
                  <c:v>73.789185953788547</c:v>
                </c:pt>
                <c:pt idx="99">
                  <c:v>74.126858786974481</c:v>
                </c:pt>
                <c:pt idx="100">
                  <c:v>74.465330367773277</c:v>
                </c:pt>
                <c:pt idx="101">
                  <c:v>74.804609439277556</c:v>
                </c:pt>
                <c:pt idx="102">
                  <c:v>75.144704744576302</c:v>
                </c:pt>
                <c:pt idx="103">
                  <c:v>75.485625026767593</c:v>
                </c:pt>
                <c:pt idx="104">
                  <c:v>75.827379028938594</c:v>
                </c:pt>
                <c:pt idx="105">
                  <c:v>76.169975494185564</c:v>
                </c:pt>
                <c:pt idx="106">
                  <c:v>76.513423165599306</c:v>
                </c:pt>
                <c:pt idx="107">
                  <c:v>76.857730786270622</c:v>
                </c:pt>
                <c:pt idx="108">
                  <c:v>77.202907099295771</c:v>
                </c:pt>
                <c:pt idx="109">
                  <c:v>77.548960847763738</c:v>
                </c:pt>
                <c:pt idx="110">
                  <c:v>77.895900774768961</c:v>
                </c:pt>
                <c:pt idx="111">
                  <c:v>78.243735623400426</c:v>
                </c:pt>
                <c:pt idx="112">
                  <c:v>78.59247413675439</c:v>
                </c:pt>
                <c:pt idx="113">
                  <c:v>78.942125057919839</c:v>
                </c:pt>
                <c:pt idx="114">
                  <c:v>79.292697129994849</c:v>
                </c:pt>
                <c:pt idx="115">
                  <c:v>79.644199096066586</c:v>
                </c:pt>
                <c:pt idx="116">
                  <c:v>79.996639699224033</c:v>
                </c:pt>
                <c:pt idx="117">
                  <c:v>80.350027682565269</c:v>
                </c:pt>
                <c:pt idx="118">
                  <c:v>80.704371789186553</c:v>
                </c:pt>
                <c:pt idx="119">
                  <c:v>81.059680762167773</c:v>
                </c:pt>
                <c:pt idx="120">
                  <c:v>81.41596334461974</c:v>
                </c:pt>
                <c:pt idx="121">
                  <c:v>81.773228279615068</c:v>
                </c:pt>
                <c:pt idx="122">
                  <c:v>82.131484310251835</c:v>
                </c:pt>
                <c:pt idx="123">
                  <c:v>82.490740179631757</c:v>
                </c:pt>
                <c:pt idx="124">
                  <c:v>82.851004630838361</c:v>
                </c:pt>
                <c:pt idx="125">
                  <c:v>83.212286406971543</c:v>
                </c:pt>
                <c:pt idx="126">
                  <c:v>83.574594251109374</c:v>
                </c:pt>
                <c:pt idx="127">
                  <c:v>83.937936906357208</c:v>
                </c:pt>
                <c:pt idx="128">
                  <c:v>84.30232311580221</c:v>
                </c:pt>
                <c:pt idx="129">
                  <c:v>84.667761622544276</c:v>
                </c:pt>
                <c:pt idx="130">
                  <c:v>85.034261169663296</c:v>
                </c:pt>
                <c:pt idx="131">
                  <c:v>85.401830500255528</c:v>
                </c:pt>
                <c:pt idx="132">
                  <c:v>85.770478357422689</c:v>
                </c:pt>
                <c:pt idx="133">
                  <c:v>86.140213484244669</c:v>
                </c:pt>
                <c:pt idx="134">
                  <c:v>86.511044623821363</c:v>
                </c:pt>
                <c:pt idx="135">
                  <c:v>86.882980519239936</c:v>
                </c:pt>
                <c:pt idx="136">
                  <c:v>87.256029913602106</c:v>
                </c:pt>
                <c:pt idx="137">
                  <c:v>87.630201549984122</c:v>
                </c:pt>
                <c:pt idx="138">
                  <c:v>88.005504171498615</c:v>
                </c:pt>
                <c:pt idx="139">
                  <c:v>88.381946521221835</c:v>
                </c:pt>
                <c:pt idx="140">
                  <c:v>88.759537342248223</c:v>
                </c:pt>
                <c:pt idx="141">
                  <c:v>89.138285377681314</c:v>
                </c:pt>
                <c:pt idx="142">
                  <c:v>89.518199370597358</c:v>
                </c:pt>
                <c:pt idx="143">
                  <c:v>89.89928806410353</c:v>
                </c:pt>
                <c:pt idx="144">
                  <c:v>90.281560201285174</c:v>
                </c:pt>
                <c:pt idx="145">
                  <c:v>90.665024525229455</c:v>
                </c:pt>
                <c:pt idx="146">
                  <c:v>91.04968977903809</c:v>
                </c:pt>
                <c:pt idx="147">
                  <c:v>91.43556470580188</c:v>
                </c:pt>
                <c:pt idx="148">
                  <c:v>91.822658048606172</c:v>
                </c:pt>
                <c:pt idx="149">
                  <c:v>92.210978550552682</c:v>
                </c:pt>
                <c:pt idx="150">
                  <c:v>92.600534954726754</c:v>
                </c:pt>
                <c:pt idx="151">
                  <c:v>92.991336004219193</c:v>
                </c:pt>
                <c:pt idx="152">
                  <c:v>93.383390442133532</c:v>
                </c:pt>
                <c:pt idx="153">
                  <c:v>93.77670701155148</c:v>
                </c:pt>
                <c:pt idx="154">
                  <c:v>94.171294455569296</c:v>
                </c:pt>
                <c:pt idx="155">
                  <c:v>94.567161517279601</c:v>
                </c:pt>
                <c:pt idx="156">
                  <c:v>94.964316939771379</c:v>
                </c:pt>
                <c:pt idx="157">
                  <c:v>95.36276946614089</c:v>
                </c:pt>
                <c:pt idx="158">
                  <c:v>95.762527839484392</c:v>
                </c:pt>
                <c:pt idx="159">
                  <c:v>96.163600802876317</c:v>
                </c:pt>
                <c:pt idx="160">
                  <c:v>96.565997099431115</c:v>
                </c:pt>
                <c:pt idx="161">
                  <c:v>96.969725472234131</c:v>
                </c:pt>
                <c:pt idx="162">
                  <c:v>97.374794664367073</c:v>
                </c:pt>
                <c:pt idx="163">
                  <c:v>97.781213418929838</c:v>
                </c:pt>
                <c:pt idx="164">
                  <c:v>98.188990479033237</c:v>
                </c:pt>
                <c:pt idx="165">
                  <c:v>98.598134587726236</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6001-44F1-ACD8-9CE0A2F86BB2}"/>
            </c:ext>
          </c:extLst>
        </c:ser>
        <c:ser>
          <c:idx val="1"/>
          <c:order val="1"/>
          <c:tx>
            <c:v>NTC</c:v>
          </c:tx>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Comparison'!$T$33:$T$248</c:f>
              <c:numCache>
                <c:formatCode>0</c:formatCode>
                <c:ptCount val="216"/>
                <c:pt idx="1">
                  <c:v>10734.899999999994</c:v>
                </c:pt>
                <c:pt idx="2">
                  <c:v>10071.899999999994</c:v>
                </c:pt>
                <c:pt idx="3">
                  <c:v>9454.2000000000116</c:v>
                </c:pt>
                <c:pt idx="4">
                  <c:v>8878.5</c:v>
                </c:pt>
                <c:pt idx="5">
                  <c:v>8341.5</c:v>
                </c:pt>
                <c:pt idx="6">
                  <c:v>7840.6000000000058</c:v>
                </c:pt>
                <c:pt idx="7">
                  <c:v>7372.7999999999884</c:v>
                </c:pt>
                <c:pt idx="8">
                  <c:v>6936.1000000000058</c:v>
                </c:pt>
                <c:pt idx="9">
                  <c:v>6527.8999999999942</c:v>
                </c:pt>
                <c:pt idx="10">
                  <c:v>6146.5</c:v>
                </c:pt>
                <c:pt idx="11">
                  <c:v>5782.2000000000116</c:v>
                </c:pt>
                <c:pt idx="12">
                  <c:v>5449.3999999999942</c:v>
                </c:pt>
                <c:pt idx="13">
                  <c:v>5137.8999999999942</c:v>
                </c:pt>
                <c:pt idx="14">
                  <c:v>4846.1000000000058</c:v>
                </c:pt>
                <c:pt idx="15">
                  <c:v>4572.6999999999971</c:v>
                </c:pt>
                <c:pt idx="16">
                  <c:v>4316.4000000000087</c:v>
                </c:pt>
                <c:pt idx="17">
                  <c:v>4076.0999999999913</c:v>
                </c:pt>
                <c:pt idx="18">
                  <c:v>3850.6000000000058</c:v>
                </c:pt>
                <c:pt idx="19">
                  <c:v>3638.8999999999942</c:v>
                </c:pt>
                <c:pt idx="20">
                  <c:v>3440.1000000000058</c:v>
                </c:pt>
                <c:pt idx="21">
                  <c:v>3246</c:v>
                </c:pt>
                <c:pt idx="22">
                  <c:v>3071.6999999999971</c:v>
                </c:pt>
                <c:pt idx="23">
                  <c:v>2907.6999999999971</c:v>
                </c:pt>
                <c:pt idx="24">
                  <c:v>2753.4000000000015</c:v>
                </c:pt>
                <c:pt idx="25">
                  <c:v>2608.3000000000029</c:v>
                </c:pt>
                <c:pt idx="26">
                  <c:v>2471.6999999999971</c:v>
                </c:pt>
                <c:pt idx="27">
                  <c:v>2343</c:v>
                </c:pt>
                <c:pt idx="28">
                  <c:v>2221.7000000000044</c:v>
                </c:pt>
                <c:pt idx="29">
                  <c:v>2107.3999999999942</c:v>
                </c:pt>
                <c:pt idx="30">
                  <c:v>1999.6000000000058</c:v>
                </c:pt>
                <c:pt idx="31">
                  <c:v>1906.5</c:v>
                </c:pt>
                <c:pt idx="32">
                  <c:v>1809.1999999999971</c:v>
                </c:pt>
                <c:pt idx="33">
                  <c:v>1717.5999999999985</c:v>
                </c:pt>
                <c:pt idx="34">
                  <c:v>1631.2000000000044</c:v>
                </c:pt>
                <c:pt idx="35">
                  <c:v>1549.5</c:v>
                </c:pt>
                <c:pt idx="36">
                  <c:v>1472.4999999999964</c:v>
                </c:pt>
                <c:pt idx="37">
                  <c:v>1399.7000000000007</c:v>
                </c:pt>
                <c:pt idx="38">
                  <c:v>1331</c:v>
                </c:pt>
                <c:pt idx="39">
                  <c:v>1265.9000000000015</c:v>
                </c:pt>
                <c:pt idx="40">
                  <c:v>1204.5</c:v>
                </c:pt>
                <c:pt idx="41">
                  <c:v>1142.5999999999985</c:v>
                </c:pt>
                <c:pt idx="42">
                  <c:v>1088.2999999999993</c:v>
                </c:pt>
                <c:pt idx="43">
                  <c:v>1036.7999999999993</c:v>
                </c:pt>
                <c:pt idx="44">
                  <c:v>988</c:v>
                </c:pt>
                <c:pt idx="45">
                  <c:v>941.80000000000291</c:v>
                </c:pt>
                <c:pt idx="46">
                  <c:v>898.09999999999854</c:v>
                </c:pt>
                <c:pt idx="47">
                  <c:v>856.40000000000146</c:v>
                </c:pt>
                <c:pt idx="48">
                  <c:v>817.09999999999854</c:v>
                </c:pt>
                <c:pt idx="49">
                  <c:v>779.70000000000073</c:v>
                </c:pt>
                <c:pt idx="50">
                  <c:v>744.29999999999927</c:v>
                </c:pt>
                <c:pt idx="51">
                  <c:v>711.59999999999854</c:v>
                </c:pt>
                <c:pt idx="52">
                  <c:v>679.5</c:v>
                </c:pt>
                <c:pt idx="53">
                  <c:v>648.80000000000109</c:v>
                </c:pt>
                <c:pt idx="54">
                  <c:v>619.80000000000109</c:v>
                </c:pt>
                <c:pt idx="55">
                  <c:v>592.29999999999927</c:v>
                </c:pt>
                <c:pt idx="56">
                  <c:v>566</c:v>
                </c:pt>
                <c:pt idx="57">
                  <c:v>541.10000000000036</c:v>
                </c:pt>
                <c:pt idx="58">
                  <c:v>517.5</c:v>
                </c:pt>
                <c:pt idx="59">
                  <c:v>494.89999999999964</c:v>
                </c:pt>
                <c:pt idx="60">
                  <c:v>473.5</c:v>
                </c:pt>
                <c:pt idx="61">
                  <c:v>452.39999999999964</c:v>
                </c:pt>
                <c:pt idx="62">
                  <c:v>433.39999999999964</c:v>
                </c:pt>
                <c:pt idx="63">
                  <c:v>415.20000000000073</c:v>
                </c:pt>
                <c:pt idx="64">
                  <c:v>398</c:v>
                </c:pt>
                <c:pt idx="65">
                  <c:v>381.5</c:v>
                </c:pt>
                <c:pt idx="66">
                  <c:v>365.79999999999927</c:v>
                </c:pt>
                <c:pt idx="67">
                  <c:v>350.70000000000073</c:v>
                </c:pt>
                <c:pt idx="68">
                  <c:v>336.5</c:v>
                </c:pt>
                <c:pt idx="69">
                  <c:v>322.79999999999927</c:v>
                </c:pt>
                <c:pt idx="70">
                  <c:v>309.70000000000073</c:v>
                </c:pt>
                <c:pt idx="71">
                  <c:v>296.39999999999964</c:v>
                </c:pt>
                <c:pt idx="72">
                  <c:v>284.40000000000055</c:v>
                </c:pt>
                <c:pt idx="73">
                  <c:v>272.80000000000018</c:v>
                </c:pt>
                <c:pt idx="74">
                  <c:v>261.79999999999927</c:v>
                </c:pt>
                <c:pt idx="75">
                  <c:v>251.20000000000073</c:v>
                </c:pt>
                <c:pt idx="76">
                  <c:v>241.19999999999982</c:v>
                </c:pt>
                <c:pt idx="77">
                  <c:v>231.59999999999945</c:v>
                </c:pt>
                <c:pt idx="78">
                  <c:v>222.5</c:v>
                </c:pt>
                <c:pt idx="79">
                  <c:v>213.60000000000036</c:v>
                </c:pt>
                <c:pt idx="80">
                  <c:v>205.39999999999964</c:v>
                </c:pt>
                <c:pt idx="81">
                  <c:v>197.90000000000055</c:v>
                </c:pt>
                <c:pt idx="82">
                  <c:v>190.30000000000018</c:v>
                </c:pt>
                <c:pt idx="83">
                  <c:v>183.09999999999945</c:v>
                </c:pt>
                <c:pt idx="84">
                  <c:v>176</c:v>
                </c:pt>
                <c:pt idx="85">
                  <c:v>169.40000000000055</c:v>
                </c:pt>
                <c:pt idx="86">
                  <c:v>163</c:v>
                </c:pt>
                <c:pt idx="87">
                  <c:v>156.79999999999927</c:v>
                </c:pt>
                <c:pt idx="88">
                  <c:v>151</c:v>
                </c:pt>
                <c:pt idx="89">
                  <c:v>145.30000000000018</c:v>
                </c:pt>
                <c:pt idx="90">
                  <c:v>139.90000000000055</c:v>
                </c:pt>
                <c:pt idx="91">
                  <c:v>134.69999999999982</c:v>
                </c:pt>
                <c:pt idx="92">
                  <c:v>129.79999999999973</c:v>
                </c:pt>
                <c:pt idx="93">
                  <c:v>125</c:v>
                </c:pt>
                <c:pt idx="94">
                  <c:v>120.40000000000009</c:v>
                </c:pt>
                <c:pt idx="95">
                  <c:v>116</c:v>
                </c:pt>
                <c:pt idx="96">
                  <c:v>111.90000000000009</c:v>
                </c:pt>
                <c:pt idx="97">
                  <c:v>107.90000000000009</c:v>
                </c:pt>
                <c:pt idx="98">
                  <c:v>103.89999999999964</c:v>
                </c:pt>
                <c:pt idx="99">
                  <c:v>100.30000000000018</c:v>
                </c:pt>
                <c:pt idx="100">
                  <c:v>96.699999999999818</c:v>
                </c:pt>
                <c:pt idx="101">
                  <c:v>91.900000000000091</c:v>
                </c:pt>
                <c:pt idx="102">
                  <c:v>88.700000000000273</c:v>
                </c:pt>
                <c:pt idx="103">
                  <c:v>85.5</c:v>
                </c:pt>
                <c:pt idx="104">
                  <c:v>82.5</c:v>
                </c:pt>
                <c:pt idx="105">
                  <c:v>79.599999999999909</c:v>
                </c:pt>
                <c:pt idx="106">
                  <c:v>76.799999999999727</c:v>
                </c:pt>
                <c:pt idx="107">
                  <c:v>74.200000000000273</c:v>
                </c:pt>
                <c:pt idx="108">
                  <c:v>71.599999999999909</c:v>
                </c:pt>
                <c:pt idx="109">
                  <c:v>69.199999999999818</c:v>
                </c:pt>
                <c:pt idx="110">
                  <c:v>66.800000000000182</c:v>
                </c:pt>
                <c:pt idx="111">
                  <c:v>64.800000000000182</c:v>
                </c:pt>
                <c:pt idx="112">
                  <c:v>62.599999999999909</c:v>
                </c:pt>
                <c:pt idx="113">
                  <c:v>60.5</c:v>
                </c:pt>
                <c:pt idx="114">
                  <c:v>58.5</c:v>
                </c:pt>
                <c:pt idx="115">
                  <c:v>56.599999999999909</c:v>
                </c:pt>
                <c:pt idx="116">
                  <c:v>54.700000000000045</c:v>
                </c:pt>
                <c:pt idx="117">
                  <c:v>52.799999999999955</c:v>
                </c:pt>
                <c:pt idx="118">
                  <c:v>51.200000000000045</c:v>
                </c:pt>
                <c:pt idx="119">
                  <c:v>49.399999999999864</c:v>
                </c:pt>
                <c:pt idx="120">
                  <c:v>47.900000000000091</c:v>
                </c:pt>
                <c:pt idx="121">
                  <c:v>46.099999999999909</c:v>
                </c:pt>
                <c:pt idx="122">
                  <c:v>44.700000000000045</c:v>
                </c:pt>
                <c:pt idx="123">
                  <c:v>43.200000000000045</c:v>
                </c:pt>
                <c:pt idx="124">
                  <c:v>41.799999999999955</c:v>
                </c:pt>
                <c:pt idx="125">
                  <c:v>40.600000000000136</c:v>
                </c:pt>
                <c:pt idx="126">
                  <c:v>39.199999999999818</c:v>
                </c:pt>
                <c:pt idx="127">
                  <c:v>38</c:v>
                </c:pt>
                <c:pt idx="128">
                  <c:v>36.800000000000182</c:v>
                </c:pt>
                <c:pt idx="129">
                  <c:v>35.599999999999909</c:v>
                </c:pt>
                <c:pt idx="130">
                  <c:v>34.5</c:v>
                </c:pt>
                <c:pt idx="131">
                  <c:v>33.700000000000045</c:v>
                </c:pt>
                <c:pt idx="132">
                  <c:v>32.700000000000045</c:v>
                </c:pt>
                <c:pt idx="133">
                  <c:v>31.599999999999909</c:v>
                </c:pt>
                <c:pt idx="134">
                  <c:v>30.700000000000045</c:v>
                </c:pt>
                <c:pt idx="135">
                  <c:v>29.700000000000045</c:v>
                </c:pt>
                <c:pt idx="136">
                  <c:v>28.899999999999864</c:v>
                </c:pt>
                <c:pt idx="137">
                  <c:v>27.900000000000091</c:v>
                </c:pt>
                <c:pt idx="138">
                  <c:v>27.200000000000045</c:v>
                </c:pt>
                <c:pt idx="139">
                  <c:v>26.299999999999955</c:v>
                </c:pt>
                <c:pt idx="140">
                  <c:v>25.5</c:v>
                </c:pt>
                <c:pt idx="141">
                  <c:v>24.599999999999909</c:v>
                </c:pt>
                <c:pt idx="142">
                  <c:v>23.800000000000068</c:v>
                </c:pt>
                <c:pt idx="143">
                  <c:v>23.199999999999932</c:v>
                </c:pt>
                <c:pt idx="144">
                  <c:v>22.400000000000091</c:v>
                </c:pt>
                <c:pt idx="145">
                  <c:v>21.799999999999955</c:v>
                </c:pt>
                <c:pt idx="146">
                  <c:v>21.200000000000045</c:v>
                </c:pt>
                <c:pt idx="147">
                  <c:v>20.599999999999909</c:v>
                </c:pt>
                <c:pt idx="148">
                  <c:v>19.900000000000091</c:v>
                </c:pt>
                <c:pt idx="149">
                  <c:v>19.399999999999977</c:v>
                </c:pt>
                <c:pt idx="150">
                  <c:v>18.899999999999977</c:v>
                </c:pt>
                <c:pt idx="151">
                  <c:v>18.299999999999955</c:v>
                </c:pt>
                <c:pt idx="152">
                  <c:v>17.800000000000068</c:v>
                </c:pt>
                <c:pt idx="153">
                  <c:v>17.299999999999955</c:v>
                </c:pt>
                <c:pt idx="154">
                  <c:v>16.800000000000068</c:v>
                </c:pt>
                <c:pt idx="155">
                  <c:v>16.299999999999955</c:v>
                </c:pt>
                <c:pt idx="156">
                  <c:v>15.899999999999977</c:v>
                </c:pt>
                <c:pt idx="157">
                  <c:v>15.399999999999977</c:v>
                </c:pt>
                <c:pt idx="158">
                  <c:v>15</c:v>
                </c:pt>
                <c:pt idx="159">
                  <c:v>14.600000000000023</c:v>
                </c:pt>
                <c:pt idx="160">
                  <c:v>14.200000000000045</c:v>
                </c:pt>
                <c:pt idx="161">
                  <c:v>13.799999999999955</c:v>
                </c:pt>
                <c:pt idx="162">
                  <c:v>13.399999999999977</c:v>
                </c:pt>
                <c:pt idx="163">
                  <c:v>13</c:v>
                </c:pt>
                <c:pt idx="164">
                  <c:v>12.700000000000045</c:v>
                </c:pt>
                <c:pt idx="165">
                  <c:v>12.399999999999977</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6001-44F1-ACD8-9CE0A2F86BB2}"/>
            </c:ext>
          </c:extLst>
        </c:ser>
        <c:dLbls>
          <c:showLegendKey val="0"/>
          <c:showVal val="0"/>
          <c:showCatName val="0"/>
          <c:showSerName val="0"/>
          <c:showPercent val="0"/>
          <c:showBubbleSize val="0"/>
        </c:dLbls>
        <c:axId val="505752576"/>
        <c:axId val="505758848"/>
      </c:scatterChart>
      <c:valAx>
        <c:axId val="505752576"/>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nextTo"/>
        <c:crossAx val="505758848"/>
        <c:crosses val="autoZero"/>
        <c:crossBetween val="midCat"/>
      </c:valAx>
      <c:valAx>
        <c:axId val="505758848"/>
        <c:scaling>
          <c:orientation val="minMax"/>
          <c:max val="2000"/>
        </c:scaling>
        <c:delete val="0"/>
        <c:axPos val="l"/>
        <c:majorGridlines/>
        <c:title>
          <c:tx>
            <c:rich>
              <a:bodyPr/>
              <a:lstStyle/>
              <a:p>
                <a:pPr>
                  <a:defRPr sz="1050"/>
                </a:pPr>
                <a:r>
                  <a:rPr lang="en-US" sz="1050"/>
                  <a:t>Resistance</a:t>
                </a:r>
                <a:r>
                  <a:rPr lang="en-US" sz="1050" baseline="0"/>
                  <a:t> in </a:t>
                </a:r>
                <a:r>
                  <a:rPr lang="el-GR" sz="1050" baseline="0"/>
                  <a:t>(Ω)</a:t>
                </a:r>
                <a:endParaRPr lang="en-US" sz="1050"/>
              </a:p>
            </c:rich>
          </c:tx>
          <c:overlay val="0"/>
        </c:title>
        <c:numFmt formatCode="0" sourceLinked="0"/>
        <c:majorTickMark val="none"/>
        <c:minorTickMark val="none"/>
        <c:tickLblPos val="low"/>
        <c:crossAx val="5057525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Power in milli-watts</a:t>
            </a:r>
            <a:r>
              <a:rPr lang="en-US" sz="1400" baseline="0"/>
              <a:t> per</a:t>
            </a:r>
            <a:r>
              <a:rPr lang="en-US" sz="1400"/>
              <a:t> °C</a:t>
            </a:r>
          </a:p>
        </c:rich>
      </c:tx>
      <c:overlay val="0"/>
    </c:title>
    <c:autoTitleDeleted val="0"/>
    <c:plotArea>
      <c:layout/>
      <c:scatterChart>
        <c:scatterStyle val="lineMarker"/>
        <c:varyColors val="0"/>
        <c:ser>
          <c:idx val="0"/>
          <c:order val="0"/>
          <c:tx>
            <c:strRef>
              <c:f>'NTC Thermistor Comparison'!$B$26</c:f>
              <c:strCache>
                <c:ptCount val="1"/>
                <c:pt idx="0">
                  <c:v>TMP6131DECR</c:v>
                </c:pt>
              </c:strCache>
            </c:strRef>
          </c:tx>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Comparison'!$J$33:$J$248</c:f>
              <c:numCache>
                <c:formatCode>0.0000</c:formatCode>
                <c:ptCount val="216"/>
                <c:pt idx="0">
                  <c:v>1.5057126716206497</c:v>
                </c:pt>
                <c:pt idx="1">
                  <c:v>1.5017817094758137</c:v>
                </c:pt>
                <c:pt idx="2">
                  <c:v>1.4978441389984651</c:v>
                </c:pt>
                <c:pt idx="3">
                  <c:v>1.4939002294350241</c:v>
                </c:pt>
                <c:pt idx="4">
                  <c:v>1.4899502470745005</c:v>
                </c:pt>
                <c:pt idx="5">
                  <c:v>1.4859944552495765</c:v>
                </c:pt>
                <c:pt idx="6">
                  <c:v>1.482033114338509</c:v>
                </c:pt>
                <c:pt idx="7">
                  <c:v>1.4780664817678628</c:v>
                </c:pt>
                <c:pt idx="8">
                  <c:v>1.474094812016022</c:v>
                </c:pt>
                <c:pt idx="9">
                  <c:v>1.4701183566174825</c:v>
                </c:pt>
                <c:pt idx="10">
                  <c:v>1.4661373641678908</c:v>
                </c:pt>
                <c:pt idx="11">
                  <c:v>1.4621520803298191</c:v>
                </c:pt>
                <c:pt idx="12">
                  <c:v>1.4581627478392465</c:v>
                </c:pt>
                <c:pt idx="13">
                  <c:v>1.454169606512733</c:v>
                </c:pt>
                <c:pt idx="14">
                  <c:v>1.4501728932552689</c:v>
                </c:pt>
                <c:pt idx="15">
                  <c:v>1.4461728420687647</c:v>
                </c:pt>
                <c:pt idx="16">
                  <c:v>1.4421696840611886</c:v>
                </c:pt>
                <c:pt idx="17">
                  <c:v>1.4381636474563033</c:v>
                </c:pt>
                <c:pt idx="18">
                  <c:v>1.4341549576040054</c:v>
                </c:pt>
                <c:pt idx="19">
                  <c:v>1.430143836991234</c:v>
                </c:pt>
                <c:pt idx="20">
                  <c:v>1.4261305052534425</c:v>
                </c:pt>
                <c:pt idx="21">
                  <c:v>1.4221151791866042</c:v>
                </c:pt>
                <c:pt idx="22">
                  <c:v>1.4180980727597392</c:v>
                </c:pt>
                <c:pt idx="23">
                  <c:v>1.4140793971279455</c:v>
                </c:pt>
                <c:pt idx="24">
                  <c:v>1.4100593606459149</c:v>
                </c:pt>
                <c:pt idx="25">
                  <c:v>1.4060381688819152</c:v>
                </c:pt>
                <c:pt idx="26">
                  <c:v>1.4020160246322257</c:v>
                </c:pt>
                <c:pt idx="27">
                  <c:v>1.3979931279360045</c:v>
                </c:pt>
                <c:pt idx="28">
                  <c:v>1.3939696760905738</c:v>
                </c:pt>
                <c:pt idx="29">
                  <c:v>1.3899458636671114</c:v>
                </c:pt>
                <c:pt idx="30">
                  <c:v>1.3859218825267174</c:v>
                </c:pt>
                <c:pt idx="31">
                  <c:v>1.381897921836861</c:v>
                </c:pt>
                <c:pt idx="32">
                  <c:v>1.3778741680881752</c:v>
                </c:pt>
                <c:pt idx="33">
                  <c:v>1.3738508051115932</c:v>
                </c:pt>
                <c:pt idx="34">
                  <c:v>1.3698280140958088</c:v>
                </c:pt>
                <c:pt idx="35">
                  <c:v>1.3658059736050434</c:v>
                </c:pt>
                <c:pt idx="36">
                  <c:v>1.3617848595971132</c:v>
                </c:pt>
                <c:pt idx="37">
                  <c:v>1.3577648454417737</c:v>
                </c:pt>
                <c:pt idx="38">
                  <c:v>1.3537461019393311</c:v>
                </c:pt>
                <c:pt idx="39">
                  <c:v>1.3497287973395109</c:v>
                </c:pt>
                <c:pt idx="40">
                  <c:v>1.3457130973605644</c:v>
                </c:pt>
                <c:pt idx="41">
                  <c:v>1.341699165208601</c:v>
                </c:pt>
                <c:pt idx="42">
                  <c:v>1.3376871615971382</c:v>
                </c:pt>
                <c:pt idx="43">
                  <c:v>1.3336772447668539</c:v>
                </c:pt>
                <c:pt idx="44">
                  <c:v>1.3296695705055244</c:v>
                </c:pt>
                <c:pt idx="45">
                  <c:v>1.3256642921681459</c:v>
                </c:pt>
                <c:pt idx="46">
                  <c:v>1.32166156069722</c:v>
                </c:pt>
                <c:pt idx="47">
                  <c:v>1.3176615246431898</c:v>
                </c:pt>
                <c:pt idx="48">
                  <c:v>1.3136643301850277</c:v>
                </c:pt>
                <c:pt idx="49">
                  <c:v>1.3096701211509516</c:v>
                </c:pt>
                <c:pt idx="50">
                  <c:v>1.3056790390392621</c:v>
                </c:pt>
                <c:pt idx="51">
                  <c:v>1.3016912230392941</c:v>
                </c:pt>
                <c:pt idx="52">
                  <c:v>1.2977068100524694</c:v>
                </c:pt>
                <c:pt idx="53">
                  <c:v>1.2937259347134396</c:v>
                </c:pt>
                <c:pt idx="54">
                  <c:v>1.2897487294113126</c:v>
                </c:pt>
                <c:pt idx="55">
                  <c:v>1.2857753243109526</c:v>
                </c:pt>
                <c:pt idx="56">
                  <c:v>1.2818058473743419</c:v>
                </c:pt>
                <c:pt idx="57">
                  <c:v>1.2778404243819979</c:v>
                </c:pt>
                <c:pt idx="58">
                  <c:v>1.2738791789544341</c:v>
                </c:pt>
                <c:pt idx="59">
                  <c:v>1.2699222325736645</c:v>
                </c:pt>
                <c:pt idx="60">
                  <c:v>1.2659697046047307</c:v>
                </c:pt>
                <c:pt idx="61">
                  <c:v>1.2620217123172539</c:v>
                </c:pt>
                <c:pt idx="62">
                  <c:v>1.258078370907</c:v>
                </c:pt>
                <c:pt idx="63">
                  <c:v>1.2541397935174481</c:v>
                </c:pt>
                <c:pt idx="64">
                  <c:v>1.2502060912613637</c:v>
                </c:pt>
                <c:pt idx="65">
                  <c:v>1.2462773732423564</c:v>
                </c:pt>
                <c:pt idx="66">
                  <c:v>1.2423537465764274</c:v>
                </c:pt>
                <c:pt idx="67">
                  <c:v>1.2384353164134927</c:v>
                </c:pt>
                <c:pt idx="68">
                  <c:v>1.2345221859588753</c:v>
                </c:pt>
                <c:pt idx="69">
                  <c:v>1.2306144564947727</c:v>
                </c:pt>
                <c:pt idx="70">
                  <c:v>1.2267122274016693</c:v>
                </c:pt>
                <c:pt idx="71">
                  <c:v>1.2228155961797129</c:v>
                </c:pt>
                <c:pt idx="72">
                  <c:v>1.2189246584700346</c:v>
                </c:pt>
                <c:pt idx="73">
                  <c:v>1.2150395080760108</c:v>
                </c:pt>
                <c:pt idx="74">
                  <c:v>1.2111602369844634</c:v>
                </c:pt>
                <c:pt idx="75">
                  <c:v>1.2072869353867903</c:v>
                </c:pt>
                <c:pt idx="76">
                  <c:v>1.2034196917000231</c:v>
                </c:pt>
                <c:pt idx="77">
                  <c:v>1.1995585925878074</c:v>
                </c:pt>
                <c:pt idx="78">
                  <c:v>1.1957037229813003</c:v>
                </c:pt>
                <c:pt idx="79">
                  <c:v>1.1918551660999783</c:v>
                </c:pt>
                <c:pt idx="80">
                  <c:v>1.1880130034723577</c:v>
                </c:pt>
                <c:pt idx="81">
                  <c:v>1.1841773149566179</c:v>
                </c:pt>
                <c:pt idx="82">
                  <c:v>1.1803481787611245</c:v>
                </c:pt>
                <c:pt idx="83">
                  <c:v>1.1765256714648502</c:v>
                </c:pt>
                <c:pt idx="84">
                  <c:v>1.1727098680376893</c:v>
                </c:pt>
                <c:pt idx="85">
                  <c:v>1.1689008418606606</c:v>
                </c:pt>
                <c:pt idx="86">
                  <c:v>1.1650986647459975</c:v>
                </c:pt>
                <c:pt idx="87">
                  <c:v>1.161303406957122</c:v>
                </c:pt>
                <c:pt idx="88">
                  <c:v>1.157515137228498</c:v>
                </c:pt>
                <c:pt idx="89">
                  <c:v>1.1537339227853611</c:v>
                </c:pt>
                <c:pt idx="90">
                  <c:v>1.1499598293633249</c:v>
                </c:pt>
                <c:pt idx="91">
                  <c:v>1.1461929212278574</c:v>
                </c:pt>
                <c:pt idx="92">
                  <c:v>1.1424332611936294</c:v>
                </c:pt>
                <c:pt idx="93">
                  <c:v>1.1386809106437248</c:v>
                </c:pt>
                <c:pt idx="94">
                  <c:v>1.1349359295487205</c:v>
                </c:pt>
                <c:pt idx="95">
                  <c:v>1.1311983764856277</c:v>
                </c:pt>
                <c:pt idx="96">
                  <c:v>1.127468308656691</c:v>
                </c:pt>
                <c:pt idx="97">
                  <c:v>1.1237457819080514</c:v>
                </c:pt>
                <c:pt idx="98">
                  <c:v>1.120030850748259</c:v>
                </c:pt>
                <c:pt idx="99">
                  <c:v>1.1163235683666486</c:v>
                </c:pt>
                <c:pt idx="100">
                  <c:v>1.1126239866515621</c:v>
                </c:pt>
                <c:pt idx="101">
                  <c:v>1.1089321562084271</c:v>
                </c:pt>
                <c:pt idx="102">
                  <c:v>1.1052481263776845</c:v>
                </c:pt>
                <c:pt idx="103">
                  <c:v>1.1015719452525667</c:v>
                </c:pt>
                <c:pt idx="104">
                  <c:v>1.0979036596967222</c:v>
                </c:pt>
                <c:pt idx="105">
                  <c:v>1.094243315361688</c:v>
                </c:pt>
                <c:pt idx="106">
                  <c:v>1.0905909567042091</c:v>
                </c:pt>
                <c:pt idx="107">
                  <c:v>1.0869466270034027</c:v>
                </c:pt>
                <c:pt idx="108">
                  <c:v>1.0833103683777638</c:v>
                </c:pt>
                <c:pt idx="109">
                  <c:v>1.0796822218020208</c:v>
                </c:pt>
                <c:pt idx="110">
                  <c:v>1.0760622271238258</c:v>
                </c:pt>
                <c:pt idx="111">
                  <c:v>1.0724504230802958</c:v>
                </c:pt>
                <c:pt idx="112">
                  <c:v>1.0688468473143873</c:v>
                </c:pt>
                <c:pt idx="113">
                  <c:v>1.0652515363911188</c:v>
                </c:pt>
                <c:pt idx="114">
                  <c:v>1.0616645258136304</c:v>
                </c:pt>
                <c:pt idx="115">
                  <c:v>1.0580858500390857</c:v>
                </c:pt>
                <c:pt idx="116">
                  <c:v>1.0545155424944144</c:v>
                </c:pt>
                <c:pt idx="117">
                  <c:v>1.0509536355918927</c:v>
                </c:pt>
                <c:pt idx="118">
                  <c:v>1.0474001607445662</c:v>
                </c:pt>
                <c:pt idx="119">
                  <c:v>1.0438551483815131</c:v>
                </c:pt>
                <c:pt idx="120">
                  <c:v>1.0403186279629431</c:v>
                </c:pt>
                <c:pt idx="121">
                  <c:v>1.0367906279951453</c:v>
                </c:pt>
                <c:pt idx="122">
                  <c:v>1.0332711760452655</c:v>
                </c:pt>
                <c:pt idx="123">
                  <c:v>1.0297602987559307</c:v>
                </c:pt>
                <c:pt idx="124">
                  <c:v>1.0262580218597146</c:v>
                </c:pt>
                <c:pt idx="125">
                  <c:v>1.022764370193439</c:v>
                </c:pt>
                <c:pt idx="126">
                  <c:v>1.0192793677123217</c:v>
                </c:pt>
                <c:pt idx="127">
                  <c:v>1.0158030375039633</c:v>
                </c:pt>
                <c:pt idx="128">
                  <c:v>1.0123354018021742</c:v>
                </c:pt>
                <c:pt idx="129">
                  <c:v>1.0088764820006495</c:v>
                </c:pt>
                <c:pt idx="130">
                  <c:v>1.005426298666481</c:v>
                </c:pt>
                <c:pt idx="131">
                  <c:v>1.0019848715535167</c:v>
                </c:pt>
                <c:pt idx="132">
                  <c:v>0.99855221961556118</c:v>
                </c:pt>
                <c:pt idx="133">
                  <c:v>0.99512836101942403</c:v>
                </c:pt>
                <c:pt idx="134">
                  <c:v>0.99171331315781042</c:v>
                </c:pt>
                <c:pt idx="135">
                  <c:v>0.98830709266205874</c:v>
                </c:pt>
                <c:pt idx="136">
                  <c:v>0.98490971541472616</c:v>
                </c:pt>
                <c:pt idx="137">
                  <c:v>0.9815211965620203</c:v>
                </c:pt>
                <c:pt idx="138">
                  <c:v>0.97814155052607799</c:v>
                </c:pt>
                <c:pt idx="139">
                  <c:v>0.97477079101709563</c:v>
                </c:pt>
                <c:pt idx="140">
                  <c:v>0.9714089310453069</c:v>
                </c:pt>
                <c:pt idx="141">
                  <c:v>0.96805598293281325</c:v>
                </c:pt>
                <c:pt idx="142">
                  <c:v>0.96471195832526402</c:v>
                </c:pt>
                <c:pt idx="143">
                  <c:v>0.96137686820338986</c:v>
                </c:pt>
                <c:pt idx="144">
                  <c:v>0.95805072289438897</c:v>
                </c:pt>
                <c:pt idx="145">
                  <c:v>0.95473353208316913</c:v>
                </c:pt>
                <c:pt idx="146">
                  <c:v>0.9514253048234429</c:v>
                </c:pt>
                <c:pt idx="147">
                  <c:v>0.94812604954867918</c:v>
                </c:pt>
                <c:pt idx="148">
                  <c:v>0.94483577408291541</c:v>
                </c:pt>
                <c:pt idx="149">
                  <c:v>0.94155448565142219</c:v>
                </c:pt>
                <c:pt idx="150">
                  <c:v>0.93828219089123233</c:v>
                </c:pt>
                <c:pt idx="151">
                  <c:v>0.93501889586152742</c:v>
                </c:pt>
                <c:pt idx="152">
                  <c:v>0.93176460605388689</c:v>
                </c:pt>
                <c:pt idx="153">
                  <c:v>0.92851932640239931</c:v>
                </c:pt>
                <c:pt idx="154">
                  <c:v>0.92528306129363547</c:v>
                </c:pt>
                <c:pt idx="155">
                  <c:v>0.92205581457649044</c:v>
                </c:pt>
                <c:pt idx="156">
                  <c:v>0.91883758957188699</c:v>
                </c:pt>
                <c:pt idx="157">
                  <c:v>0.91562838908234678</c:v>
                </c:pt>
                <c:pt idx="158">
                  <c:v>0.91242821540143226</c:v>
                </c:pt>
                <c:pt idx="159">
                  <c:v>0.90923707032305479</c:v>
                </c:pt>
                <c:pt idx="160">
                  <c:v>0.90605495515065326</c:v>
                </c:pt>
                <c:pt idx="161">
                  <c:v>0.90288187070624659</c:v>
                </c:pt>
                <c:pt idx="162">
                  <c:v>0.89971781733935585</c:v>
                </c:pt>
                <c:pt idx="163">
                  <c:v>0.89656279493580271</c:v>
                </c:pt>
                <c:pt idx="164">
                  <c:v>0.89341680292637859</c:v>
                </c:pt>
                <c:pt idx="165">
                  <c:v>0.89027984029539886</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8F06-4495-816A-856DB5CD302D}"/>
            </c:ext>
          </c:extLst>
        </c:ser>
        <c:ser>
          <c:idx val="1"/>
          <c:order val="1"/>
          <c:tx>
            <c:v>NTC</c:v>
          </c:tx>
          <c:spPr>
            <a:ln>
              <a:solidFill>
                <a:srgbClr val="C00000"/>
              </a:solidFill>
            </a:ln>
          </c:spPr>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Comparison'!$U$33:$U$248</c:f>
              <c:numCache>
                <c:formatCode>0.0000</c:formatCode>
                <c:ptCount val="216"/>
                <c:pt idx="0">
                  <c:v>0.12156458483262989</c:v>
                </c:pt>
                <c:pt idx="1">
                  <c:v>0.12825965500204956</c:v>
                </c:pt>
                <c:pt idx="2">
                  <c:v>0.13524830506824084</c:v>
                </c:pt>
                <c:pt idx="3">
                  <c:v>0.14253867074137214</c:v>
                </c:pt>
                <c:pt idx="4">
                  <c:v>0.15013887846257787</c:v>
                </c:pt>
                <c:pt idx="5">
                  <c:v>0.15805678664230485</c:v>
                </c:pt>
                <c:pt idx="6">
                  <c:v>0.16630036240174975</c:v>
                </c:pt>
                <c:pt idx="7">
                  <c:v>0.17487702647498277</c:v>
                </c:pt>
                <c:pt idx="8">
                  <c:v>0.18379447366776577</c:v>
                </c:pt>
                <c:pt idx="9">
                  <c:v>0.19305973422624745</c:v>
                </c:pt>
                <c:pt idx="10">
                  <c:v>0.20268007922358935</c:v>
                </c:pt>
                <c:pt idx="11">
                  <c:v>0.21264850308212743</c:v>
                </c:pt>
                <c:pt idx="12">
                  <c:v>0.22298433312075494</c:v>
                </c:pt>
                <c:pt idx="13">
                  <c:v>0.23369378262365204</c:v>
                </c:pt>
                <c:pt idx="14">
                  <c:v>0.24478246182617505</c:v>
                </c:pt>
                <c:pt idx="15">
                  <c:v>0.2562557145024334</c:v>
                </c:pt>
                <c:pt idx="16">
                  <c:v>0.26811836675160655</c:v>
                </c:pt>
                <c:pt idx="17">
                  <c:v>0.28037498471956329</c:v>
                </c:pt>
                <c:pt idx="18">
                  <c:v>0.29302930175805858</c:v>
                </c:pt>
                <c:pt idx="19">
                  <c:v>0.30608446951888418</c:v>
                </c:pt>
                <c:pt idx="20">
                  <c:v>0.31954313001443052</c:v>
                </c:pt>
                <c:pt idx="21">
                  <c:v>0.33337467179263575</c:v>
                </c:pt>
                <c:pt idx="22">
                  <c:v>0.34761328717028878</c:v>
                </c:pt>
                <c:pt idx="23">
                  <c:v>0.36225951402161682</c:v>
                </c:pt>
                <c:pt idx="24">
                  <c:v>0.37731349771121636</c:v>
                </c:pt>
                <c:pt idx="25">
                  <c:v>0.39277544556446542</c:v>
                </c:pt>
                <c:pt idx="26">
                  <c:v>0.40864429802265195</c:v>
                </c:pt>
                <c:pt idx="27">
                  <c:v>0.42491786337700921</c:v>
                </c:pt>
                <c:pt idx="28">
                  <c:v>0.44159312669130169</c:v>
                </c:pt>
                <c:pt idx="29">
                  <c:v>0.45866678408536338</c:v>
                </c:pt>
                <c:pt idx="30">
                  <c:v>0.47613424700321111</c:v>
                </c:pt>
                <c:pt idx="31">
                  <c:v>0.49407407553799726</c:v>
                </c:pt>
                <c:pt idx="32">
                  <c:v>0.51239483096094529</c:v>
                </c:pt>
                <c:pt idx="33">
                  <c:v>0.53109113736353608</c:v>
                </c:pt>
                <c:pt idx="34">
                  <c:v>0.55015547393693476</c:v>
                </c:pt>
                <c:pt idx="35">
                  <c:v>0.56957728252400208</c:v>
                </c:pt>
                <c:pt idx="36">
                  <c:v>0.58934881670544581</c:v>
                </c:pt>
                <c:pt idx="37">
                  <c:v>0.60945880058508028</c:v>
                </c:pt>
                <c:pt idx="38">
                  <c:v>0.62989745269470143</c:v>
                </c:pt>
                <c:pt idx="39">
                  <c:v>0.65065025986971381</c:v>
                </c:pt>
                <c:pt idx="40">
                  <c:v>0.67170715717410101</c:v>
                </c:pt>
                <c:pt idx="41">
                  <c:v>0.69298148353476008</c:v>
                </c:pt>
                <c:pt idx="42">
                  <c:v>0.71453682294063359</c:v>
                </c:pt>
                <c:pt idx="43">
                  <c:v>0.73635750451387139</c:v>
                </c:pt>
                <c:pt idx="44">
                  <c:v>0.75842841497562419</c:v>
                </c:pt>
                <c:pt idx="45">
                  <c:v>0.78073520272570274</c:v>
                </c:pt>
                <c:pt idx="46">
                  <c:v>0.80326446679304697</c:v>
                </c:pt>
                <c:pt idx="47">
                  <c:v>0.82599300879517357</c:v>
                </c:pt>
                <c:pt idx="48">
                  <c:v>0.84891084738280798</c:v>
                </c:pt>
                <c:pt idx="49">
                  <c:v>0.87199771187800401</c:v>
                </c:pt>
                <c:pt idx="50">
                  <c:v>0.89523911836851611</c:v>
                </c:pt>
                <c:pt idx="51">
                  <c:v>0.91864819081425309</c:v>
                </c:pt>
                <c:pt idx="52">
                  <c:v>0.9421731789676796</c:v>
                </c:pt>
                <c:pt idx="53">
                  <c:v>0.96578792842352523</c:v>
                </c:pt>
                <c:pt idx="54">
                  <c:v>0.98947985023232976</c:v>
                </c:pt>
                <c:pt idx="55">
                  <c:v>1.0132328206375261</c:v>
                </c:pt>
                <c:pt idx="56">
                  <c:v>1.0370216737529814</c:v>
                </c:pt>
                <c:pt idx="57">
                  <c:v>1.060832371511983</c:v>
                </c:pt>
                <c:pt idx="58">
                  <c:v>1.0846504605425855</c:v>
                </c:pt>
                <c:pt idx="59">
                  <c:v>1.1084508291212203</c:v>
                </c:pt>
                <c:pt idx="60">
                  <c:v>1.1322207377550326</c:v>
                </c:pt>
                <c:pt idx="61">
                  <c:v>1.155903662365164</c:v>
                </c:pt>
                <c:pt idx="62">
                  <c:v>1.179540168060883</c:v>
                </c:pt>
                <c:pt idx="63">
                  <c:v>1.2031088332250537</c:v>
                </c:pt>
                <c:pt idx="64">
                  <c:v>1.2266025562397274</c:v>
                </c:pt>
                <c:pt idx="65">
                  <c:v>1.25</c:v>
                </c:pt>
                <c:pt idx="66">
                  <c:v>1.2732884456713285</c:v>
                </c:pt>
                <c:pt idx="67">
                  <c:v>1.296445147405813</c:v>
                </c:pt>
                <c:pt idx="68">
                  <c:v>1.3194701008075156</c:v>
                </c:pt>
                <c:pt idx="69">
                  <c:v>1.3423395367317792</c:v>
                </c:pt>
                <c:pt idx="70">
                  <c:v>1.365038630593246</c:v>
                </c:pt>
                <c:pt idx="71">
                  <c:v>1.3874936869037247</c:v>
                </c:pt>
                <c:pt idx="72">
                  <c:v>1.4097452872215051</c:v>
                </c:pt>
                <c:pt idx="73">
                  <c:v>1.4317704127507747</c:v>
                </c:pt>
                <c:pt idx="74">
                  <c:v>1.4535644306969551</c:v>
                </c:pt>
                <c:pt idx="75">
                  <c:v>1.47510901055588</c:v>
                </c:pt>
                <c:pt idx="76">
                  <c:v>1.4964056336679294</c:v>
                </c:pt>
                <c:pt idx="77">
                  <c:v>1.5174414722824141</c:v>
                </c:pt>
                <c:pt idx="78">
                  <c:v>1.5382154239936994</c:v>
                </c:pt>
                <c:pt idx="79">
                  <c:v>1.5587006671238854</c:v>
                </c:pt>
                <c:pt idx="80">
                  <c:v>1.5789207760711399</c:v>
                </c:pt>
                <c:pt idx="81">
                  <c:v>1.5989050698081955</c:v>
                </c:pt>
                <c:pt idx="82">
                  <c:v>1.6186048920714262</c:v>
                </c:pt>
                <c:pt idx="83">
                  <c:v>1.6380231026778402</c:v>
                </c:pt>
                <c:pt idx="84">
                  <c:v>1.6571326302671958</c:v>
                </c:pt>
                <c:pt idx="85">
                  <c:v>1.6759514376311433</c:v>
                </c:pt>
                <c:pt idx="86">
                  <c:v>1.694467225614922</c:v>
                </c:pt>
                <c:pt idx="87">
                  <c:v>1.7126689547923901</c:v>
                </c:pt>
                <c:pt idx="88">
                  <c:v>1.7305708807221327</c:v>
                </c:pt>
                <c:pt idx="89">
                  <c:v>1.7481539494294027</c:v>
                </c:pt>
                <c:pt idx="90">
                  <c:v>1.7654245139786315</c:v>
                </c:pt>
                <c:pt idx="91">
                  <c:v>1.7823786913062694</c:v>
                </c:pt>
                <c:pt idx="92">
                  <c:v>1.7990270861518094</c:v>
                </c:pt>
                <c:pt idx="93">
                  <c:v>1.815356463395152</c:v>
                </c:pt>
                <c:pt idx="94">
                  <c:v>1.8313676653725002</c:v>
                </c:pt>
                <c:pt idx="95">
                  <c:v>1.8470631695603987</c:v>
                </c:pt>
                <c:pt idx="96">
                  <c:v>1.8624609814424387</c:v>
                </c:pt>
                <c:pt idx="97">
                  <c:v>1.8775534727229031</c:v>
                </c:pt>
                <c:pt idx="98">
                  <c:v>1.8923194538009125</c:v>
                </c:pt>
                <c:pt idx="99">
                  <c:v>1.906795820303562</c:v>
                </c:pt>
                <c:pt idx="100">
                  <c:v>1.9209638628278125</c:v>
                </c:pt>
                <c:pt idx="101">
                  <c:v>1.934625147031511</c:v>
                </c:pt>
                <c:pt idx="102">
                  <c:v>1.9479962910150619</c:v>
                </c:pt>
                <c:pt idx="103">
                  <c:v>1.9610611694199964</c:v>
                </c:pt>
                <c:pt idx="104">
                  <c:v>1.9738348452908245</c:v>
                </c:pt>
                <c:pt idx="105">
                  <c:v>1.9863182399631336</c:v>
                </c:pt>
                <c:pt idx="106">
                  <c:v>1.9985131062489505</c:v>
                </c:pt>
                <c:pt idx="107">
                  <c:v>2.0104381951090056</c:v>
                </c:pt>
                <c:pt idx="108">
                  <c:v>2.0220811258947711</c:v>
                </c:pt>
                <c:pt idx="109">
                  <c:v>2.0334626615586084</c:v>
                </c:pt>
                <c:pt idx="110">
                  <c:v>2.0445716622367613</c:v>
                </c:pt>
                <c:pt idx="111">
                  <c:v>2.0554646583406644</c:v>
                </c:pt>
                <c:pt idx="112">
                  <c:v>2.066098627284072</c:v>
                </c:pt>
                <c:pt idx="113">
                  <c:v>2.0764809462108373</c:v>
                </c:pt>
                <c:pt idx="114">
                  <c:v>2.0866197594544742</c:v>
                </c:pt>
                <c:pt idx="115">
                  <c:v>2.0965239632688997</c:v>
                </c:pt>
                <c:pt idx="116">
                  <c:v>2.1061854454160982</c:v>
                </c:pt>
                <c:pt idx="117">
                  <c:v>2.1155961750021155</c:v>
                </c:pt>
                <c:pt idx="118">
                  <c:v>2.1248023933774158</c:v>
                </c:pt>
                <c:pt idx="119">
                  <c:v>2.1337612235840364</c:v>
                </c:pt>
                <c:pt idx="120">
                  <c:v>2.1425204610704029</c:v>
                </c:pt>
                <c:pt idx="121">
                  <c:v>2.1510187224669606</c:v>
                </c:pt>
                <c:pt idx="122">
                  <c:v>2.1593235271254221</c:v>
                </c:pt>
                <c:pt idx="123">
                  <c:v>2.1674108110451256</c:v>
                </c:pt>
                <c:pt idx="124">
                  <c:v>2.1752938822034857</c:v>
                </c:pt>
                <c:pt idx="125">
                  <c:v>2.1830057369390765</c:v>
                </c:pt>
                <c:pt idx="126">
                  <c:v>2.1905037282373452</c:v>
                </c:pt>
                <c:pt idx="127">
                  <c:v>2.1978215193100596</c:v>
                </c:pt>
                <c:pt idx="128">
                  <c:v>2.2049549748194144</c:v>
                </c:pt>
                <c:pt idx="129">
                  <c:v>2.2119000221190004</c:v>
                </c:pt>
                <c:pt idx="130">
                  <c:v>2.2186723464678741</c:v>
                </c:pt>
                <c:pt idx="131">
                  <c:v>2.2253277907835822</c:v>
                </c:pt>
                <c:pt idx="132">
                  <c:v>2.2318240251392658</c:v>
                </c:pt>
                <c:pt idx="133">
                  <c:v>2.2381378692927485</c:v>
                </c:pt>
                <c:pt idx="134">
                  <c:v>2.2443061951828209</c:v>
                </c:pt>
                <c:pt idx="135">
                  <c:v>2.2503060416216605</c:v>
                </c:pt>
                <c:pt idx="136">
                  <c:v>2.2561751513893524</c:v>
                </c:pt>
                <c:pt idx="137">
                  <c:v>2.2618702953097856</c:v>
                </c:pt>
                <c:pt idx="138">
                  <c:v>2.2674502974894786</c:v>
                </c:pt>
                <c:pt idx="139">
                  <c:v>2.2728719100306387</c:v>
                </c:pt>
                <c:pt idx="140">
                  <c:v>2.278153419963914</c:v>
                </c:pt>
                <c:pt idx="141">
                  <c:v>2.283271837211851</c:v>
                </c:pt>
                <c:pt idx="142">
                  <c:v>2.2882457392864337</c:v>
                </c:pt>
                <c:pt idx="143">
                  <c:v>2.2931151510704262</c:v>
                </c:pt>
                <c:pt idx="144">
                  <c:v>2.2978363572859797</c:v>
                </c:pt>
                <c:pt idx="145">
                  <c:v>2.3024498065942161</c:v>
                </c:pt>
                <c:pt idx="146">
                  <c:v>2.3069540823859445</c:v>
                </c:pt>
                <c:pt idx="147">
                  <c:v>2.3113477931251269</c:v>
                </c:pt>
                <c:pt idx="148">
                  <c:v>2.3156081250057894</c:v>
                </c:pt>
                <c:pt idx="149">
                  <c:v>2.3197765591218258</c:v>
                </c:pt>
                <c:pt idx="150">
                  <c:v>2.323852017103551</c:v>
                </c:pt>
                <c:pt idx="151">
                  <c:v>2.327811763829529</c:v>
                </c:pt>
                <c:pt idx="152">
                  <c:v>2.3316762887174849</c:v>
                </c:pt>
                <c:pt idx="153">
                  <c:v>2.3354445752293405</c:v>
                </c:pt>
                <c:pt idx="154">
                  <c:v>2.3391156271636824</c:v>
                </c:pt>
                <c:pt idx="155">
                  <c:v>2.3426884692873542</c:v>
                </c:pt>
                <c:pt idx="156">
                  <c:v>2.3461841660723</c:v>
                </c:pt>
                <c:pt idx="157">
                  <c:v>2.3495798951147533</c:v>
                </c:pt>
                <c:pt idx="158">
                  <c:v>2.3528968866468394</c:v>
                </c:pt>
                <c:pt idx="159">
                  <c:v>2.3561344316061295</c:v>
                </c:pt>
                <c:pt idx="160">
                  <c:v>2.3592918349628174</c:v>
                </c:pt>
                <c:pt idx="161">
                  <c:v>2.362368416079224</c:v>
                </c:pt>
                <c:pt idx="162">
                  <c:v>2.3653635090640726</c:v>
                </c:pt>
                <c:pt idx="163">
                  <c:v>2.368276463121199</c:v>
                </c:pt>
                <c:pt idx="164">
                  <c:v>2.3711291316925118</c:v>
                </c:pt>
                <c:pt idx="165">
                  <c:v>2.3739210528814656</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8F06-4495-816A-856DB5CD302D}"/>
            </c:ext>
          </c:extLst>
        </c:ser>
        <c:dLbls>
          <c:showLegendKey val="0"/>
          <c:showVal val="0"/>
          <c:showCatName val="0"/>
          <c:showSerName val="0"/>
          <c:showPercent val="0"/>
          <c:showBubbleSize val="0"/>
        </c:dLbls>
        <c:axId val="505874688"/>
        <c:axId val="505897344"/>
      </c:scatterChart>
      <c:valAx>
        <c:axId val="505874688"/>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nextTo"/>
        <c:crossAx val="505897344"/>
        <c:crosses val="autoZero"/>
        <c:crossBetween val="midCat"/>
      </c:valAx>
      <c:valAx>
        <c:axId val="505897344"/>
        <c:scaling>
          <c:orientation val="minMax"/>
        </c:scaling>
        <c:delete val="0"/>
        <c:axPos val="l"/>
        <c:majorGridlines/>
        <c:title>
          <c:tx>
            <c:rich>
              <a:bodyPr/>
              <a:lstStyle/>
              <a:p>
                <a:pPr>
                  <a:defRPr sz="1050"/>
                </a:pPr>
                <a:r>
                  <a:rPr lang="en-US" sz="1050"/>
                  <a:t>milli-watts</a:t>
                </a:r>
              </a:p>
            </c:rich>
          </c:tx>
          <c:overlay val="0"/>
        </c:title>
        <c:numFmt formatCode="0.0000" sourceLinked="0"/>
        <c:majorTickMark val="none"/>
        <c:minorTickMark val="none"/>
        <c:tickLblPos val="low"/>
        <c:crossAx val="50587468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Resistance tolerance vs temperature</a:t>
            </a:r>
          </a:p>
        </c:rich>
      </c:tx>
      <c:layout>
        <c:manualLayout>
          <c:xMode val="edge"/>
          <c:yMode val="edge"/>
          <c:x val="0.15047240887149799"/>
          <c:y val="2.533832191748522E-2"/>
        </c:manualLayout>
      </c:layout>
      <c:overlay val="0"/>
    </c:title>
    <c:autoTitleDeleted val="0"/>
    <c:plotArea>
      <c:layout/>
      <c:scatterChart>
        <c:scatterStyle val="lineMarker"/>
        <c:varyColors val="0"/>
        <c:ser>
          <c:idx val="3"/>
          <c:order val="0"/>
          <c:tx>
            <c:v>TI Thermistor Max High Tolerance</c:v>
          </c:tx>
          <c:spPr>
            <a:ln>
              <a:solidFill>
                <a:schemeClr val="accent1">
                  <a:lumMod val="75000"/>
                </a:schemeClr>
              </a:solidFill>
            </a:ln>
          </c:spPr>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Comparison'!$L$33:$L$248</c:f>
              <c:numCache>
                <c:formatCode>0.00</c:formatCode>
                <c:ptCount val="216"/>
                <c:pt idx="0">
                  <c:v>1.499999999999984</c:v>
                </c:pt>
                <c:pt idx="1">
                  <c:v>1.4999999999999851</c:v>
                </c:pt>
                <c:pt idx="2">
                  <c:v>1.4999999999999938</c:v>
                </c:pt>
                <c:pt idx="3">
                  <c:v>1.4999999999999862</c:v>
                </c:pt>
                <c:pt idx="4">
                  <c:v>1.4999999999999947</c:v>
                </c:pt>
                <c:pt idx="5">
                  <c:v>1.4999999999999967</c:v>
                </c:pt>
                <c:pt idx="6">
                  <c:v>1.4999999999999969</c:v>
                </c:pt>
                <c:pt idx="7">
                  <c:v>1.4999999999999876</c:v>
                </c:pt>
                <c:pt idx="8">
                  <c:v>1.4999999999999878</c:v>
                </c:pt>
                <c:pt idx="9">
                  <c:v>1.4999999999999898</c:v>
                </c:pt>
                <c:pt idx="10">
                  <c:v>1.4999999999999869</c:v>
                </c:pt>
                <c:pt idx="11">
                  <c:v>1.4999999999999858</c:v>
                </c:pt>
                <c:pt idx="12">
                  <c:v>1.4999999999999929</c:v>
                </c:pt>
                <c:pt idx="13">
                  <c:v>1.4999999999999889</c:v>
                </c:pt>
                <c:pt idx="14">
                  <c:v>1.4999999999999947</c:v>
                </c:pt>
                <c:pt idx="15">
                  <c:v>1.4999999999999927</c:v>
                </c:pt>
                <c:pt idx="16">
                  <c:v>1.4999999999999898</c:v>
                </c:pt>
                <c:pt idx="17">
                  <c:v>1.4999999999999947</c:v>
                </c:pt>
                <c:pt idx="18">
                  <c:v>1.4999999999999905</c:v>
                </c:pt>
                <c:pt idx="19">
                  <c:v>1.4999999999999858</c:v>
                </c:pt>
                <c:pt idx="20">
                  <c:v>1.4999999999999898</c:v>
                </c:pt>
                <c:pt idx="21">
                  <c:v>1.4999999999999867</c:v>
                </c:pt>
                <c:pt idx="22">
                  <c:v>1.4999999999999856</c:v>
                </c:pt>
                <c:pt idx="23">
                  <c:v>1.4999999999999847</c:v>
                </c:pt>
                <c:pt idx="24">
                  <c:v>1.4999999999999929</c:v>
                </c:pt>
                <c:pt idx="25">
                  <c:v>1.4999999999999851</c:v>
                </c:pt>
                <c:pt idx="26">
                  <c:v>1.4999999999999951</c:v>
                </c:pt>
                <c:pt idx="27">
                  <c:v>1.499999999999986</c:v>
                </c:pt>
                <c:pt idx="28">
                  <c:v>1.4999999999999922</c:v>
                </c:pt>
                <c:pt idx="29">
                  <c:v>1.4999999999999896</c:v>
                </c:pt>
                <c:pt idx="30">
                  <c:v>1.4999999999999891</c:v>
                </c:pt>
                <c:pt idx="31">
                  <c:v>1.49999999999998</c:v>
                </c:pt>
                <c:pt idx="32">
                  <c:v>1.499999999999984</c:v>
                </c:pt>
                <c:pt idx="33">
                  <c:v>1.4999999999999911</c:v>
                </c:pt>
                <c:pt idx="34">
                  <c:v>1.4999999999999898</c:v>
                </c:pt>
                <c:pt idx="35">
                  <c:v>1.4999999999999929</c:v>
                </c:pt>
                <c:pt idx="36">
                  <c:v>1.5000000000000009</c:v>
                </c:pt>
                <c:pt idx="37">
                  <c:v>1.4999999999999836</c:v>
                </c:pt>
                <c:pt idx="38">
                  <c:v>1.4999999999999858</c:v>
                </c:pt>
                <c:pt idx="39">
                  <c:v>1.4999999999999978</c:v>
                </c:pt>
                <c:pt idx="40">
                  <c:v>1.0000000000000011</c:v>
                </c:pt>
                <c:pt idx="41">
                  <c:v>0.99999999999999911</c:v>
                </c:pt>
                <c:pt idx="42">
                  <c:v>1.000000000000002</c:v>
                </c:pt>
                <c:pt idx="43">
                  <c:v>0.99999999999999067</c:v>
                </c:pt>
                <c:pt idx="44">
                  <c:v>0.99999999999999478</c:v>
                </c:pt>
                <c:pt idx="45">
                  <c:v>1.0000000000000098</c:v>
                </c:pt>
                <c:pt idx="46">
                  <c:v>0.99999999999999711</c:v>
                </c:pt>
                <c:pt idx="47">
                  <c:v>1.0000000000000071</c:v>
                </c:pt>
                <c:pt idx="48">
                  <c:v>0.99999999999999478</c:v>
                </c:pt>
                <c:pt idx="49">
                  <c:v>1.0000000000000036</c:v>
                </c:pt>
                <c:pt idx="50">
                  <c:v>1.0000000000000033</c:v>
                </c:pt>
                <c:pt idx="51">
                  <c:v>1.00000000000001</c:v>
                </c:pt>
                <c:pt idx="52">
                  <c:v>1.0000000000000075</c:v>
                </c:pt>
                <c:pt idx="53">
                  <c:v>1.000000000000006</c:v>
                </c:pt>
                <c:pt idx="54">
                  <c:v>1.000000000000002</c:v>
                </c:pt>
                <c:pt idx="55">
                  <c:v>0.99999999999999989</c:v>
                </c:pt>
                <c:pt idx="56">
                  <c:v>1.0000000000000093</c:v>
                </c:pt>
                <c:pt idx="57">
                  <c:v>1.0000000000000093</c:v>
                </c:pt>
                <c:pt idx="58">
                  <c:v>1.0000000000000036</c:v>
                </c:pt>
                <c:pt idx="59">
                  <c:v>1.0000000000000029</c:v>
                </c:pt>
                <c:pt idx="60">
                  <c:v>1.0000000000000053</c:v>
                </c:pt>
                <c:pt idx="61">
                  <c:v>0.99999999999999667</c:v>
                </c:pt>
                <c:pt idx="62">
                  <c:v>1.0000000000000064</c:v>
                </c:pt>
                <c:pt idx="63">
                  <c:v>0.99999999999999634</c:v>
                </c:pt>
                <c:pt idx="64">
                  <c:v>1.0000000000000078</c:v>
                </c:pt>
                <c:pt idx="65">
                  <c:v>0.99999999999999667</c:v>
                </c:pt>
                <c:pt idx="66">
                  <c:v>0.99999999999999956</c:v>
                </c:pt>
                <c:pt idx="67">
                  <c:v>1.0000000000000027</c:v>
                </c:pt>
                <c:pt idx="68">
                  <c:v>0.99999999999999956</c:v>
                </c:pt>
                <c:pt idx="69">
                  <c:v>1.000000000000008</c:v>
                </c:pt>
                <c:pt idx="70">
                  <c:v>0.99999999999999756</c:v>
                </c:pt>
                <c:pt idx="71">
                  <c:v>0.99999999999999789</c:v>
                </c:pt>
                <c:pt idx="72">
                  <c:v>1.0000000000000087</c:v>
                </c:pt>
                <c:pt idx="73">
                  <c:v>1.0000000000000009</c:v>
                </c:pt>
                <c:pt idx="74">
                  <c:v>1.0000000000000042</c:v>
                </c:pt>
                <c:pt idx="75">
                  <c:v>1.0000000000000011</c:v>
                </c:pt>
                <c:pt idx="76">
                  <c:v>0.99999999999999833</c:v>
                </c:pt>
                <c:pt idx="77">
                  <c:v>1.0000000000000075</c:v>
                </c:pt>
                <c:pt idx="78">
                  <c:v>0.999999999999996</c:v>
                </c:pt>
                <c:pt idx="79">
                  <c:v>1.000000000000004</c:v>
                </c:pt>
                <c:pt idx="80">
                  <c:v>0.99999999999999289</c:v>
                </c:pt>
                <c:pt idx="81">
                  <c:v>0.99999999999999789</c:v>
                </c:pt>
                <c:pt idx="82">
                  <c:v>1.0000000000000089</c:v>
                </c:pt>
                <c:pt idx="83">
                  <c:v>1.0000000000000053</c:v>
                </c:pt>
                <c:pt idx="84">
                  <c:v>1.0000000000000053</c:v>
                </c:pt>
                <c:pt idx="85">
                  <c:v>0.99999999999999989</c:v>
                </c:pt>
                <c:pt idx="86">
                  <c:v>1.0000000000000013</c:v>
                </c:pt>
                <c:pt idx="87">
                  <c:v>0.99999999999999556</c:v>
                </c:pt>
                <c:pt idx="88">
                  <c:v>1.0000000000000062</c:v>
                </c:pt>
                <c:pt idx="89">
                  <c:v>0.99999999999999833</c:v>
                </c:pt>
                <c:pt idx="90">
                  <c:v>1.0000000000000053</c:v>
                </c:pt>
                <c:pt idx="91">
                  <c:v>1.0000000000000038</c:v>
                </c:pt>
                <c:pt idx="92">
                  <c:v>1.0000000000000069</c:v>
                </c:pt>
                <c:pt idx="93">
                  <c:v>1.0000000000000013</c:v>
                </c:pt>
                <c:pt idx="94">
                  <c:v>0.99999999999999534</c:v>
                </c:pt>
                <c:pt idx="95">
                  <c:v>1.0000000000000018</c:v>
                </c:pt>
                <c:pt idx="96">
                  <c:v>0.99999999999999356</c:v>
                </c:pt>
                <c:pt idx="97">
                  <c:v>1.000000000000008</c:v>
                </c:pt>
                <c:pt idx="98">
                  <c:v>0.99999999999999933</c:v>
                </c:pt>
                <c:pt idx="99">
                  <c:v>1.0000000000000004</c:v>
                </c:pt>
                <c:pt idx="100">
                  <c:v>1.000000000000004</c:v>
                </c:pt>
                <c:pt idx="101">
                  <c:v>0.99999999999999478</c:v>
                </c:pt>
                <c:pt idx="102">
                  <c:v>1.0000000000000053</c:v>
                </c:pt>
                <c:pt idx="103">
                  <c:v>1.0000000000000002</c:v>
                </c:pt>
                <c:pt idx="104">
                  <c:v>1.0000000000000075</c:v>
                </c:pt>
                <c:pt idx="105">
                  <c:v>1.0000000000000027</c:v>
                </c:pt>
                <c:pt idx="106">
                  <c:v>0.999999999999994</c:v>
                </c:pt>
                <c:pt idx="107">
                  <c:v>0.99999999999999512</c:v>
                </c:pt>
                <c:pt idx="108">
                  <c:v>0.99999999999999623</c:v>
                </c:pt>
                <c:pt idx="109">
                  <c:v>1.0000000000000058</c:v>
                </c:pt>
                <c:pt idx="110">
                  <c:v>0.99999999999999589</c:v>
                </c:pt>
                <c:pt idx="111">
                  <c:v>1.4999999999999911</c:v>
                </c:pt>
                <c:pt idx="112">
                  <c:v>1.4999999999999933</c:v>
                </c:pt>
                <c:pt idx="113">
                  <c:v>1.4999999999999938</c:v>
                </c:pt>
                <c:pt idx="114">
                  <c:v>1.499999999999992</c:v>
                </c:pt>
                <c:pt idx="115">
                  <c:v>1.4999999999999956</c:v>
                </c:pt>
                <c:pt idx="116">
                  <c:v>1.4999999999999918</c:v>
                </c:pt>
                <c:pt idx="117">
                  <c:v>1.4999999999999882</c:v>
                </c:pt>
                <c:pt idx="118">
                  <c:v>1.4999999999999849</c:v>
                </c:pt>
                <c:pt idx="119">
                  <c:v>1.49999999999999</c:v>
                </c:pt>
                <c:pt idx="120">
                  <c:v>1.4999999999999907</c:v>
                </c:pt>
                <c:pt idx="121">
                  <c:v>1.4999999999999953</c:v>
                </c:pt>
                <c:pt idx="122">
                  <c:v>1.4999999999999931</c:v>
                </c:pt>
                <c:pt idx="123">
                  <c:v>1.4999999999999913</c:v>
                </c:pt>
                <c:pt idx="124">
                  <c:v>1.4999999999999916</c:v>
                </c:pt>
                <c:pt idx="125">
                  <c:v>1.4999999999999893</c:v>
                </c:pt>
                <c:pt idx="126">
                  <c:v>1.4999999999999873</c:v>
                </c:pt>
                <c:pt idx="127">
                  <c:v>1.4999999999999933</c:v>
                </c:pt>
                <c:pt idx="128">
                  <c:v>1.4999999999999853</c:v>
                </c:pt>
                <c:pt idx="129">
                  <c:v>1.4999999999999958</c:v>
                </c:pt>
                <c:pt idx="130">
                  <c:v>1.4999999999999909</c:v>
                </c:pt>
                <c:pt idx="131">
                  <c:v>1.4999999999999922</c:v>
                </c:pt>
                <c:pt idx="132">
                  <c:v>1.4999999999999898</c:v>
                </c:pt>
                <c:pt idx="133">
                  <c:v>1.4999999999999927</c:v>
                </c:pt>
                <c:pt idx="134">
                  <c:v>1.4999999999999922</c:v>
                </c:pt>
                <c:pt idx="135">
                  <c:v>1.4999999999999858</c:v>
                </c:pt>
                <c:pt idx="136">
                  <c:v>1.4999999999999878</c:v>
                </c:pt>
                <c:pt idx="137">
                  <c:v>1.4999999999999853</c:v>
                </c:pt>
                <c:pt idx="138">
                  <c:v>1.4999999999999927</c:v>
                </c:pt>
                <c:pt idx="139">
                  <c:v>1.4999999999999845</c:v>
                </c:pt>
                <c:pt idx="140">
                  <c:v>1.4999999999999887</c:v>
                </c:pt>
                <c:pt idx="141">
                  <c:v>1.4999999999999907</c:v>
                </c:pt>
                <c:pt idx="142">
                  <c:v>1.4999999999999958</c:v>
                </c:pt>
                <c:pt idx="143">
                  <c:v>1.4999999999999902</c:v>
                </c:pt>
                <c:pt idx="144">
                  <c:v>1.4999999999999898</c:v>
                </c:pt>
                <c:pt idx="145">
                  <c:v>1.4999999999999938</c:v>
                </c:pt>
                <c:pt idx="146">
                  <c:v>1.4999999999999953</c:v>
                </c:pt>
                <c:pt idx="147">
                  <c:v>1.4999999999999929</c:v>
                </c:pt>
                <c:pt idx="148">
                  <c:v>1.4999999999999922</c:v>
                </c:pt>
                <c:pt idx="149">
                  <c:v>1.4999999999999811</c:v>
                </c:pt>
                <c:pt idx="150">
                  <c:v>1.4999999999999867</c:v>
                </c:pt>
                <c:pt idx="151">
                  <c:v>1.4999999999999978</c:v>
                </c:pt>
                <c:pt idx="152">
                  <c:v>1.4999999999999976</c:v>
                </c:pt>
                <c:pt idx="153">
                  <c:v>1.4999999999999858</c:v>
                </c:pt>
                <c:pt idx="154">
                  <c:v>1.5000000000000009</c:v>
                </c:pt>
                <c:pt idx="155">
                  <c:v>1.4999999999999885</c:v>
                </c:pt>
                <c:pt idx="156">
                  <c:v>1.4999999999999978</c:v>
                </c:pt>
                <c:pt idx="157">
                  <c:v>1.4999999999999865</c:v>
                </c:pt>
                <c:pt idx="158">
                  <c:v>1.4999999999999916</c:v>
                </c:pt>
                <c:pt idx="159">
                  <c:v>1.4999999999999833</c:v>
                </c:pt>
                <c:pt idx="160">
                  <c:v>1.499999999999988</c:v>
                </c:pt>
                <c:pt idx="161">
                  <c:v>1.4999999999999853</c:v>
                </c:pt>
                <c:pt idx="162">
                  <c:v>1.4999999999999927</c:v>
                </c:pt>
                <c:pt idx="163">
                  <c:v>1.4999999999999805</c:v>
                </c:pt>
                <c:pt idx="164">
                  <c:v>1.4999999999999947</c:v>
                </c:pt>
                <c:pt idx="165">
                  <c:v>1.4999999999999976</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0"/>
          <c:extLst>
            <c:ext xmlns:c16="http://schemas.microsoft.com/office/drawing/2014/chart" uri="{C3380CC4-5D6E-409C-BE32-E72D297353CC}">
              <c16:uniqueId val="{00000000-C4B6-45FB-8EE6-E06B3AA7DB99}"/>
            </c:ext>
          </c:extLst>
        </c:ser>
        <c:ser>
          <c:idx val="0"/>
          <c:order val="1"/>
          <c:tx>
            <c:v>TI Thermistor Max Low Tolerance</c:v>
          </c:tx>
          <c:spPr>
            <a:ln>
              <a:solidFill>
                <a:schemeClr val="accent1">
                  <a:lumMod val="75000"/>
                </a:schemeClr>
              </a:solidFill>
            </a:ln>
          </c:spPr>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Comparison'!$K$33:$K$248</c:f>
              <c:numCache>
                <c:formatCode>0.00</c:formatCode>
                <c:ptCount val="216"/>
                <c:pt idx="0">
                  <c:v>-1.4999999999999978</c:v>
                </c:pt>
                <c:pt idx="1">
                  <c:v>-1.4999999999999987</c:v>
                </c:pt>
                <c:pt idx="2">
                  <c:v>-1.5000000000000073</c:v>
                </c:pt>
                <c:pt idx="3">
                  <c:v>-1.4999999999999998</c:v>
                </c:pt>
                <c:pt idx="4">
                  <c:v>-1.500000000000008</c:v>
                </c:pt>
                <c:pt idx="5">
                  <c:v>-1.4999999999999967</c:v>
                </c:pt>
                <c:pt idx="6">
                  <c:v>-1.4999999999999969</c:v>
                </c:pt>
                <c:pt idx="7">
                  <c:v>-1.5000000000000007</c:v>
                </c:pt>
                <c:pt idx="8">
                  <c:v>-1.5000000000000009</c:v>
                </c:pt>
                <c:pt idx="9">
                  <c:v>-1.5000000000000029</c:v>
                </c:pt>
                <c:pt idx="10">
                  <c:v>-1.5</c:v>
                </c:pt>
                <c:pt idx="11">
                  <c:v>-1.4999999999999987</c:v>
                </c:pt>
                <c:pt idx="12">
                  <c:v>-1.5000000000000058</c:v>
                </c:pt>
                <c:pt idx="13">
                  <c:v>-1.5000000000000016</c:v>
                </c:pt>
                <c:pt idx="14">
                  <c:v>-1.5000000000000073</c:v>
                </c:pt>
                <c:pt idx="15">
                  <c:v>-1.5000000000000051</c:v>
                </c:pt>
                <c:pt idx="16">
                  <c:v>-1.5000000000000024</c:v>
                </c:pt>
                <c:pt idx="17">
                  <c:v>-1.5000000000000069</c:v>
                </c:pt>
                <c:pt idx="18">
                  <c:v>-1.5000000000000024</c:v>
                </c:pt>
                <c:pt idx="19">
                  <c:v>-1.499999999999998</c:v>
                </c:pt>
                <c:pt idx="20">
                  <c:v>-1.5000000000000018</c:v>
                </c:pt>
                <c:pt idx="21">
                  <c:v>-1.4999999999999987</c:v>
                </c:pt>
                <c:pt idx="22">
                  <c:v>-1.4999999999999976</c:v>
                </c:pt>
                <c:pt idx="23">
                  <c:v>-1.4999999999999964</c:v>
                </c:pt>
                <c:pt idx="24">
                  <c:v>-1.5000000000000047</c:v>
                </c:pt>
                <c:pt idx="25">
                  <c:v>-1.4999999999999969</c:v>
                </c:pt>
                <c:pt idx="26">
                  <c:v>-1.5000000000000067</c:v>
                </c:pt>
                <c:pt idx="27">
                  <c:v>-1.4999999999999978</c:v>
                </c:pt>
                <c:pt idx="28">
                  <c:v>-1.5000000000000038</c:v>
                </c:pt>
                <c:pt idx="29">
                  <c:v>-1.5000000000000009</c:v>
                </c:pt>
                <c:pt idx="30">
                  <c:v>-1.5000000000000004</c:v>
                </c:pt>
                <c:pt idx="31">
                  <c:v>-1.5000000000000024</c:v>
                </c:pt>
                <c:pt idx="32">
                  <c:v>-1.5000000000000064</c:v>
                </c:pt>
                <c:pt idx="33">
                  <c:v>-1.500000000000002</c:v>
                </c:pt>
                <c:pt idx="34">
                  <c:v>-1.5000000000000007</c:v>
                </c:pt>
                <c:pt idx="35">
                  <c:v>-1.5000000000000038</c:v>
                </c:pt>
                <c:pt idx="36">
                  <c:v>-1.5000000000000009</c:v>
                </c:pt>
                <c:pt idx="37">
                  <c:v>-1.5000000000000053</c:v>
                </c:pt>
                <c:pt idx="38">
                  <c:v>-1.5000000000000073</c:v>
                </c:pt>
                <c:pt idx="39">
                  <c:v>-1.4999999999999978</c:v>
                </c:pt>
                <c:pt idx="40">
                  <c:v>-1.0000000000000011</c:v>
                </c:pt>
                <c:pt idx="41">
                  <c:v>-0.99999999999999911</c:v>
                </c:pt>
                <c:pt idx="42">
                  <c:v>-1.000000000000002</c:v>
                </c:pt>
                <c:pt idx="43">
                  <c:v>-0.99999999999999067</c:v>
                </c:pt>
                <c:pt idx="44">
                  <c:v>-0.99999999999999478</c:v>
                </c:pt>
                <c:pt idx="45">
                  <c:v>-1.0000000000000098</c:v>
                </c:pt>
                <c:pt idx="46">
                  <c:v>-0.99999999999999711</c:v>
                </c:pt>
                <c:pt idx="47">
                  <c:v>-1.0000000000000071</c:v>
                </c:pt>
                <c:pt idx="48">
                  <c:v>-0.99999999999999478</c:v>
                </c:pt>
                <c:pt idx="49">
                  <c:v>-1.0000000000000036</c:v>
                </c:pt>
                <c:pt idx="50">
                  <c:v>-1.0000000000000033</c:v>
                </c:pt>
                <c:pt idx="51">
                  <c:v>-1.00000000000001</c:v>
                </c:pt>
                <c:pt idx="52">
                  <c:v>-1.0000000000000075</c:v>
                </c:pt>
                <c:pt idx="53">
                  <c:v>-1.000000000000006</c:v>
                </c:pt>
                <c:pt idx="54">
                  <c:v>-1.000000000000002</c:v>
                </c:pt>
                <c:pt idx="55">
                  <c:v>-0.99999999999999989</c:v>
                </c:pt>
                <c:pt idx="56">
                  <c:v>-1.0000000000000093</c:v>
                </c:pt>
                <c:pt idx="57">
                  <c:v>-1.0000000000000093</c:v>
                </c:pt>
                <c:pt idx="58">
                  <c:v>-1.0000000000000036</c:v>
                </c:pt>
                <c:pt idx="59">
                  <c:v>-1.0000000000000029</c:v>
                </c:pt>
                <c:pt idx="60">
                  <c:v>-1.0000000000000053</c:v>
                </c:pt>
                <c:pt idx="61">
                  <c:v>-0.99999999999999667</c:v>
                </c:pt>
                <c:pt idx="62">
                  <c:v>-1.0000000000000064</c:v>
                </c:pt>
                <c:pt idx="63">
                  <c:v>-0.99999999999999634</c:v>
                </c:pt>
                <c:pt idx="64">
                  <c:v>-1.0000000000000078</c:v>
                </c:pt>
                <c:pt idx="65">
                  <c:v>-0.99999999999999667</c:v>
                </c:pt>
                <c:pt idx="66">
                  <c:v>-0.99999999999999956</c:v>
                </c:pt>
                <c:pt idx="67">
                  <c:v>-1.0000000000000027</c:v>
                </c:pt>
                <c:pt idx="68">
                  <c:v>-0.99999999999999956</c:v>
                </c:pt>
                <c:pt idx="69">
                  <c:v>-1.000000000000008</c:v>
                </c:pt>
                <c:pt idx="70">
                  <c:v>-0.99999999999999756</c:v>
                </c:pt>
                <c:pt idx="71">
                  <c:v>-0.99999999999999789</c:v>
                </c:pt>
                <c:pt idx="72">
                  <c:v>-1.0000000000000087</c:v>
                </c:pt>
                <c:pt idx="73">
                  <c:v>-1.0000000000000009</c:v>
                </c:pt>
                <c:pt idx="74">
                  <c:v>-1.0000000000000042</c:v>
                </c:pt>
                <c:pt idx="75">
                  <c:v>-1.0000000000000011</c:v>
                </c:pt>
                <c:pt idx="76">
                  <c:v>-0.99999999999999833</c:v>
                </c:pt>
                <c:pt idx="77">
                  <c:v>-1.0000000000000075</c:v>
                </c:pt>
                <c:pt idx="78">
                  <c:v>-0.999999999999996</c:v>
                </c:pt>
                <c:pt idx="79">
                  <c:v>-1.000000000000004</c:v>
                </c:pt>
                <c:pt idx="80">
                  <c:v>-0.99999999999999289</c:v>
                </c:pt>
                <c:pt idx="81">
                  <c:v>-0.99999999999999789</c:v>
                </c:pt>
                <c:pt idx="82">
                  <c:v>-1.0000000000000089</c:v>
                </c:pt>
                <c:pt idx="83">
                  <c:v>-1.0000000000000053</c:v>
                </c:pt>
                <c:pt idx="84">
                  <c:v>-1.0000000000000053</c:v>
                </c:pt>
                <c:pt idx="85">
                  <c:v>-0.99999999999999989</c:v>
                </c:pt>
                <c:pt idx="86">
                  <c:v>-1.0000000000000013</c:v>
                </c:pt>
                <c:pt idx="87">
                  <c:v>-0.99999999999999556</c:v>
                </c:pt>
                <c:pt idx="88">
                  <c:v>-1.0000000000000062</c:v>
                </c:pt>
                <c:pt idx="89">
                  <c:v>-0.99999999999999833</c:v>
                </c:pt>
                <c:pt idx="90">
                  <c:v>-1.0000000000000053</c:v>
                </c:pt>
                <c:pt idx="91">
                  <c:v>-1.0000000000000038</c:v>
                </c:pt>
                <c:pt idx="92">
                  <c:v>-1.0000000000000069</c:v>
                </c:pt>
                <c:pt idx="93">
                  <c:v>-1.0000000000000013</c:v>
                </c:pt>
                <c:pt idx="94">
                  <c:v>-0.99999999999999534</c:v>
                </c:pt>
                <c:pt idx="95">
                  <c:v>-1.0000000000000018</c:v>
                </c:pt>
                <c:pt idx="96">
                  <c:v>-0.99999999999999356</c:v>
                </c:pt>
                <c:pt idx="97">
                  <c:v>-1.000000000000008</c:v>
                </c:pt>
                <c:pt idx="98">
                  <c:v>-0.99999999999999933</c:v>
                </c:pt>
                <c:pt idx="99">
                  <c:v>-1.0000000000000004</c:v>
                </c:pt>
                <c:pt idx="100">
                  <c:v>-1.000000000000004</c:v>
                </c:pt>
                <c:pt idx="101">
                  <c:v>-0.99999999999999478</c:v>
                </c:pt>
                <c:pt idx="102">
                  <c:v>-1.0000000000000053</c:v>
                </c:pt>
                <c:pt idx="103">
                  <c:v>-1.0000000000000002</c:v>
                </c:pt>
                <c:pt idx="104">
                  <c:v>-1.0000000000000075</c:v>
                </c:pt>
                <c:pt idx="105">
                  <c:v>-1.0000000000000027</c:v>
                </c:pt>
                <c:pt idx="106">
                  <c:v>-0.999999999999994</c:v>
                </c:pt>
                <c:pt idx="107">
                  <c:v>-0.99999999999999512</c:v>
                </c:pt>
                <c:pt idx="108">
                  <c:v>-0.99999999999999623</c:v>
                </c:pt>
                <c:pt idx="109">
                  <c:v>-1.0000000000000058</c:v>
                </c:pt>
                <c:pt idx="110">
                  <c:v>-0.99999999999999589</c:v>
                </c:pt>
                <c:pt idx="111">
                  <c:v>-1.5000000000000049</c:v>
                </c:pt>
                <c:pt idx="112">
                  <c:v>-1.5000000000000069</c:v>
                </c:pt>
                <c:pt idx="113">
                  <c:v>-1.5000000000000073</c:v>
                </c:pt>
                <c:pt idx="114">
                  <c:v>-1.5000000000000056</c:v>
                </c:pt>
                <c:pt idx="115">
                  <c:v>-1.4999999999999956</c:v>
                </c:pt>
                <c:pt idx="116">
                  <c:v>-1.5000000000000051</c:v>
                </c:pt>
                <c:pt idx="117">
                  <c:v>-1.5000000000000013</c:v>
                </c:pt>
                <c:pt idx="118">
                  <c:v>-1.499999999999998</c:v>
                </c:pt>
                <c:pt idx="119">
                  <c:v>-1.5000000000000031</c:v>
                </c:pt>
                <c:pt idx="120">
                  <c:v>-1.5000000000000038</c:v>
                </c:pt>
                <c:pt idx="121">
                  <c:v>-1.4999999999999953</c:v>
                </c:pt>
                <c:pt idx="122">
                  <c:v>-1.500000000000006</c:v>
                </c:pt>
                <c:pt idx="123">
                  <c:v>-1.500000000000004</c:v>
                </c:pt>
                <c:pt idx="124">
                  <c:v>-1.5000000000000042</c:v>
                </c:pt>
                <c:pt idx="125">
                  <c:v>-1.5000000000000018</c:v>
                </c:pt>
                <c:pt idx="126">
                  <c:v>-1.4999999999999998</c:v>
                </c:pt>
                <c:pt idx="127">
                  <c:v>-1.5000000000000058</c:v>
                </c:pt>
                <c:pt idx="128">
                  <c:v>-1.4999999999999978</c:v>
                </c:pt>
                <c:pt idx="129">
                  <c:v>-1.4999999999999958</c:v>
                </c:pt>
                <c:pt idx="130">
                  <c:v>-1.5000000000000033</c:v>
                </c:pt>
                <c:pt idx="131">
                  <c:v>-1.5000000000000044</c:v>
                </c:pt>
                <c:pt idx="132">
                  <c:v>-1.5000000000000018</c:v>
                </c:pt>
                <c:pt idx="133">
                  <c:v>-1.5000000000000049</c:v>
                </c:pt>
                <c:pt idx="134">
                  <c:v>-1.500000000000004</c:v>
                </c:pt>
                <c:pt idx="135">
                  <c:v>-1.4999999999999976</c:v>
                </c:pt>
                <c:pt idx="136">
                  <c:v>-1.4999999999999998</c:v>
                </c:pt>
                <c:pt idx="137">
                  <c:v>-1.4999999999999971</c:v>
                </c:pt>
                <c:pt idx="138">
                  <c:v>-1.5000000000000042</c:v>
                </c:pt>
                <c:pt idx="139">
                  <c:v>-1.4999999999999962</c:v>
                </c:pt>
                <c:pt idx="140">
                  <c:v>-1.5000000000000002</c:v>
                </c:pt>
                <c:pt idx="141">
                  <c:v>-1.5000000000000024</c:v>
                </c:pt>
                <c:pt idx="142">
                  <c:v>-1.4999999999999958</c:v>
                </c:pt>
                <c:pt idx="143">
                  <c:v>-1.5000000000000016</c:v>
                </c:pt>
                <c:pt idx="144">
                  <c:v>-1.5000000000000011</c:v>
                </c:pt>
                <c:pt idx="145">
                  <c:v>-1.5000000000000051</c:v>
                </c:pt>
                <c:pt idx="146">
                  <c:v>-1.5000000000000064</c:v>
                </c:pt>
                <c:pt idx="147">
                  <c:v>-1.500000000000004</c:v>
                </c:pt>
                <c:pt idx="148">
                  <c:v>-1.5000000000000033</c:v>
                </c:pt>
                <c:pt idx="149">
                  <c:v>-1.5000000000000033</c:v>
                </c:pt>
                <c:pt idx="150">
                  <c:v>-1.5000000000000087</c:v>
                </c:pt>
                <c:pt idx="151">
                  <c:v>-1.4999999999999978</c:v>
                </c:pt>
                <c:pt idx="152">
                  <c:v>-1.4999999999999976</c:v>
                </c:pt>
                <c:pt idx="153">
                  <c:v>-1.5000000000000073</c:v>
                </c:pt>
                <c:pt idx="154">
                  <c:v>-1.5000000000000009</c:v>
                </c:pt>
                <c:pt idx="155">
                  <c:v>-1.5000000000000098</c:v>
                </c:pt>
                <c:pt idx="156">
                  <c:v>-1.4999999999999978</c:v>
                </c:pt>
                <c:pt idx="157">
                  <c:v>-1.5000000000000073</c:v>
                </c:pt>
                <c:pt idx="158">
                  <c:v>-1.4999999999999916</c:v>
                </c:pt>
                <c:pt idx="159">
                  <c:v>-1.500000000000004</c:v>
                </c:pt>
                <c:pt idx="160">
                  <c:v>-1.5000000000000087</c:v>
                </c:pt>
                <c:pt idx="161">
                  <c:v>-1.500000000000006</c:v>
                </c:pt>
                <c:pt idx="162">
                  <c:v>-1.4999999999999927</c:v>
                </c:pt>
                <c:pt idx="163">
                  <c:v>-1.5000000000000009</c:v>
                </c:pt>
                <c:pt idx="164">
                  <c:v>-1.4999999999999947</c:v>
                </c:pt>
                <c:pt idx="165">
                  <c:v>-1.4999999999999976</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C4B6-45FB-8EE6-E06B3AA7DB99}"/>
            </c:ext>
          </c:extLst>
        </c:ser>
        <c:ser>
          <c:idx val="2"/>
          <c:order val="2"/>
          <c:tx>
            <c:v>NTC Max High Tolerance</c:v>
          </c:tx>
          <c:spPr>
            <a:ln>
              <a:solidFill>
                <a:srgbClr val="CC0000"/>
              </a:solidFill>
            </a:ln>
          </c:spPr>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Comparison'!$W$33:$W$248</c:f>
              <c:numCache>
                <c:formatCode>0.00</c:formatCode>
                <c:ptCount val="216"/>
                <c:pt idx="0">
                  <c:v>4.0485658209473998</c:v>
                </c:pt>
                <c:pt idx="1">
                  <c:v>3.9898960128619798</c:v>
                </c:pt>
                <c:pt idx="2">
                  <c:v>3.9316492531679383</c:v>
                </c:pt>
                <c:pt idx="3">
                  <c:v>3.8739109141368062</c:v>
                </c:pt>
                <c:pt idx="4">
                  <c:v>3.81662806485105</c:v>
                </c:pt>
                <c:pt idx="5">
                  <c:v>3.7597100647225088</c:v>
                </c:pt>
                <c:pt idx="6">
                  <c:v>3.7034028264723822</c:v>
                </c:pt>
                <c:pt idx="7">
                  <c:v>3.6474033827325401</c:v>
                </c:pt>
                <c:pt idx="8">
                  <c:v>3.5919267743996111</c:v>
                </c:pt>
                <c:pt idx="9">
                  <c:v>3.53675845400925</c:v>
                </c:pt>
                <c:pt idx="10">
                  <c:v>3.482135846439824</c:v>
                </c:pt>
                <c:pt idx="11">
                  <c:v>3.4279769701826557</c:v>
                </c:pt>
                <c:pt idx="12">
                  <c:v>3.3742184095460592</c:v>
                </c:pt>
                <c:pt idx="13">
                  <c:v>3.320869974097111</c:v>
                </c:pt>
                <c:pt idx="14">
                  <c:v>3.2679376760391428</c:v>
                </c:pt>
                <c:pt idx="15">
                  <c:v>3.2153250158750493</c:v>
                </c:pt>
                <c:pt idx="16">
                  <c:v>3.1631716529076601</c:v>
                </c:pt>
                <c:pt idx="17">
                  <c:v>3.1114249371260208</c:v>
                </c:pt>
                <c:pt idx="18">
                  <c:v>3.0600525521239224</c:v>
                </c:pt>
                <c:pt idx="19">
                  <c:v>3.009062904593959</c:v>
                </c:pt>
                <c:pt idx="20">
                  <c:v>2.9583787023698349</c:v>
                </c:pt>
                <c:pt idx="21">
                  <c:v>2.9081083908928509</c:v>
                </c:pt>
                <c:pt idx="22">
                  <c:v>2.8584117960561399</c:v>
                </c:pt>
                <c:pt idx="23">
                  <c:v>2.8089535394068568</c:v>
                </c:pt>
                <c:pt idx="24">
                  <c:v>2.7597901805790803</c:v>
                </c:pt>
                <c:pt idx="25">
                  <c:v>2.7109242193790846</c:v>
                </c:pt>
                <c:pt idx="26">
                  <c:v>2.6626727552322333</c:v>
                </c:pt>
                <c:pt idx="27">
                  <c:v>2.614523629617334</c:v>
                </c:pt>
                <c:pt idx="28">
                  <c:v>2.5668694704504302</c:v>
                </c:pt>
                <c:pt idx="29">
                  <c:v>2.5194469035496398</c:v>
                </c:pt>
                <c:pt idx="30">
                  <c:v>2.4721099510189171</c:v>
                </c:pt>
                <c:pt idx="31">
                  <c:v>2.4251410724709932</c:v>
                </c:pt>
                <c:pt idx="32">
                  <c:v>2.3784173960119062</c:v>
                </c:pt>
                <c:pt idx="33">
                  <c:v>2.3318920289483689</c:v>
                </c:pt>
                <c:pt idx="34">
                  <c:v>2.2860077253630733</c:v>
                </c:pt>
                <c:pt idx="35">
                  <c:v>2.2403384849611503</c:v>
                </c:pt>
                <c:pt idx="36">
                  <c:v>2.1949617053828452</c:v>
                </c:pt>
                <c:pt idx="37">
                  <c:v>2.1499032882011653</c:v>
                </c:pt>
                <c:pt idx="38">
                  <c:v>2.105156792077874</c:v>
                </c:pt>
                <c:pt idx="39">
                  <c:v>2.0606478533305683</c:v>
                </c:pt>
                <c:pt idx="40">
                  <c:v>2.0166356829521046</c:v>
                </c:pt>
                <c:pt idx="41">
                  <c:v>1.9726951986501053</c:v>
                </c:pt>
                <c:pt idx="42">
                  <c:v>1.9293492398259886</c:v>
                </c:pt>
                <c:pt idx="43">
                  <c:v>1.8859416556371453</c:v>
                </c:pt>
                <c:pt idx="44">
                  <c:v>1.8429727952479742</c:v>
                </c:pt>
                <c:pt idx="45">
                  <c:v>1.8000917302042199</c:v>
                </c:pt>
                <c:pt idx="46">
                  <c:v>1.7582729725891275</c:v>
                </c:pt>
                <c:pt idx="47">
                  <c:v>1.7156306435218573</c:v>
                </c:pt>
                <c:pt idx="48">
                  <c:v>1.6740790251677347</c:v>
                </c:pt>
                <c:pt idx="49">
                  <c:v>1.6320474777448111</c:v>
                </c:pt>
                <c:pt idx="50">
                  <c:v>1.5910295389249991</c:v>
                </c:pt>
                <c:pt idx="51">
                  <c:v>1.5499102469515871</c:v>
                </c:pt>
                <c:pt idx="52">
                  <c:v>1.509580027095017</c:v>
                </c:pt>
                <c:pt idx="53">
                  <c:v>1.4686256735659922</c:v>
                </c:pt>
                <c:pt idx="54">
                  <c:v>1.4280286653827512</c:v>
                </c:pt>
                <c:pt idx="55">
                  <c:v>1.3882168535114372</c:v>
                </c:pt>
                <c:pt idx="56">
                  <c:v>1.348219032429564</c:v>
                </c:pt>
                <c:pt idx="57">
                  <c:v>1.3083795258874868</c:v>
                </c:pt>
                <c:pt idx="58">
                  <c:v>1.2690724888687963</c:v>
                </c:pt>
                <c:pt idx="59">
                  <c:v>1.2298868886410677</c:v>
                </c:pt>
                <c:pt idx="60">
                  <c:v>1.1911758619262418</c:v>
                </c:pt>
                <c:pt idx="61">
                  <c:v>1.15238087047755</c:v>
                </c:pt>
                <c:pt idx="62">
                  <c:v>1.1148132598461706</c:v>
                </c:pt>
                <c:pt idx="63">
                  <c:v>1.0761167030010668</c:v>
                </c:pt>
                <c:pt idx="64">
                  <c:v>1.0374223378124618</c:v>
                </c:pt>
                <c:pt idx="65">
                  <c:v>1</c:v>
                </c:pt>
                <c:pt idx="66">
                  <c:v>1.0379689024516825</c:v>
                </c:pt>
                <c:pt idx="67">
                  <c:v>1.0750255830236362</c:v>
                </c:pt>
                <c:pt idx="68">
                  <c:v>1.1121046160724264</c:v>
                </c:pt>
                <c:pt idx="69">
                  <c:v>1.1502516175413244</c:v>
                </c:pt>
                <c:pt idx="70">
                  <c:v>1.1870828071441546</c:v>
                </c:pt>
                <c:pt idx="71">
                  <c:v>1.2234818722639957</c:v>
                </c:pt>
                <c:pt idx="72">
                  <c:v>1.2607160867372669</c:v>
                </c:pt>
                <c:pt idx="73">
                  <c:v>1.2960902840140027</c:v>
                </c:pt>
                <c:pt idx="74">
                  <c:v>1.3335000208359378</c:v>
                </c:pt>
                <c:pt idx="75">
                  <c:v>1.3687589055685945</c:v>
                </c:pt>
                <c:pt idx="76">
                  <c:v>1.4045655836700586</c:v>
                </c:pt>
                <c:pt idx="77">
                  <c:v>1.4393600098840145</c:v>
                </c:pt>
                <c:pt idx="78">
                  <c:v>1.4761859066628165</c:v>
                </c:pt>
                <c:pt idx="79">
                  <c:v>1.5101838052657695</c:v>
                </c:pt>
                <c:pt idx="80">
                  <c:v>1.5462150301700461</c:v>
                </c:pt>
                <c:pt idx="81">
                  <c:v>1.5809926007417068</c:v>
                </c:pt>
                <c:pt idx="82">
                  <c:v>1.6142064862085532</c:v>
                </c:pt>
                <c:pt idx="83">
                  <c:v>1.6513691731752205</c:v>
                </c:pt>
                <c:pt idx="84">
                  <c:v>1.6849183099699157</c:v>
                </c:pt>
                <c:pt idx="85">
                  <c:v>1.7205963106835684</c:v>
                </c:pt>
                <c:pt idx="86">
                  <c:v>1.7543490607711678</c:v>
                </c:pt>
                <c:pt idx="87">
                  <c:v>1.7880837919557941</c:v>
                </c:pt>
                <c:pt idx="88">
                  <c:v>1.8218213715391014</c:v>
                </c:pt>
                <c:pt idx="89">
                  <c:v>1.8554687500000042</c:v>
                </c:pt>
                <c:pt idx="90">
                  <c:v>1.8890143959239676</c:v>
                </c:pt>
                <c:pt idx="91">
                  <c:v>1.9224082261189348</c:v>
                </c:pt>
                <c:pt idx="92">
                  <c:v>1.9582178421106593</c:v>
                </c:pt>
                <c:pt idx="93">
                  <c:v>1.9913029644163946</c:v>
                </c:pt>
                <c:pt idx="94">
                  <c:v>2.0241029854834318</c:v>
                </c:pt>
                <c:pt idx="95">
                  <c:v>2.0537482319660514</c:v>
                </c:pt>
                <c:pt idx="96">
                  <c:v>2.0887499634833921</c:v>
                </c:pt>
                <c:pt idx="97">
                  <c:v>2.1235521235521264</c:v>
                </c:pt>
                <c:pt idx="98">
                  <c:v>2.1517765390963133</c:v>
                </c:pt>
                <c:pt idx="99">
                  <c:v>2.1857923497267762</c:v>
                </c:pt>
                <c:pt idx="100">
                  <c:v>2.2194207610390349</c:v>
                </c:pt>
                <c:pt idx="101">
                  <c:v>2.2481522036682118</c:v>
                </c:pt>
                <c:pt idx="102">
                  <c:v>2.2832339344320247</c:v>
                </c:pt>
                <c:pt idx="103">
                  <c:v>2.3142420493414004</c:v>
                </c:pt>
                <c:pt idx="104">
                  <c:v>2.3445999174700831</c:v>
                </c:pt>
                <c:pt idx="105">
                  <c:v>2.3780982947295155</c:v>
                </c:pt>
                <c:pt idx="106">
                  <c:v>2.4070457896624409</c:v>
                </c:pt>
                <c:pt idx="107">
                  <c:v>2.4393248737218225</c:v>
                </c:pt>
                <c:pt idx="108">
                  <c:v>2.4666807700444333</c:v>
                </c:pt>
                <c:pt idx="109">
                  <c:v>2.5018524168591569</c:v>
                </c:pt>
                <c:pt idx="110">
                  <c:v>2.531986531986536</c:v>
                </c:pt>
                <c:pt idx="111">
                  <c:v>2.5616127988162987</c:v>
                </c:pt>
                <c:pt idx="112">
                  <c:v>2.5903528403409406</c:v>
                </c:pt>
                <c:pt idx="113">
                  <c:v>2.6181604236124776</c:v>
                </c:pt>
                <c:pt idx="114">
                  <c:v>2.6449952046842711</c:v>
                </c:pt>
                <c:pt idx="115">
                  <c:v>2.6812159002338221</c:v>
                </c:pt>
                <c:pt idx="116">
                  <c:v>2.7115199486576129</c:v>
                </c:pt>
                <c:pt idx="117">
                  <c:v>2.7352779306549282</c:v>
                </c:pt>
                <c:pt idx="118">
                  <c:v>2.7692830445124073</c:v>
                </c:pt>
                <c:pt idx="119">
                  <c:v>2.7965509205313448</c:v>
                </c:pt>
                <c:pt idx="120">
                  <c:v>2.8288882229547525</c:v>
                </c:pt>
                <c:pt idx="121">
                  <c:v>2.8537968441814563</c:v>
                </c:pt>
                <c:pt idx="122">
                  <c:v>2.8839449832033974</c:v>
                </c:pt>
                <c:pt idx="123">
                  <c:v>2.9130009775171097</c:v>
                </c:pt>
                <c:pt idx="124">
                  <c:v>2.9342801634621796</c:v>
                </c:pt>
                <c:pt idx="125">
                  <c:v>2.968115143585162</c:v>
                </c:pt>
                <c:pt idx="126">
                  <c:v>2.9938424516950919</c:v>
                </c:pt>
                <c:pt idx="127">
                  <c:v>3.0256745945159582</c:v>
                </c:pt>
                <c:pt idx="128">
                  <c:v>3.0565727524101409</c:v>
                </c:pt>
                <c:pt idx="129">
                  <c:v>3.0786948176583424</c:v>
                </c:pt>
                <c:pt idx="130">
                  <c:v>3.1072555205047392</c:v>
                </c:pt>
                <c:pt idx="131">
                  <c:v>3.1353803775419307</c:v>
                </c:pt>
                <c:pt idx="132">
                  <c:v>3.1624500665778967</c:v>
                </c:pt>
                <c:pt idx="133">
                  <c:v>3.1880341880341843</c:v>
                </c:pt>
                <c:pt idx="134">
                  <c:v>3.2212762222417313</c:v>
                </c:pt>
                <c:pt idx="135">
                  <c:v>3.2444124008651771</c:v>
                </c:pt>
                <c:pt idx="136">
                  <c:v>3.275654668270553</c:v>
                </c:pt>
                <c:pt idx="137">
                  <c:v>3.2959726443769046</c:v>
                </c:pt>
                <c:pt idx="138">
                  <c:v>3.3346333853354184</c:v>
                </c:pt>
                <c:pt idx="139">
                  <c:v>3.3523466426498554</c:v>
                </c:pt>
                <c:pt idx="140">
                  <c:v>3.3785171493119832</c:v>
                </c:pt>
                <c:pt idx="141">
                  <c:v>3.4134007585334998</c:v>
                </c:pt>
                <c:pt idx="142">
                  <c:v>3.4255457099632638</c:v>
                </c:pt>
                <c:pt idx="143">
                  <c:v>3.4582132564841417</c:v>
                </c:pt>
                <c:pt idx="144">
                  <c:v>3.4780631961809529</c:v>
                </c:pt>
                <c:pt idx="145">
                  <c:v>3.5081585081585107</c:v>
                </c:pt>
                <c:pt idx="146">
                  <c:v>3.5372848948374789</c:v>
                </c:pt>
                <c:pt idx="147">
                  <c:v>3.5653026219063841</c:v>
                </c:pt>
                <c:pt idx="148">
                  <c:v>3.5790531206831599</c:v>
                </c:pt>
                <c:pt idx="149">
                  <c:v>3.6040674475479468</c:v>
                </c:pt>
                <c:pt idx="150">
                  <c:v>3.6411609498680768</c:v>
                </c:pt>
                <c:pt idx="151">
                  <c:v>3.6636474246315949</c:v>
                </c:pt>
                <c:pt idx="152">
                  <c:v>3.6847208754675198</c:v>
                </c:pt>
                <c:pt idx="153">
                  <c:v>3.7184217996026017</c:v>
                </c:pt>
                <c:pt idx="154">
                  <c:v>3.7365513230590355</c:v>
                </c:pt>
                <c:pt idx="155">
                  <c:v>3.7676842889054289</c:v>
                </c:pt>
                <c:pt idx="156">
                  <c:v>3.798047589993895</c:v>
                </c:pt>
                <c:pt idx="157">
                  <c:v>3.8113089659481374</c:v>
                </c:pt>
                <c:pt idx="158">
                  <c:v>3.8387715930902107</c:v>
                </c:pt>
                <c:pt idx="159">
                  <c:v>3.8650507697346912</c:v>
                </c:pt>
                <c:pt idx="160">
                  <c:v>3.8900067069081232</c:v>
                </c:pt>
                <c:pt idx="161">
                  <c:v>3.913491246137994</c:v>
                </c:pt>
                <c:pt idx="162">
                  <c:v>3.9353478566408953</c:v>
                </c:pt>
                <c:pt idx="163">
                  <c:v>3.9554117224020136</c:v>
                </c:pt>
                <c:pt idx="164">
                  <c:v>3.9742410303587898</c:v>
                </c:pt>
                <c:pt idx="165">
                  <c:v>4.010544153643373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0"/>
          <c:extLst>
            <c:ext xmlns:c16="http://schemas.microsoft.com/office/drawing/2014/chart" uri="{C3380CC4-5D6E-409C-BE32-E72D297353CC}">
              <c16:uniqueId val="{00000002-C4B6-45FB-8EE6-E06B3AA7DB99}"/>
            </c:ext>
          </c:extLst>
        </c:ser>
        <c:ser>
          <c:idx val="1"/>
          <c:order val="3"/>
          <c:tx>
            <c:v>NTC Max Low Tolerance</c:v>
          </c:tx>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Comparison'!$V$33:$V$248</c:f>
              <c:numCache>
                <c:formatCode>0.00</c:formatCode>
                <c:ptCount val="216"/>
                <c:pt idx="0">
                  <c:v>-3.9007012450677676</c:v>
                </c:pt>
                <c:pt idx="1">
                  <c:v>-3.8464263175228308</c:v>
                </c:pt>
                <c:pt idx="2">
                  <c:v>-3.7925547856046404</c:v>
                </c:pt>
                <c:pt idx="3">
                  <c:v>-3.7390789099769672</c:v>
                </c:pt>
                <c:pt idx="4">
                  <c:v>-3.6859675744748821</c:v>
                </c:pt>
                <c:pt idx="5">
                  <c:v>-3.6331670839772885</c:v>
                </c:pt>
                <c:pt idx="6">
                  <c:v>-3.5807636834214072</c:v>
                </c:pt>
                <c:pt idx="7">
                  <c:v>-3.5287189299445925</c:v>
                </c:pt>
                <c:pt idx="8">
                  <c:v>-3.4770257456069027</c:v>
                </c:pt>
                <c:pt idx="9">
                  <c:v>-3.4257064813513023</c:v>
                </c:pt>
                <c:pt idx="10">
                  <c:v>-3.3745900865571326</c:v>
                </c:pt>
                <c:pt idx="11">
                  <c:v>-3.3240397192764561</c:v>
                </c:pt>
                <c:pt idx="12">
                  <c:v>-3.2737439468053333</c:v>
                </c:pt>
                <c:pt idx="13">
                  <c:v>-3.2238372572635421</c:v>
                </c:pt>
                <c:pt idx="14">
                  <c:v>-3.1741586753716091</c:v>
                </c:pt>
                <c:pt idx="15">
                  <c:v>-3.124871514913413</c:v>
                </c:pt>
                <c:pt idx="16">
                  <c:v>-3.0759564837150299</c:v>
                </c:pt>
                <c:pt idx="17">
                  <c:v>-3.0271719153225551</c:v>
                </c:pt>
                <c:pt idx="18">
                  <c:v>-2.978794593955842</c:v>
                </c:pt>
                <c:pt idx="19">
                  <c:v>-2.9307949015581012</c:v>
                </c:pt>
                <c:pt idx="20">
                  <c:v>-2.8830526681389972</c:v>
                </c:pt>
                <c:pt idx="21">
                  <c:v>-2.8357903515426051</c:v>
                </c:pt>
                <c:pt idx="22">
                  <c:v>-2.7886432274422992</c:v>
                </c:pt>
                <c:pt idx="23">
                  <c:v>-2.741847747804234</c:v>
                </c:pt>
                <c:pt idx="24">
                  <c:v>-2.695443662134565</c:v>
                </c:pt>
                <c:pt idx="25">
                  <c:v>-2.6492275804479357</c:v>
                </c:pt>
                <c:pt idx="26">
                  <c:v>-2.6032721155029863</c:v>
                </c:pt>
                <c:pt idx="27">
                  <c:v>-2.5575971282832564</c:v>
                </c:pt>
                <c:pt idx="28">
                  <c:v>-2.5121639363956989</c:v>
                </c:pt>
                <c:pt idx="29">
                  <c:v>-2.4670941764893564</c:v>
                </c:pt>
                <c:pt idx="30">
                  <c:v>-2.422470133768714</c:v>
                </c:pt>
                <c:pt idx="31">
                  <c:v>-2.3773574681586247</c:v>
                </c:pt>
                <c:pt idx="32">
                  <c:v>-2.333045462162127</c:v>
                </c:pt>
                <c:pt idx="33">
                  <c:v>-2.2887338190430206</c:v>
                </c:pt>
                <c:pt idx="34">
                  <c:v>-2.2448133131311381</c:v>
                </c:pt>
                <c:pt idx="35">
                  <c:v>-2.2010964174647856</c:v>
                </c:pt>
                <c:pt idx="36">
                  <c:v>-2.157638719667363</c:v>
                </c:pt>
                <c:pt idx="37">
                  <c:v>-2.1144422952933639</c:v>
                </c:pt>
                <c:pt idx="38">
                  <c:v>-2.071474283404628</c:v>
                </c:pt>
                <c:pt idx="39">
                  <c:v>-2.0286316411651035</c:v>
                </c:pt>
                <c:pt idx="40">
                  <c:v>-1.9861418294842443</c:v>
                </c:pt>
                <c:pt idx="41">
                  <c:v>-1.9443166129774505</c:v>
                </c:pt>
                <c:pt idx="42">
                  <c:v>-1.9025360477354918</c:v>
                </c:pt>
                <c:pt idx="43">
                  <c:v>-1.8608904049534702</c:v>
                </c:pt>
                <c:pt idx="44">
                  <c:v>-1.8198920868008894</c:v>
                </c:pt>
                <c:pt idx="45">
                  <c:v>-1.7787485638773592</c:v>
                </c:pt>
                <c:pt idx="46">
                  <c:v>-1.7374425981157979</c:v>
                </c:pt>
                <c:pt idx="47">
                  <c:v>-1.6968805818440087</c:v>
                </c:pt>
                <c:pt idx="48">
                  <c:v>-1.6565978559860188</c:v>
                </c:pt>
                <c:pt idx="49">
                  <c:v>-1.6165143708020402</c:v>
                </c:pt>
                <c:pt idx="50">
                  <c:v>-1.5759671975677108</c:v>
                </c:pt>
                <c:pt idx="51">
                  <c:v>-1.5365489517192501</c:v>
                </c:pt>
                <c:pt idx="52">
                  <c:v>-1.4962744339074985</c:v>
                </c:pt>
                <c:pt idx="53">
                  <c:v>-1.457294656796092</c:v>
                </c:pt>
                <c:pt idx="54">
                  <c:v>-1.4182027800704844</c:v>
                </c:pt>
                <c:pt idx="55">
                  <c:v>-1.3786758442089431</c:v>
                </c:pt>
                <c:pt idx="56">
                  <c:v>-1.3404217614743956</c:v>
                </c:pt>
                <c:pt idx="57">
                  <c:v>-1.3017454888548206</c:v>
                </c:pt>
                <c:pt idx="58">
                  <c:v>-1.2629417038984074</c:v>
                </c:pt>
                <c:pt idx="59">
                  <c:v>-1.2251075354468637</c:v>
                </c:pt>
                <c:pt idx="60">
                  <c:v>-1.1870369603907094</c:v>
                </c:pt>
                <c:pt idx="61">
                  <c:v>-1.1489409275806053</c:v>
                </c:pt>
                <c:pt idx="62">
                  <c:v>-1.1112401404236063</c:v>
                </c:pt>
                <c:pt idx="63">
                  <c:v>-1.0742613293751961</c:v>
                </c:pt>
                <c:pt idx="64">
                  <c:v>-1.0374223378124618</c:v>
                </c:pt>
                <c:pt idx="65">
                  <c:v>-1</c:v>
                </c:pt>
                <c:pt idx="66">
                  <c:v>-1.0369309335492458</c:v>
                </c:pt>
                <c:pt idx="67">
                  <c:v>-1.0739484030807425</c:v>
                </c:pt>
                <c:pt idx="68">
                  <c:v>-1.1098692299094588</c:v>
                </c:pt>
                <c:pt idx="69">
                  <c:v>-1.1456135061802959</c:v>
                </c:pt>
                <c:pt idx="70">
                  <c:v>-1.1822719345721242</c:v>
                </c:pt>
                <c:pt idx="71">
                  <c:v>-1.2184931592272574</c:v>
                </c:pt>
                <c:pt idx="72">
                  <c:v>-1.25425087603605</c:v>
                </c:pt>
                <c:pt idx="73">
                  <c:v>-1.2893886796499059</c:v>
                </c:pt>
                <c:pt idx="74">
                  <c:v>-1.3237765831840116</c:v>
                </c:pt>
                <c:pt idx="75">
                  <c:v>-1.3601232026943393</c:v>
                </c:pt>
                <c:pt idx="76">
                  <c:v>-1.3956193060670592</c:v>
                </c:pt>
                <c:pt idx="77">
                  <c:v>-1.4300937437259711</c:v>
                </c:pt>
                <c:pt idx="78">
                  <c:v>-1.4633912292486324</c:v>
                </c:pt>
                <c:pt idx="79">
                  <c:v>-1.4985924821990395</c:v>
                </c:pt>
                <c:pt idx="80">
                  <c:v>-1.5307871640153623</c:v>
                </c:pt>
                <c:pt idx="81">
                  <c:v>-1.5667973809819578</c:v>
                </c:pt>
                <c:pt idx="82">
                  <c:v>-1.6013515995151839</c:v>
                </c:pt>
                <c:pt idx="83">
                  <c:v>-1.6323660756703446</c:v>
                </c:pt>
                <c:pt idx="84">
                  <c:v>-1.6672237186166796</c:v>
                </c:pt>
                <c:pt idx="85">
                  <c:v>-1.7002582928267702</c:v>
                </c:pt>
                <c:pt idx="86">
                  <c:v>-1.7333137003302475</c:v>
                </c:pt>
                <c:pt idx="87">
                  <c:v>-1.7663309477714366</c:v>
                </c:pt>
                <c:pt idx="88">
                  <c:v>-1.7993297496682485</c:v>
                </c:pt>
                <c:pt idx="89">
                  <c:v>-1.8322172619047661</c:v>
                </c:pt>
                <c:pt idx="90">
                  <c:v>-1.8649811338892899</c:v>
                </c:pt>
                <c:pt idx="91">
                  <c:v>-1.8975709105359804</c:v>
                </c:pt>
                <c:pt idx="92">
                  <c:v>-1.9274201827327766</c:v>
                </c:pt>
                <c:pt idx="93">
                  <c:v>-1.9594845415495596</c:v>
                </c:pt>
                <c:pt idx="94">
                  <c:v>-1.991235278006021</c:v>
                </c:pt>
                <c:pt idx="95">
                  <c:v>-2.025459688826023</c:v>
                </c:pt>
                <c:pt idx="96">
                  <c:v>-2.0566153486605736</c:v>
                </c:pt>
                <c:pt idx="97">
                  <c:v>-2.0843388030888006</c:v>
                </c:pt>
                <c:pt idx="98">
                  <c:v>-2.120636502351084</c:v>
                </c:pt>
                <c:pt idx="99">
                  <c:v>-2.1504339440694338</c:v>
                </c:pt>
                <c:pt idx="100">
                  <c:v>-2.1796105231728848</c:v>
                </c:pt>
                <c:pt idx="101">
                  <c:v>-2.2105119080208016</c:v>
                </c:pt>
                <c:pt idx="102">
                  <c:v>-2.2373575184387775</c:v>
                </c:pt>
                <c:pt idx="103">
                  <c:v>-2.2705771050141781</c:v>
                </c:pt>
                <c:pt idx="104">
                  <c:v>-2.2995835990546474</c:v>
                </c:pt>
                <c:pt idx="105">
                  <c:v>-2.3278295502880719</c:v>
                </c:pt>
                <c:pt idx="106">
                  <c:v>-2.359223687881093</c:v>
                </c:pt>
                <c:pt idx="107">
                  <c:v>-2.3859389758120781</c:v>
                </c:pt>
                <c:pt idx="108">
                  <c:v>-2.4159086101121181</c:v>
                </c:pt>
                <c:pt idx="109">
                  <c:v>-2.4451902541080224</c:v>
                </c:pt>
                <c:pt idx="110">
                  <c:v>-2.4736251402918028</c:v>
                </c:pt>
                <c:pt idx="111">
                  <c:v>-2.5015027511906371</c:v>
                </c:pt>
                <c:pt idx="112">
                  <c:v>-2.5332127041569361</c:v>
                </c:pt>
                <c:pt idx="113">
                  <c:v>-2.5642282800549103</c:v>
                </c:pt>
                <c:pt idx="114">
                  <c:v>-2.5894704961889836</c:v>
                </c:pt>
                <c:pt idx="115">
                  <c:v>-2.6188620420888591</c:v>
                </c:pt>
                <c:pt idx="116">
                  <c:v>-2.6419937961279212</c:v>
                </c:pt>
                <c:pt idx="117">
                  <c:v>-2.6747385800770451</c:v>
                </c:pt>
                <c:pt idx="118">
                  <c:v>-2.7013251783894012</c:v>
                </c:pt>
                <c:pt idx="119">
                  <c:v>-2.7324632952691732</c:v>
                </c:pt>
                <c:pt idx="120">
                  <c:v>-2.7569673359304767</c:v>
                </c:pt>
                <c:pt idx="121">
                  <c:v>-2.785996055226827</c:v>
                </c:pt>
                <c:pt idx="122">
                  <c:v>-2.8078848957342939</c:v>
                </c:pt>
                <c:pt idx="123">
                  <c:v>-2.8413163897034805</c:v>
                </c:pt>
                <c:pt idx="124">
                  <c:v>-2.867287465666239</c:v>
                </c:pt>
                <c:pt idx="125">
                  <c:v>-2.8923627849321671</c:v>
                </c:pt>
                <c:pt idx="126">
                  <c:v>-2.915988392667566</c:v>
                </c:pt>
                <c:pt idx="127">
                  <c:v>-2.9456687759109754</c:v>
                </c:pt>
                <c:pt idx="128">
                  <c:v>-2.9668933562513877</c:v>
                </c:pt>
                <c:pt idx="129">
                  <c:v>-2.9942418426103647</c:v>
                </c:pt>
                <c:pt idx="130">
                  <c:v>-3.0283911671924364</c:v>
                </c:pt>
                <c:pt idx="131">
                  <c:v>-3.0543627967268936</c:v>
                </c:pt>
                <c:pt idx="132">
                  <c:v>-3.0709054593874723</c:v>
                </c:pt>
                <c:pt idx="133">
                  <c:v>-3.1025641025640986</c:v>
                </c:pt>
                <c:pt idx="134">
                  <c:v>-3.1247257087685343</c:v>
                </c:pt>
                <c:pt idx="135">
                  <c:v>-3.1542898341744778</c:v>
                </c:pt>
                <c:pt idx="136">
                  <c:v>-3.1738687887480292</c:v>
                </c:pt>
                <c:pt idx="137">
                  <c:v>-3.2104863221884461</c:v>
                </c:pt>
                <c:pt idx="138">
                  <c:v>-3.2273790951637982</c:v>
                </c:pt>
                <c:pt idx="139">
                  <c:v>-3.2522765936155307</c:v>
                </c:pt>
                <c:pt idx="140">
                  <c:v>-3.2758266584514253</c:v>
                </c:pt>
                <c:pt idx="141">
                  <c:v>-3.2975136957437914</c:v>
                </c:pt>
                <c:pt idx="142">
                  <c:v>-3.3282904689863795</c:v>
                </c:pt>
                <c:pt idx="143">
                  <c:v>-3.3473730880070987</c:v>
                </c:pt>
                <c:pt idx="144">
                  <c:v>-3.3757672198226794</c:v>
                </c:pt>
                <c:pt idx="145">
                  <c:v>-3.4032634032634088</c:v>
                </c:pt>
                <c:pt idx="146">
                  <c:v>-3.4297323135755176</c:v>
                </c:pt>
                <c:pt idx="147">
                  <c:v>-3.4427836314628792</c:v>
                </c:pt>
                <c:pt idx="148">
                  <c:v>-3.4785884716815185</c:v>
                </c:pt>
                <c:pt idx="149">
                  <c:v>-3.5010940919037115</c:v>
                </c:pt>
                <c:pt idx="150">
                  <c:v>-3.5224274406332516</c:v>
                </c:pt>
                <c:pt idx="151">
                  <c:v>-3.5419764769501203</c:v>
                </c:pt>
                <c:pt idx="152">
                  <c:v>-3.560049868402817</c:v>
                </c:pt>
                <c:pt idx="153">
                  <c:v>-3.5906897530513864</c:v>
                </c:pt>
                <c:pt idx="154">
                  <c:v>-3.605699331200924</c:v>
                </c:pt>
                <c:pt idx="155">
                  <c:v>-3.6336559940431834</c:v>
                </c:pt>
                <c:pt idx="156">
                  <c:v>-3.6607687614399023</c:v>
                </c:pt>
                <c:pt idx="157">
                  <c:v>-3.6863480162449265</c:v>
                </c:pt>
                <c:pt idx="158">
                  <c:v>-3.7108125399872112</c:v>
                </c:pt>
                <c:pt idx="159">
                  <c:v>-3.7340320995742005</c:v>
                </c:pt>
                <c:pt idx="160">
                  <c:v>-3.7558685446009354</c:v>
                </c:pt>
                <c:pt idx="161">
                  <c:v>-3.7761757638173701</c:v>
                </c:pt>
                <c:pt idx="162">
                  <c:v>-3.7947997189037284</c:v>
                </c:pt>
                <c:pt idx="163">
                  <c:v>-3.8295577130528704</c:v>
                </c:pt>
                <c:pt idx="164">
                  <c:v>-3.8454461821527097</c:v>
                </c:pt>
                <c:pt idx="165">
                  <c:v>-3.8599133873093576</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3-C4B6-45FB-8EE6-E06B3AA7DB99}"/>
            </c:ext>
          </c:extLst>
        </c:ser>
        <c:dLbls>
          <c:showLegendKey val="0"/>
          <c:showVal val="0"/>
          <c:showCatName val="0"/>
          <c:showSerName val="0"/>
          <c:showPercent val="0"/>
          <c:showBubbleSize val="0"/>
        </c:dLbls>
        <c:axId val="505936896"/>
        <c:axId val="506729600"/>
      </c:scatterChart>
      <c:valAx>
        <c:axId val="505936896"/>
        <c:scaling>
          <c:orientation val="minMax"/>
          <c:max val="175"/>
          <c:min val="-50"/>
        </c:scaling>
        <c:delete val="0"/>
        <c:axPos val="b"/>
        <c:title>
          <c:tx>
            <c:rich>
              <a:bodyPr/>
              <a:lstStyle/>
              <a:p>
                <a:pPr>
                  <a:defRPr/>
                </a:pPr>
                <a:r>
                  <a:rPr lang="en-US"/>
                  <a:t>Temperature in C</a:t>
                </a:r>
              </a:p>
            </c:rich>
          </c:tx>
          <c:overlay val="0"/>
        </c:title>
        <c:numFmt formatCode="General" sourceLinked="1"/>
        <c:majorTickMark val="none"/>
        <c:minorTickMark val="none"/>
        <c:tickLblPos val="low"/>
        <c:crossAx val="506729600"/>
        <c:crosses val="autoZero"/>
        <c:crossBetween val="midCat"/>
      </c:valAx>
      <c:valAx>
        <c:axId val="506729600"/>
        <c:scaling>
          <c:orientation val="minMax"/>
        </c:scaling>
        <c:delete val="0"/>
        <c:axPos val="l"/>
        <c:majorGridlines/>
        <c:title>
          <c:tx>
            <c:rich>
              <a:bodyPr/>
              <a:lstStyle/>
              <a:p>
                <a:pPr>
                  <a:defRPr/>
                </a:pPr>
                <a:r>
                  <a:rPr lang="en-US"/>
                  <a:t>Resistance Tolerance (%)</a:t>
                </a:r>
              </a:p>
            </c:rich>
          </c:tx>
          <c:overlay val="0"/>
        </c:title>
        <c:numFmt formatCode="0" sourceLinked="0"/>
        <c:majorTickMark val="none"/>
        <c:minorTickMark val="none"/>
        <c:tickLblPos val="low"/>
        <c:crossAx val="505936896"/>
        <c:crossesAt val="-40"/>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Regression Function</a:t>
            </a:r>
          </a:p>
        </c:rich>
      </c:tx>
      <c:layout>
        <c:manualLayout>
          <c:xMode val="edge"/>
          <c:yMode val="edge"/>
          <c:x val="0.20051165295196532"/>
          <c:y val="0"/>
        </c:manualLayout>
      </c:layout>
      <c:overlay val="0"/>
    </c:title>
    <c:autoTitleDeleted val="0"/>
    <c:plotArea>
      <c:layout>
        <c:manualLayout>
          <c:layoutTarget val="inner"/>
          <c:xMode val="edge"/>
          <c:yMode val="edge"/>
          <c:x val="0.12384705640939297"/>
          <c:y val="0.20616895027022486"/>
          <c:w val="0.61570524567574136"/>
          <c:h val="0.63129947417388743"/>
        </c:manualLayout>
      </c:layout>
      <c:scatterChart>
        <c:scatterStyle val="smoothMarker"/>
        <c:varyColors val="0"/>
        <c:ser>
          <c:idx val="0"/>
          <c:order val="0"/>
          <c:tx>
            <c:strRef>
              <c:f>'Device Resistance Tables'!$B$19</c:f>
              <c:strCache>
                <c:ptCount val="1"/>
                <c:pt idx="0">
                  <c:v>Temperature (°C)</c:v>
                </c:pt>
              </c:strCache>
            </c:strRef>
          </c:tx>
          <c:marker>
            <c:symbol val="none"/>
          </c:marker>
          <c:trendline>
            <c:spPr>
              <a:ln>
                <a:prstDash val="dash"/>
              </a:ln>
            </c:spPr>
            <c:trendlineType val="poly"/>
            <c:order val="4"/>
            <c:dispRSqr val="1"/>
            <c:dispEq val="1"/>
            <c:trendlineLbl>
              <c:layout>
                <c:manualLayout>
                  <c:x val="0.10221039637088736"/>
                  <c:y val="-0.26067251923755586"/>
                </c:manualLayout>
              </c:layout>
              <c:numFmt formatCode="0.000000E+00" sourceLinked="0"/>
              <c:txPr>
                <a:bodyPr/>
                <a:lstStyle/>
                <a:p>
                  <a:pPr>
                    <a:defRPr sz="1000" b="0"/>
                  </a:pPr>
                  <a:endParaRPr lang="en-US"/>
                </a:p>
              </c:txPr>
            </c:trendlineLbl>
          </c:trendline>
          <c:xVal>
            <c:numRef>
              <c:f>'Device Resistance Tables'!$D$20:$D$210</c:f>
              <c:numCache>
                <c:formatCode>0</c:formatCode>
                <c:ptCount val="191"/>
                <c:pt idx="0">
                  <c:v>6603.4333582991267</c:v>
                </c:pt>
                <c:pt idx="1">
                  <c:v>6646.8933815461605</c:v>
                </c:pt>
                <c:pt idx="2">
                  <c:v>6690.6551550258555</c:v>
                </c:pt>
                <c:pt idx="3">
                  <c:v>6734.7186294058711</c:v>
                </c:pt>
                <c:pt idx="4">
                  <c:v>6779.083764096953</c:v>
                </c:pt>
                <c:pt idx="5">
                  <c:v>6823.7505272529388</c:v>
                </c:pt>
                <c:pt idx="6">
                  <c:v>6868.7188957707649</c:v>
                </c:pt>
                <c:pt idx="7">
                  <c:v>6913.988855290454</c:v>
                </c:pt>
                <c:pt idx="8">
                  <c:v>6959.5604001951224</c:v>
                </c:pt>
                <c:pt idx="9">
                  <c:v>7005.4335336109807</c:v>
                </c:pt>
                <c:pt idx="10">
                  <c:v>7051.6082674073314</c:v>
                </c:pt>
                <c:pt idx="11">
                  <c:v>7098.0846221965667</c:v>
                </c:pt>
                <c:pt idx="12">
                  <c:v>7144.8626273341724</c:v>
                </c:pt>
                <c:pt idx="13">
                  <c:v>7191.9423209187325</c:v>
                </c:pt>
                <c:pt idx="14">
                  <c:v>7239.3237497919117</c:v>
                </c:pt>
                <c:pt idx="15">
                  <c:v>7287.0069695384755</c:v>
                </c:pt>
                <c:pt idx="16">
                  <c:v>7334.992044486281</c:v>
                </c:pt>
                <c:pt idx="17">
                  <c:v>7383.2790477062763</c:v>
                </c:pt>
                <c:pt idx="18">
                  <c:v>7431.8680610125002</c:v>
                </c:pt>
                <c:pt idx="19">
                  <c:v>7480.7591749620869</c:v>
                </c:pt>
                <c:pt idx="20">
                  <c:v>7529.9524888552605</c:v>
                </c:pt>
                <c:pt idx="21">
                  <c:v>7579.4481107353395</c:v>
                </c:pt>
                <c:pt idx="22">
                  <c:v>7629.2461573887349</c:v>
                </c:pt>
                <c:pt idx="23">
                  <c:v>7679.3467543449451</c:v>
                </c:pt>
                <c:pt idx="24">
                  <c:v>7729.7500358765683</c:v>
                </c:pt>
                <c:pt idx="25">
                  <c:v>7780.4561449992898</c:v>
                </c:pt>
                <c:pt idx="26">
                  <c:v>7831.4652334718885</c:v>
                </c:pt>
                <c:pt idx="27">
                  <c:v>7882.7774617962377</c:v>
                </c:pt>
                <c:pt idx="28">
                  <c:v>7934.3929992172989</c:v>
                </c:pt>
                <c:pt idx="29">
                  <c:v>7986.3120237231315</c:v>
                </c:pt>
                <c:pt idx="30">
                  <c:v>8038.5347220448821</c:v>
                </c:pt>
                <c:pt idx="31">
                  <c:v>8091.06128965679</c:v>
                </c:pt>
                <c:pt idx="32">
                  <c:v>8143.8919307761917</c:v>
                </c:pt>
                <c:pt idx="33">
                  <c:v>8197.0268583635097</c:v>
                </c:pt>
                <c:pt idx="34">
                  <c:v>8250.4662941222668</c:v>
                </c:pt>
                <c:pt idx="35">
                  <c:v>8304.2104684990682</c:v>
                </c:pt>
                <c:pt idx="36">
                  <c:v>8358.2596206836224</c:v>
                </c:pt>
                <c:pt idx="37">
                  <c:v>8412.6139986087164</c:v>
                </c:pt>
                <c:pt idx="38">
                  <c:v>8467.2738589502424</c:v>
                </c:pt>
                <c:pt idx="39">
                  <c:v>8522.2394671271832</c:v>
                </c:pt>
                <c:pt idx="40">
                  <c:v>8577.5110973016035</c:v>
                </c:pt>
                <c:pt idx="41">
                  <c:v>8633.0890323786734</c:v>
                </c:pt>
                <c:pt idx="42">
                  <c:v>8688.9735640066483</c:v>
                </c:pt>
                <c:pt idx="43">
                  <c:v>8745.1649925768743</c:v>
                </c:pt>
                <c:pt idx="44">
                  <c:v>8801.6636272237974</c:v>
                </c:pt>
                <c:pt idx="45">
                  <c:v>8858.469785824951</c:v>
                </c:pt>
                <c:pt idx="46">
                  <c:v>8915.5837950009554</c:v>
                </c:pt>
                <c:pt idx="47">
                  <c:v>8973.0059901155346</c:v>
                </c:pt>
                <c:pt idx="48">
                  <c:v>9030.7367152754996</c:v>
                </c:pt>
                <c:pt idx="49">
                  <c:v>9088.7763233307523</c:v>
                </c:pt>
                <c:pt idx="50">
                  <c:v>9147.1251758742856</c:v>
                </c:pt>
                <c:pt idx="51">
                  <c:v>9205.7836432421918</c:v>
                </c:pt>
                <c:pt idx="52">
                  <c:v>9264.7521045136491</c:v>
                </c:pt>
                <c:pt idx="53">
                  <c:v>9324.0309475109261</c:v>
                </c:pt>
                <c:pt idx="54">
                  <c:v>9383.6205687993952</c:v>
                </c:pt>
                <c:pt idx="55">
                  <c:v>9443.5213736875103</c:v>
                </c:pt>
                <c:pt idx="56">
                  <c:v>9503.7337762268198</c:v>
                </c:pt>
                <c:pt idx="57">
                  <c:v>9564.2581992119649</c:v>
                </c:pt>
                <c:pt idx="58">
                  <c:v>9625.0950741806828</c:v>
                </c:pt>
                <c:pt idx="59">
                  <c:v>9686.2448414137998</c:v>
                </c:pt>
                <c:pt idx="60">
                  <c:v>9747.707949935233</c:v>
                </c:pt>
                <c:pt idx="61">
                  <c:v>9809.4848575119941</c:v>
                </c:pt>
                <c:pt idx="62">
                  <c:v>9871.576030654187</c:v>
                </c:pt>
                <c:pt idx="63">
                  <c:v>9933.9819446150068</c:v>
                </c:pt>
                <c:pt idx="64">
                  <c:v>9996.7030833907429</c:v>
                </c:pt>
                <c:pt idx="65">
                  <c:v>10059.739939720781</c:v>
                </c:pt>
                <c:pt idx="66">
                  <c:v>10123.093015087585</c:v>
                </c:pt>
                <c:pt idx="67">
                  <c:v>10186.762819716723</c:v>
                </c:pt>
                <c:pt idx="68">
                  <c:v>10250.749872576858</c:v>
                </c:pt>
                <c:pt idx="69">
                  <c:v>10315.054701379731</c:v>
                </c:pt>
                <c:pt idx="70">
                  <c:v>10379.677842580193</c:v>
                </c:pt>
                <c:pt idx="71">
                  <c:v>10444.619841376174</c:v>
                </c:pt>
                <c:pt idx="72">
                  <c:v>10509.881251708703</c:v>
                </c:pt>
                <c:pt idx="73">
                  <c:v>10575.4626362619</c:v>
                </c:pt>
                <c:pt idx="74">
                  <c:v>10641.364566462973</c:v>
                </c:pt>
                <c:pt idx="75">
                  <c:v>10707.587622482231</c:v>
                </c:pt>
                <c:pt idx="76">
                  <c:v>10774.132393233067</c:v>
                </c:pt>
                <c:pt idx="77">
                  <c:v>10840.999476371971</c:v>
                </c:pt>
                <c:pt idx="78">
                  <c:v>10908.189478298526</c:v>
                </c:pt>
                <c:pt idx="79">
                  <c:v>10975.703014155399</c:v>
                </c:pt>
                <c:pt idx="80">
                  <c:v>11043.540707828366</c:v>
                </c:pt>
                <c:pt idx="81">
                  <c:v>11111.703191946277</c:v>
                </c:pt>
                <c:pt idx="82">
                  <c:v>11180.191107881083</c:v>
                </c:pt>
                <c:pt idx="83">
                  <c:v>11249.005105747832</c:v>
                </c:pt>
                <c:pt idx="84">
                  <c:v>11318.145844404657</c:v>
                </c:pt>
                <c:pt idx="85">
                  <c:v>11387.613991452783</c:v>
                </c:pt>
                <c:pt idx="86">
                  <c:v>11457.410223236533</c:v>
                </c:pt>
                <c:pt idx="87">
                  <c:v>11527.535224843319</c:v>
                </c:pt>
                <c:pt idx="88">
                  <c:v>11597.989690103641</c:v>
                </c:pt>
                <c:pt idx="89">
                  <c:v>11668.774321591101</c:v>
                </c:pt>
                <c:pt idx="90">
                  <c:v>11739.889830622387</c:v>
                </c:pt>
                <c:pt idx="91">
                  <c:v>11811.336937257283</c:v>
                </c:pt>
                <c:pt idx="92">
                  <c:v>11883.116370298658</c:v>
                </c:pt>
                <c:pt idx="93">
                  <c:v>11955.228867292482</c:v>
                </c:pt>
                <c:pt idx="94">
                  <c:v>12027.675174527814</c:v>
                </c:pt>
                <c:pt idx="95">
                  <c:v>12100.456047036801</c:v>
                </c:pt>
                <c:pt idx="96">
                  <c:v>12173.572248594688</c:v>
                </c:pt>
                <c:pt idx="97">
                  <c:v>12247.024551719816</c:v>
                </c:pt>
                <c:pt idx="98">
                  <c:v>12320.813737673605</c:v>
                </c:pt>
                <c:pt idx="99">
                  <c:v>12394.940596460579</c:v>
                </c:pt>
                <c:pt idx="100">
                  <c:v>12469.405926828353</c:v>
                </c:pt>
                <c:pt idx="101">
                  <c:v>12544.21053626763</c:v>
                </c:pt>
                <c:pt idx="102">
                  <c:v>12619.355241012207</c:v>
                </c:pt>
                <c:pt idx="103">
                  <c:v>12694.840866038974</c:v>
                </c:pt>
                <c:pt idx="104">
                  <c:v>12770.668245067913</c:v>
                </c:pt>
                <c:pt idx="105">
                  <c:v>12846.838220562098</c:v>
                </c:pt>
                <c:pt idx="106">
                  <c:v>12923.351643727698</c:v>
                </c:pt>
                <c:pt idx="107">
                  <c:v>13000.209374513968</c:v>
                </c:pt>
                <c:pt idx="108">
                  <c:v>13077.412281613264</c:v>
                </c:pt>
                <c:pt idx="109">
                  <c:v>13154.961242461028</c:v>
                </c:pt>
                <c:pt idx="110">
                  <c:v>13232.857143235797</c:v>
                </c:pt>
                <c:pt idx="111">
                  <c:v>13311.100878859197</c:v>
                </c:pt>
                <c:pt idx="112">
                  <c:v>13389.693352995951</c:v>
                </c:pt>
                <c:pt idx="113">
                  <c:v>13468.635478053871</c:v>
                </c:pt>
                <c:pt idx="114">
                  <c:v>13547.928175183866</c:v>
                </c:pt>
                <c:pt idx="115">
                  <c:v>13627.572374279933</c:v>
                </c:pt>
                <c:pt idx="116">
                  <c:v>13707.569013979157</c:v>
                </c:pt>
                <c:pt idx="117">
                  <c:v>13787.919041661722</c:v>
                </c:pt>
                <c:pt idx="118">
                  <c:v>13868.623413450909</c:v>
                </c:pt>
                <c:pt idx="119">
                  <c:v>13949.683094213076</c:v>
                </c:pt>
                <c:pt idx="120">
                  <c:v>14031.099057557696</c:v>
                </c:pt>
                <c:pt idx="121">
                  <c:v>14112.872285837311</c:v>
                </c:pt>
                <c:pt idx="122">
                  <c:v>14195.003770147563</c:v>
                </c:pt>
                <c:pt idx="123">
                  <c:v>14277.494510327195</c:v>
                </c:pt>
                <c:pt idx="124">
                  <c:v>14360.345514958033</c:v>
                </c:pt>
                <c:pt idx="125">
                  <c:v>14443.557801365005</c:v>
                </c:pt>
                <c:pt idx="126">
                  <c:v>14527.132395616114</c:v>
                </c:pt>
                <c:pt idx="127">
                  <c:v>14611.070332522471</c:v>
                </c:pt>
                <c:pt idx="128">
                  <c:v>14695.372655638273</c:v>
                </c:pt>
                <c:pt idx="129">
                  <c:v>14780.040417260818</c:v>
                </c:pt>
                <c:pt idx="130">
                  <c:v>14865.074678430481</c:v>
                </c:pt>
                <c:pt idx="131">
                  <c:v>14950.476508930737</c:v>
                </c:pt>
                <c:pt idx="132">
                  <c:v>15036.246987288159</c:v>
                </c:pt>
                <c:pt idx="133">
                  <c:v>15122.387200772404</c:v>
                </c:pt>
                <c:pt idx="134">
                  <c:v>15208.898245396225</c:v>
                </c:pt>
                <c:pt idx="135">
                  <c:v>15295.781225915465</c:v>
                </c:pt>
                <c:pt idx="136">
                  <c:v>15383.037255829067</c:v>
                </c:pt>
                <c:pt idx="137">
                  <c:v>15470.667457379051</c:v>
                </c:pt>
                <c:pt idx="138">
                  <c:v>15558.67296155055</c:v>
                </c:pt>
                <c:pt idx="139">
                  <c:v>15647.054908071772</c:v>
                </c:pt>
                <c:pt idx="140">
                  <c:v>15735.81444541402</c:v>
                </c:pt>
                <c:pt idx="141">
                  <c:v>15824.952730791701</c:v>
                </c:pt>
                <c:pt idx="142">
                  <c:v>15914.470930162299</c:v>
                </c:pt>
                <c:pt idx="143">
                  <c:v>16004.370218226402</c:v>
                </c:pt>
                <c:pt idx="144">
                  <c:v>16094.651778427688</c:v>
                </c:pt>
                <c:pt idx="145">
                  <c:v>16185.316802952917</c:v>
                </c:pt>
                <c:pt idx="146">
                  <c:v>16276.366492731955</c:v>
                </c:pt>
                <c:pt idx="147">
                  <c:v>16367.802057437757</c:v>
                </c:pt>
                <c:pt idx="148">
                  <c:v>16459.624715486363</c:v>
                </c:pt>
                <c:pt idx="149">
                  <c:v>16551.835694036916</c:v>
                </c:pt>
                <c:pt idx="150">
                  <c:v>16644.436228991643</c:v>
                </c:pt>
                <c:pt idx="151">
                  <c:v>16737.427564995862</c:v>
                </c:pt>
                <c:pt idx="152">
                  <c:v>16830.810955437995</c:v>
                </c:pt>
                <c:pt idx="153">
                  <c:v>16924.587662449547</c:v>
                </c:pt>
                <c:pt idx="154">
                  <c:v>17018.758956905116</c:v>
                </c:pt>
                <c:pt idx="155">
                  <c:v>17113.326118422396</c:v>
                </c:pt>
                <c:pt idx="156">
                  <c:v>17208.290435362167</c:v>
                </c:pt>
                <c:pt idx="157">
                  <c:v>17303.653204828308</c:v>
                </c:pt>
                <c:pt idx="158">
                  <c:v>17399.415732667792</c:v>
                </c:pt>
                <c:pt idx="159">
                  <c:v>17495.579333470669</c:v>
                </c:pt>
                <c:pt idx="160">
                  <c:v>17592.1453305701</c:v>
                </c:pt>
                <c:pt idx="161">
                  <c:v>17689.115056042334</c:v>
                </c:pt>
                <c:pt idx="162">
                  <c:v>17786.489850706701</c:v>
                </c:pt>
                <c:pt idx="163">
                  <c:v>17884.271064125631</c:v>
                </c:pt>
                <c:pt idx="164">
                  <c:v>17982.460054604664</c:v>
                </c:pt>
                <c:pt idx="165">
                  <c:v>18081.05818919239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numCache>
            </c:numRef>
          </c:xVal>
          <c:yVal>
            <c:numRef>
              <c:f>'Device Resistance Tables'!$B$20:$B$210</c:f>
              <c:numCache>
                <c:formatCode>General</c:formatCode>
                <c:ptCount val="19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numCache>
            </c:numRef>
          </c:yVal>
          <c:smooth val="1"/>
          <c:extLst>
            <c:ext xmlns:c16="http://schemas.microsoft.com/office/drawing/2014/chart" uri="{C3380CC4-5D6E-409C-BE32-E72D297353CC}">
              <c16:uniqueId val="{00000001-6591-44D6-B4BF-C5D14CA54943}"/>
            </c:ext>
          </c:extLst>
        </c:ser>
        <c:dLbls>
          <c:showLegendKey val="0"/>
          <c:showVal val="0"/>
          <c:showCatName val="0"/>
          <c:showSerName val="0"/>
          <c:showPercent val="0"/>
          <c:showBubbleSize val="0"/>
        </c:dLbls>
        <c:axId val="506323328"/>
        <c:axId val="506325248"/>
      </c:scatterChart>
      <c:valAx>
        <c:axId val="506323328"/>
        <c:scaling>
          <c:orientation val="minMax"/>
        </c:scaling>
        <c:delete val="0"/>
        <c:axPos val="b"/>
        <c:majorGridlines>
          <c:spPr>
            <a:ln>
              <a:noFill/>
            </a:ln>
          </c:spPr>
        </c:majorGridlines>
        <c:title>
          <c:tx>
            <c:rich>
              <a:bodyPr/>
              <a:lstStyle/>
              <a:p>
                <a:pPr>
                  <a:defRPr sz="1000">
                    <a:latin typeface="Arial" panose="020B0604020202020204" pitchFamily="34" charset="0"/>
                    <a:cs typeface="Arial" panose="020B0604020202020204" pitchFamily="34" charset="0"/>
                  </a:defRPr>
                </a:pPr>
                <a:r>
                  <a:rPr lang="en-US" sz="1000" b="1" i="0" baseline="0">
                    <a:effectLst/>
                    <a:latin typeface="Arial" panose="020B0604020202020204" pitchFamily="34" charset="0"/>
                    <a:cs typeface="Arial" panose="020B0604020202020204" pitchFamily="34" charset="0"/>
                  </a:rPr>
                  <a:t>Resistance in Ohms</a:t>
                </a:r>
                <a:endParaRPr lang="en-US" sz="1000">
                  <a:effectLst/>
                  <a:latin typeface="Arial" panose="020B0604020202020204" pitchFamily="34" charset="0"/>
                  <a:cs typeface="Arial" panose="020B0604020202020204" pitchFamily="34" charset="0"/>
                </a:endParaRPr>
              </a:p>
            </c:rich>
          </c:tx>
          <c:layout>
            <c:manualLayout>
              <c:xMode val="edge"/>
              <c:yMode val="edge"/>
              <c:x val="0.38384982100284731"/>
              <c:y val="0.91607238865781782"/>
            </c:manualLayout>
          </c:layout>
          <c:overlay val="0"/>
        </c:title>
        <c:numFmt formatCode="0" sourceLinked="1"/>
        <c:majorTickMark val="out"/>
        <c:minorTickMark val="out"/>
        <c:tickLblPos val="low"/>
        <c:crossAx val="506325248"/>
        <c:crosses val="autoZero"/>
        <c:crossBetween val="midCat"/>
      </c:valAx>
      <c:valAx>
        <c:axId val="506325248"/>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endParaRPr lang="en-US" sz="1000">
                  <a:effectLst/>
                </a:endParaRPr>
              </a:p>
            </c:rich>
          </c:tx>
          <c:layout>
            <c:manualLayout>
              <c:xMode val="edge"/>
              <c:yMode val="edge"/>
              <c:x val="4.0172406978463304E-2"/>
              <c:y val="0.31389821057028705"/>
            </c:manualLayout>
          </c:layout>
          <c:overlay val="0"/>
        </c:title>
        <c:numFmt formatCode="General" sourceLinked="1"/>
        <c:majorTickMark val="out"/>
        <c:minorTickMark val="none"/>
        <c:tickLblPos val="nextTo"/>
        <c:crossAx val="50632332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Quartic Function</a:t>
            </a:r>
          </a:p>
        </c:rich>
      </c:tx>
      <c:layout>
        <c:manualLayout>
          <c:xMode val="edge"/>
          <c:yMode val="edge"/>
          <c:x val="0.24520523933083094"/>
          <c:y val="3.0567699707852274E-3"/>
        </c:manualLayout>
      </c:layout>
      <c:overlay val="0"/>
    </c:title>
    <c:autoTitleDeleted val="0"/>
    <c:plotArea>
      <c:layout>
        <c:manualLayout>
          <c:layoutTarget val="inner"/>
          <c:xMode val="edge"/>
          <c:yMode val="edge"/>
          <c:x val="0.12384705640939297"/>
          <c:y val="0.20362077151172958"/>
          <c:w val="0.60599031350776"/>
          <c:h val="0.63384740423252339"/>
        </c:manualLayout>
      </c:layout>
      <c:scatterChart>
        <c:scatterStyle val="smoothMarker"/>
        <c:varyColors val="0"/>
        <c:ser>
          <c:idx val="0"/>
          <c:order val="0"/>
          <c:tx>
            <c:strRef>
              <c:f>'Device Resistance Tables'!$D$19</c:f>
              <c:strCache>
                <c:ptCount val="1"/>
                <c:pt idx="0">
                  <c:v>Typical Resistance (Ω)</c:v>
                </c:pt>
              </c:strCache>
            </c:strRef>
          </c:tx>
          <c:marker>
            <c:symbol val="none"/>
          </c:marker>
          <c:trendline>
            <c:spPr>
              <a:ln>
                <a:prstDash val="dash"/>
              </a:ln>
            </c:spPr>
            <c:trendlineType val="poly"/>
            <c:order val="4"/>
            <c:dispRSqr val="1"/>
            <c:dispEq val="1"/>
            <c:trendlineLbl>
              <c:layout>
                <c:manualLayout>
                  <c:x val="0.12328747233728463"/>
                  <c:y val="-0.18378397333340629"/>
                </c:manualLayout>
              </c:layout>
              <c:numFmt formatCode="0.000000E+00" sourceLinked="0"/>
            </c:trendlineLbl>
          </c:trendline>
          <c:xVal>
            <c:numRef>
              <c:f>'Device Resistance Tables'!$B$20:$B$210</c:f>
              <c:numCache>
                <c:formatCode>General</c:formatCode>
                <c:ptCount val="19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numCache>
            </c:numRef>
          </c:xVal>
          <c:yVal>
            <c:numRef>
              <c:f>'Device Resistance Tables'!$D$20:$D$210</c:f>
              <c:numCache>
                <c:formatCode>0</c:formatCode>
                <c:ptCount val="191"/>
                <c:pt idx="0">
                  <c:v>6603.4333582991267</c:v>
                </c:pt>
                <c:pt idx="1">
                  <c:v>6646.8933815461605</c:v>
                </c:pt>
                <c:pt idx="2">
                  <c:v>6690.6551550258555</c:v>
                </c:pt>
                <c:pt idx="3">
                  <c:v>6734.7186294058711</c:v>
                </c:pt>
                <c:pt idx="4">
                  <c:v>6779.083764096953</c:v>
                </c:pt>
                <c:pt idx="5">
                  <c:v>6823.7505272529388</c:v>
                </c:pt>
                <c:pt idx="6">
                  <c:v>6868.7188957707649</c:v>
                </c:pt>
                <c:pt idx="7">
                  <c:v>6913.988855290454</c:v>
                </c:pt>
                <c:pt idx="8">
                  <c:v>6959.5604001951224</c:v>
                </c:pt>
                <c:pt idx="9">
                  <c:v>7005.4335336109807</c:v>
                </c:pt>
                <c:pt idx="10">
                  <c:v>7051.6082674073314</c:v>
                </c:pt>
                <c:pt idx="11">
                  <c:v>7098.0846221965667</c:v>
                </c:pt>
                <c:pt idx="12">
                  <c:v>7144.8626273341724</c:v>
                </c:pt>
                <c:pt idx="13">
                  <c:v>7191.9423209187325</c:v>
                </c:pt>
                <c:pt idx="14">
                  <c:v>7239.3237497919117</c:v>
                </c:pt>
                <c:pt idx="15">
                  <c:v>7287.0069695384755</c:v>
                </c:pt>
                <c:pt idx="16">
                  <c:v>7334.992044486281</c:v>
                </c:pt>
                <c:pt idx="17">
                  <c:v>7383.2790477062763</c:v>
                </c:pt>
                <c:pt idx="18">
                  <c:v>7431.8680610125002</c:v>
                </c:pt>
                <c:pt idx="19">
                  <c:v>7480.7591749620869</c:v>
                </c:pt>
                <c:pt idx="20">
                  <c:v>7529.9524888552605</c:v>
                </c:pt>
                <c:pt idx="21">
                  <c:v>7579.4481107353395</c:v>
                </c:pt>
                <c:pt idx="22">
                  <c:v>7629.2461573887349</c:v>
                </c:pt>
                <c:pt idx="23">
                  <c:v>7679.3467543449451</c:v>
                </c:pt>
                <c:pt idx="24">
                  <c:v>7729.7500358765683</c:v>
                </c:pt>
                <c:pt idx="25">
                  <c:v>7780.4561449992898</c:v>
                </c:pt>
                <c:pt idx="26">
                  <c:v>7831.4652334718885</c:v>
                </c:pt>
                <c:pt idx="27">
                  <c:v>7882.7774617962377</c:v>
                </c:pt>
                <c:pt idx="28">
                  <c:v>7934.3929992172989</c:v>
                </c:pt>
                <c:pt idx="29">
                  <c:v>7986.3120237231315</c:v>
                </c:pt>
                <c:pt idx="30">
                  <c:v>8038.5347220448821</c:v>
                </c:pt>
                <c:pt idx="31">
                  <c:v>8091.06128965679</c:v>
                </c:pt>
                <c:pt idx="32">
                  <c:v>8143.8919307761917</c:v>
                </c:pt>
                <c:pt idx="33">
                  <c:v>8197.0268583635097</c:v>
                </c:pt>
                <c:pt idx="34">
                  <c:v>8250.4662941222668</c:v>
                </c:pt>
                <c:pt idx="35">
                  <c:v>8304.2104684990682</c:v>
                </c:pt>
                <c:pt idx="36">
                  <c:v>8358.2596206836224</c:v>
                </c:pt>
                <c:pt idx="37">
                  <c:v>8412.6139986087164</c:v>
                </c:pt>
                <c:pt idx="38">
                  <c:v>8467.2738589502424</c:v>
                </c:pt>
                <c:pt idx="39">
                  <c:v>8522.2394671271832</c:v>
                </c:pt>
                <c:pt idx="40">
                  <c:v>8577.5110973016035</c:v>
                </c:pt>
                <c:pt idx="41">
                  <c:v>8633.0890323786734</c:v>
                </c:pt>
                <c:pt idx="42">
                  <c:v>8688.9735640066483</c:v>
                </c:pt>
                <c:pt idx="43">
                  <c:v>8745.1649925768743</c:v>
                </c:pt>
                <c:pt idx="44">
                  <c:v>8801.6636272237974</c:v>
                </c:pt>
                <c:pt idx="45">
                  <c:v>8858.469785824951</c:v>
                </c:pt>
                <c:pt idx="46">
                  <c:v>8915.5837950009554</c:v>
                </c:pt>
                <c:pt idx="47">
                  <c:v>8973.0059901155346</c:v>
                </c:pt>
                <c:pt idx="48">
                  <c:v>9030.7367152754996</c:v>
                </c:pt>
                <c:pt idx="49">
                  <c:v>9088.7763233307523</c:v>
                </c:pt>
                <c:pt idx="50">
                  <c:v>9147.1251758742856</c:v>
                </c:pt>
                <c:pt idx="51">
                  <c:v>9205.7836432421918</c:v>
                </c:pt>
                <c:pt idx="52">
                  <c:v>9264.7521045136491</c:v>
                </c:pt>
                <c:pt idx="53">
                  <c:v>9324.0309475109261</c:v>
                </c:pt>
                <c:pt idx="54">
                  <c:v>9383.6205687993952</c:v>
                </c:pt>
                <c:pt idx="55">
                  <c:v>9443.5213736875103</c:v>
                </c:pt>
                <c:pt idx="56">
                  <c:v>9503.7337762268198</c:v>
                </c:pt>
                <c:pt idx="57">
                  <c:v>9564.2581992119649</c:v>
                </c:pt>
                <c:pt idx="58">
                  <c:v>9625.0950741806828</c:v>
                </c:pt>
                <c:pt idx="59">
                  <c:v>9686.2448414137998</c:v>
                </c:pt>
                <c:pt idx="60">
                  <c:v>9747.707949935233</c:v>
                </c:pt>
                <c:pt idx="61">
                  <c:v>9809.4848575119941</c:v>
                </c:pt>
                <c:pt idx="62">
                  <c:v>9871.576030654187</c:v>
                </c:pt>
                <c:pt idx="63">
                  <c:v>9933.9819446150068</c:v>
                </c:pt>
                <c:pt idx="64">
                  <c:v>9996.7030833907429</c:v>
                </c:pt>
                <c:pt idx="65">
                  <c:v>10059.739939720781</c:v>
                </c:pt>
                <c:pt idx="66">
                  <c:v>10123.093015087585</c:v>
                </c:pt>
                <c:pt idx="67">
                  <c:v>10186.762819716723</c:v>
                </c:pt>
                <c:pt idx="68">
                  <c:v>10250.749872576858</c:v>
                </c:pt>
                <c:pt idx="69">
                  <c:v>10315.054701379731</c:v>
                </c:pt>
                <c:pt idx="70">
                  <c:v>10379.677842580193</c:v>
                </c:pt>
                <c:pt idx="71">
                  <c:v>10444.619841376174</c:v>
                </c:pt>
                <c:pt idx="72">
                  <c:v>10509.881251708703</c:v>
                </c:pt>
                <c:pt idx="73">
                  <c:v>10575.4626362619</c:v>
                </c:pt>
                <c:pt idx="74">
                  <c:v>10641.364566462973</c:v>
                </c:pt>
                <c:pt idx="75">
                  <c:v>10707.587622482231</c:v>
                </c:pt>
                <c:pt idx="76">
                  <c:v>10774.132393233067</c:v>
                </c:pt>
                <c:pt idx="77">
                  <c:v>10840.999476371971</c:v>
                </c:pt>
                <c:pt idx="78">
                  <c:v>10908.189478298526</c:v>
                </c:pt>
                <c:pt idx="79">
                  <c:v>10975.703014155399</c:v>
                </c:pt>
                <c:pt idx="80">
                  <c:v>11043.540707828366</c:v>
                </c:pt>
                <c:pt idx="81">
                  <c:v>11111.703191946277</c:v>
                </c:pt>
                <c:pt idx="82">
                  <c:v>11180.191107881083</c:v>
                </c:pt>
                <c:pt idx="83">
                  <c:v>11249.005105747832</c:v>
                </c:pt>
                <c:pt idx="84">
                  <c:v>11318.145844404657</c:v>
                </c:pt>
                <c:pt idx="85">
                  <c:v>11387.613991452783</c:v>
                </c:pt>
                <c:pt idx="86">
                  <c:v>11457.410223236533</c:v>
                </c:pt>
                <c:pt idx="87">
                  <c:v>11527.535224843319</c:v>
                </c:pt>
                <c:pt idx="88">
                  <c:v>11597.989690103641</c:v>
                </c:pt>
                <c:pt idx="89">
                  <c:v>11668.774321591101</c:v>
                </c:pt>
                <c:pt idx="90">
                  <c:v>11739.889830622387</c:v>
                </c:pt>
                <c:pt idx="91">
                  <c:v>11811.336937257283</c:v>
                </c:pt>
                <c:pt idx="92">
                  <c:v>11883.116370298658</c:v>
                </c:pt>
                <c:pt idx="93">
                  <c:v>11955.228867292482</c:v>
                </c:pt>
                <c:pt idx="94">
                  <c:v>12027.675174527814</c:v>
                </c:pt>
                <c:pt idx="95">
                  <c:v>12100.456047036801</c:v>
                </c:pt>
                <c:pt idx="96">
                  <c:v>12173.572248594688</c:v>
                </c:pt>
                <c:pt idx="97">
                  <c:v>12247.024551719816</c:v>
                </c:pt>
                <c:pt idx="98">
                  <c:v>12320.813737673605</c:v>
                </c:pt>
                <c:pt idx="99">
                  <c:v>12394.940596460579</c:v>
                </c:pt>
                <c:pt idx="100">
                  <c:v>12469.405926828353</c:v>
                </c:pt>
                <c:pt idx="101">
                  <c:v>12544.21053626763</c:v>
                </c:pt>
                <c:pt idx="102">
                  <c:v>12619.355241012207</c:v>
                </c:pt>
                <c:pt idx="103">
                  <c:v>12694.840866038974</c:v>
                </c:pt>
                <c:pt idx="104">
                  <c:v>12770.668245067913</c:v>
                </c:pt>
                <c:pt idx="105">
                  <c:v>12846.838220562098</c:v>
                </c:pt>
                <c:pt idx="106">
                  <c:v>12923.351643727698</c:v>
                </c:pt>
                <c:pt idx="107">
                  <c:v>13000.209374513968</c:v>
                </c:pt>
                <c:pt idx="108">
                  <c:v>13077.412281613264</c:v>
                </c:pt>
                <c:pt idx="109">
                  <c:v>13154.961242461028</c:v>
                </c:pt>
                <c:pt idx="110">
                  <c:v>13232.857143235797</c:v>
                </c:pt>
                <c:pt idx="111">
                  <c:v>13311.100878859197</c:v>
                </c:pt>
                <c:pt idx="112">
                  <c:v>13389.693352995951</c:v>
                </c:pt>
                <c:pt idx="113">
                  <c:v>13468.635478053871</c:v>
                </c:pt>
                <c:pt idx="114">
                  <c:v>13547.928175183866</c:v>
                </c:pt>
                <c:pt idx="115">
                  <c:v>13627.572374279933</c:v>
                </c:pt>
                <c:pt idx="116">
                  <c:v>13707.569013979157</c:v>
                </c:pt>
                <c:pt idx="117">
                  <c:v>13787.919041661722</c:v>
                </c:pt>
                <c:pt idx="118">
                  <c:v>13868.623413450909</c:v>
                </c:pt>
                <c:pt idx="119">
                  <c:v>13949.683094213076</c:v>
                </c:pt>
                <c:pt idx="120">
                  <c:v>14031.099057557696</c:v>
                </c:pt>
                <c:pt idx="121">
                  <c:v>14112.872285837311</c:v>
                </c:pt>
                <c:pt idx="122">
                  <c:v>14195.003770147563</c:v>
                </c:pt>
                <c:pt idx="123">
                  <c:v>14277.494510327195</c:v>
                </c:pt>
                <c:pt idx="124">
                  <c:v>14360.345514958033</c:v>
                </c:pt>
                <c:pt idx="125">
                  <c:v>14443.557801365005</c:v>
                </c:pt>
                <c:pt idx="126">
                  <c:v>14527.132395616114</c:v>
                </c:pt>
                <c:pt idx="127">
                  <c:v>14611.070332522471</c:v>
                </c:pt>
                <c:pt idx="128">
                  <c:v>14695.372655638273</c:v>
                </c:pt>
                <c:pt idx="129">
                  <c:v>14780.040417260818</c:v>
                </c:pt>
                <c:pt idx="130">
                  <c:v>14865.074678430481</c:v>
                </c:pt>
                <c:pt idx="131">
                  <c:v>14950.476508930737</c:v>
                </c:pt>
                <c:pt idx="132">
                  <c:v>15036.246987288159</c:v>
                </c:pt>
                <c:pt idx="133">
                  <c:v>15122.387200772404</c:v>
                </c:pt>
                <c:pt idx="134">
                  <c:v>15208.898245396225</c:v>
                </c:pt>
                <c:pt idx="135">
                  <c:v>15295.781225915465</c:v>
                </c:pt>
                <c:pt idx="136">
                  <c:v>15383.037255829067</c:v>
                </c:pt>
                <c:pt idx="137">
                  <c:v>15470.667457379051</c:v>
                </c:pt>
                <c:pt idx="138">
                  <c:v>15558.67296155055</c:v>
                </c:pt>
                <c:pt idx="139">
                  <c:v>15647.054908071772</c:v>
                </c:pt>
                <c:pt idx="140">
                  <c:v>15735.81444541402</c:v>
                </c:pt>
                <c:pt idx="141">
                  <c:v>15824.952730791701</c:v>
                </c:pt>
                <c:pt idx="142">
                  <c:v>15914.470930162299</c:v>
                </c:pt>
                <c:pt idx="143">
                  <c:v>16004.370218226402</c:v>
                </c:pt>
                <c:pt idx="144">
                  <c:v>16094.651778427688</c:v>
                </c:pt>
                <c:pt idx="145">
                  <c:v>16185.316802952917</c:v>
                </c:pt>
                <c:pt idx="146">
                  <c:v>16276.366492731955</c:v>
                </c:pt>
                <c:pt idx="147">
                  <c:v>16367.802057437757</c:v>
                </c:pt>
                <c:pt idx="148">
                  <c:v>16459.624715486363</c:v>
                </c:pt>
                <c:pt idx="149">
                  <c:v>16551.835694036916</c:v>
                </c:pt>
                <c:pt idx="150">
                  <c:v>16644.436228991643</c:v>
                </c:pt>
                <c:pt idx="151">
                  <c:v>16737.427564995862</c:v>
                </c:pt>
                <c:pt idx="152">
                  <c:v>16830.810955437995</c:v>
                </c:pt>
                <c:pt idx="153">
                  <c:v>16924.587662449547</c:v>
                </c:pt>
                <c:pt idx="154">
                  <c:v>17018.758956905116</c:v>
                </c:pt>
                <c:pt idx="155">
                  <c:v>17113.326118422396</c:v>
                </c:pt>
                <c:pt idx="156">
                  <c:v>17208.290435362167</c:v>
                </c:pt>
                <c:pt idx="157">
                  <c:v>17303.653204828308</c:v>
                </c:pt>
                <c:pt idx="158">
                  <c:v>17399.415732667792</c:v>
                </c:pt>
                <c:pt idx="159">
                  <c:v>17495.579333470669</c:v>
                </c:pt>
                <c:pt idx="160">
                  <c:v>17592.1453305701</c:v>
                </c:pt>
                <c:pt idx="161">
                  <c:v>17689.115056042334</c:v>
                </c:pt>
                <c:pt idx="162">
                  <c:v>17786.489850706701</c:v>
                </c:pt>
                <c:pt idx="163">
                  <c:v>17884.271064125631</c:v>
                </c:pt>
                <c:pt idx="164">
                  <c:v>17982.460054604664</c:v>
                </c:pt>
                <c:pt idx="165">
                  <c:v>18081.05818919239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numCache>
            </c:numRef>
          </c:yVal>
          <c:smooth val="1"/>
          <c:extLst>
            <c:ext xmlns:c16="http://schemas.microsoft.com/office/drawing/2014/chart" uri="{C3380CC4-5D6E-409C-BE32-E72D297353CC}">
              <c16:uniqueId val="{00000001-268B-4344-891A-8BF51BC38BB1}"/>
            </c:ext>
          </c:extLst>
        </c:ser>
        <c:dLbls>
          <c:showLegendKey val="0"/>
          <c:showVal val="0"/>
          <c:showCatName val="0"/>
          <c:showSerName val="0"/>
          <c:showPercent val="0"/>
          <c:showBubbleSize val="0"/>
        </c:dLbls>
        <c:axId val="506383744"/>
        <c:axId val="506394112"/>
      </c:scatterChart>
      <c:valAx>
        <c:axId val="506383744"/>
        <c:scaling>
          <c:orientation val="minMax"/>
        </c:scaling>
        <c:delete val="0"/>
        <c:axPos val="b"/>
        <c:majorGridlines>
          <c:spPr>
            <a:ln>
              <a:noFill/>
            </a:ln>
          </c:spPr>
        </c:majorGridlines>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p>
            </c:rich>
          </c:tx>
          <c:layout>
            <c:manualLayout>
              <c:xMode val="edge"/>
              <c:yMode val="edge"/>
              <c:x val="0.38384982100284731"/>
              <c:y val="0.91607238865781782"/>
            </c:manualLayout>
          </c:layout>
          <c:overlay val="0"/>
        </c:title>
        <c:numFmt formatCode="General" sourceLinked="1"/>
        <c:majorTickMark val="out"/>
        <c:minorTickMark val="out"/>
        <c:tickLblPos val="low"/>
        <c:crossAx val="506394112"/>
        <c:crosses val="autoZero"/>
        <c:crossBetween val="midCat"/>
      </c:valAx>
      <c:valAx>
        <c:axId val="506394112"/>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Resistance in Ohms</a:t>
                </a:r>
                <a:endParaRPr lang="en-US"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sz="1000">
                  <a:effectLst/>
                </a:endParaRPr>
              </a:p>
            </c:rich>
          </c:tx>
          <c:layout>
            <c:manualLayout>
              <c:xMode val="edge"/>
              <c:yMode val="edge"/>
              <c:x val="1.4251545997376417E-2"/>
              <c:y val="0.3138981580609384"/>
            </c:manualLayout>
          </c:layout>
          <c:overlay val="0"/>
        </c:title>
        <c:numFmt formatCode="0" sourceLinked="1"/>
        <c:majorTickMark val="out"/>
        <c:minorTickMark val="none"/>
        <c:tickLblPos val="low"/>
        <c:crossAx val="50638374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Regression Function - Temperature vs V</a:t>
            </a:r>
            <a:r>
              <a:rPr lang="en-US" baseline="-25000"/>
              <a:t>TEMP</a:t>
            </a:r>
          </a:p>
        </c:rich>
      </c:tx>
      <c:layout>
        <c:manualLayout>
          <c:xMode val="edge"/>
          <c:yMode val="edge"/>
          <c:x val="0.11997154423979138"/>
          <c:y val="0"/>
        </c:manualLayout>
      </c:layout>
      <c:overlay val="0"/>
    </c:title>
    <c:autoTitleDeleted val="0"/>
    <c:plotArea>
      <c:layout>
        <c:manualLayout>
          <c:layoutTarget val="inner"/>
          <c:xMode val="edge"/>
          <c:yMode val="edge"/>
          <c:x val="0.12384705640939297"/>
          <c:y val="0.20616895027022486"/>
          <c:w val="0.6851598198897334"/>
          <c:h val="0.63129947417388743"/>
        </c:manualLayout>
      </c:layout>
      <c:scatterChart>
        <c:scatterStyle val="smoothMarker"/>
        <c:varyColors val="0"/>
        <c:ser>
          <c:idx val="0"/>
          <c:order val="0"/>
          <c:tx>
            <c:strRef>
              <c:f>'NTC Thermistor Comparison'!$F$31:$F$32</c:f>
              <c:strCache>
                <c:ptCount val="2"/>
                <c:pt idx="0">
                  <c:v>R/div/Bot</c:v>
                </c:pt>
                <c:pt idx="1">
                  <c:v>Vdc</c:v>
                </c:pt>
              </c:strCache>
            </c:strRef>
          </c:tx>
          <c:marker>
            <c:symbol val="none"/>
          </c:marker>
          <c:trendline>
            <c:spPr>
              <a:ln>
                <a:prstDash val="dash"/>
              </a:ln>
            </c:spPr>
            <c:trendlineType val="poly"/>
            <c:order val="4"/>
            <c:dispRSqr val="1"/>
            <c:dispEq val="1"/>
            <c:trendlineLbl>
              <c:layout>
                <c:manualLayout>
                  <c:x val="-7.4395213610483971E-2"/>
                  <c:y val="-0.21967683442881478"/>
                </c:manualLayout>
              </c:layout>
              <c:numFmt formatCode="0.000000E+00" sourceLinked="0"/>
              <c:txPr>
                <a:bodyPr/>
                <a:lstStyle/>
                <a:p>
                  <a:pPr>
                    <a:defRPr sz="1000" b="0"/>
                  </a:pPr>
                  <a:endParaRPr lang="en-US"/>
                </a:p>
              </c:txPr>
            </c:trendlineLbl>
          </c:trendline>
          <c:xVal>
            <c:numRef>
              <c:f>'NTC Thermistor Comparison'!$F$33:$F$248</c:f>
              <c:numCache>
                <c:formatCode>0.0000</c:formatCode>
                <c:ptCount val="216"/>
                <c:pt idx="0">
                  <c:v>1.9885746567586997</c:v>
                </c:pt>
                <c:pt idx="1">
                  <c:v>1.9964365810483728</c:v>
                </c:pt>
                <c:pt idx="2">
                  <c:v>2.0043117220030693</c:v>
                </c:pt>
                <c:pt idx="3">
                  <c:v>2.0121995411299523</c:v>
                </c:pt>
                <c:pt idx="4">
                  <c:v>2.0200995058509981</c:v>
                </c:pt>
                <c:pt idx="5">
                  <c:v>2.0280110895008479</c:v>
                </c:pt>
                <c:pt idx="6">
                  <c:v>2.0359337713229824</c:v>
                </c:pt>
                <c:pt idx="7">
                  <c:v>2.0438670364642748</c:v>
                </c:pt>
                <c:pt idx="8">
                  <c:v>2.051810375967956</c:v>
                </c:pt>
                <c:pt idx="9">
                  <c:v>2.0597632867650355</c:v>
                </c:pt>
                <c:pt idx="10">
                  <c:v>2.067725271664218</c:v>
                </c:pt>
                <c:pt idx="11">
                  <c:v>2.0756958393403617</c:v>
                </c:pt>
                <c:pt idx="12">
                  <c:v>2.083674504321507</c:v>
                </c:pt>
                <c:pt idx="13">
                  <c:v>2.0916607869745332</c:v>
                </c:pt>
                <c:pt idx="14">
                  <c:v>2.0996542134894631</c:v>
                </c:pt>
                <c:pt idx="15">
                  <c:v>2.1076543158624705</c:v>
                </c:pt>
                <c:pt idx="16">
                  <c:v>2.1156606318776228</c:v>
                </c:pt>
                <c:pt idx="17">
                  <c:v>2.1236727050873925</c:v>
                </c:pt>
                <c:pt idx="18">
                  <c:v>2.1316900847919888</c:v>
                </c:pt>
                <c:pt idx="19">
                  <c:v>2.1397123260175315</c:v>
                </c:pt>
                <c:pt idx="20">
                  <c:v>2.147738989493114</c:v>
                </c:pt>
                <c:pt idx="21">
                  <c:v>2.1557696416267915</c:v>
                </c:pt>
                <c:pt idx="22">
                  <c:v>2.163803854480522</c:v>
                </c:pt>
                <c:pt idx="23">
                  <c:v>2.171841205744109</c:v>
                </c:pt>
                <c:pt idx="24">
                  <c:v>2.1798812787081703</c:v>
                </c:pt>
                <c:pt idx="25">
                  <c:v>2.1879236622361695</c:v>
                </c:pt>
                <c:pt idx="26">
                  <c:v>2.1959679507355485</c:v>
                </c:pt>
                <c:pt idx="27">
                  <c:v>2.2040137441279919</c:v>
                </c:pt>
                <c:pt idx="28">
                  <c:v>2.2120606478188511</c:v>
                </c:pt>
                <c:pt idx="29">
                  <c:v>2.2201082726657773</c:v>
                </c:pt>
                <c:pt idx="30">
                  <c:v>2.2281562349465651</c:v>
                </c:pt>
                <c:pt idx="31">
                  <c:v>2.236204156326278</c:v>
                </c:pt>
                <c:pt idx="32">
                  <c:v>2.2442516638236496</c:v>
                </c:pt>
                <c:pt idx="33">
                  <c:v>2.2522983897768123</c:v>
                </c:pt>
                <c:pt idx="34">
                  <c:v>2.2603439718083824</c:v>
                </c:pt>
                <c:pt idx="35">
                  <c:v>2.2683880527899127</c:v>
                </c:pt>
                <c:pt idx="36">
                  <c:v>2.2764302808057733</c:v>
                </c:pt>
                <c:pt idx="37">
                  <c:v>2.2844703091164531</c:v>
                </c:pt>
                <c:pt idx="38">
                  <c:v>2.2925077961213378</c:v>
                </c:pt>
                <c:pt idx="39">
                  <c:v>2.3005424053209778</c:v>
                </c:pt>
                <c:pt idx="40">
                  <c:v>2.3085738052788707</c:v>
                </c:pt>
                <c:pt idx="41">
                  <c:v>2.3166016695827989</c:v>
                </c:pt>
                <c:pt idx="42">
                  <c:v>2.3246256768057241</c:v>
                </c:pt>
                <c:pt idx="43">
                  <c:v>2.3326455104662935</c:v>
                </c:pt>
                <c:pt idx="44">
                  <c:v>2.3406608589889522</c:v>
                </c:pt>
                <c:pt idx="45">
                  <c:v>2.3486714156637083</c:v>
                </c:pt>
                <c:pt idx="46">
                  <c:v>2.356676878605561</c:v>
                </c:pt>
                <c:pt idx="47">
                  <c:v>2.3646769507136218</c:v>
                </c:pt>
                <c:pt idx="48">
                  <c:v>2.372671339629945</c:v>
                </c:pt>
                <c:pt idx="49">
                  <c:v>2.3806597576980972</c:v>
                </c:pt>
                <c:pt idx="50">
                  <c:v>2.3886419219214758</c:v>
                </c:pt>
                <c:pt idx="51">
                  <c:v>2.3966175539214118</c:v>
                </c:pt>
                <c:pt idx="52">
                  <c:v>2.4045863798950617</c:v>
                </c:pt>
                <c:pt idx="53">
                  <c:v>2.4125481305731218</c:v>
                </c:pt>
                <c:pt idx="54">
                  <c:v>2.4205025411773757</c:v>
                </c:pt>
                <c:pt idx="55">
                  <c:v>2.4284493513780947</c:v>
                </c:pt>
                <c:pt idx="56">
                  <c:v>2.4363883052513149</c:v>
                </c:pt>
                <c:pt idx="57">
                  <c:v>2.4443191512360039</c:v>
                </c:pt>
                <c:pt idx="58">
                  <c:v>2.4522416420911317</c:v>
                </c:pt>
                <c:pt idx="59">
                  <c:v>2.4601555348526709</c:v>
                </c:pt>
                <c:pt idx="60">
                  <c:v>2.4680605907905386</c:v>
                </c:pt>
                <c:pt idx="61">
                  <c:v>2.4759565753654922</c:v>
                </c:pt>
                <c:pt idx="62">
                  <c:v>2.4838432581860013</c:v>
                </c:pt>
                <c:pt idx="63">
                  <c:v>2.4917204129651043</c:v>
                </c:pt>
                <c:pt idx="64">
                  <c:v>2.4995878174772725</c:v>
                </c:pt>
                <c:pt idx="65">
                  <c:v>2.5074452535152871</c:v>
                </c:pt>
                <c:pt idx="66">
                  <c:v>2.5152925068471448</c:v>
                </c:pt>
                <c:pt idx="67">
                  <c:v>2.5231293671730159</c:v>
                </c:pt>
                <c:pt idx="68">
                  <c:v>2.5309556280822494</c:v>
                </c:pt>
                <c:pt idx="69">
                  <c:v>2.5387710870104536</c:v>
                </c:pt>
                <c:pt idx="70">
                  <c:v>2.546575545196661</c:v>
                </c:pt>
                <c:pt idx="71">
                  <c:v>2.5543688076405733</c:v>
                </c:pt>
                <c:pt idx="72">
                  <c:v>2.5621506830599303</c:v>
                </c:pt>
                <c:pt idx="73">
                  <c:v>2.569920983847978</c:v>
                </c:pt>
                <c:pt idx="74">
                  <c:v>2.5776795260310732</c:v>
                </c:pt>
                <c:pt idx="75">
                  <c:v>2.5854261292264198</c:v>
                </c:pt>
                <c:pt idx="76">
                  <c:v>2.5931606165999539</c:v>
                </c:pt>
                <c:pt idx="77">
                  <c:v>2.6008828148243843</c:v>
                </c:pt>
                <c:pt idx="78">
                  <c:v>2.6085925540373993</c:v>
                </c:pt>
                <c:pt idx="79">
                  <c:v>2.6162896678000434</c:v>
                </c:pt>
                <c:pt idx="80">
                  <c:v>2.6239739930552846</c:v>
                </c:pt>
                <c:pt idx="81">
                  <c:v>2.6316453700867646</c:v>
                </c:pt>
                <c:pt idx="82">
                  <c:v>2.639303642477751</c:v>
                </c:pt>
                <c:pt idx="83">
                  <c:v>2.6469486570702991</c:v>
                </c:pt>
                <c:pt idx="84">
                  <c:v>2.6545802639246214</c:v>
                </c:pt>
                <c:pt idx="85">
                  <c:v>2.6621983162786793</c:v>
                </c:pt>
                <c:pt idx="86">
                  <c:v>2.6698026705080049</c:v>
                </c:pt>
                <c:pt idx="87">
                  <c:v>2.677393186085756</c:v>
                </c:pt>
                <c:pt idx="88">
                  <c:v>2.6849697255430041</c:v>
                </c:pt>
                <c:pt idx="89">
                  <c:v>2.6925321544292782</c:v>
                </c:pt>
                <c:pt idx="90">
                  <c:v>2.7000803412733507</c:v>
                </c:pt>
                <c:pt idx="91">
                  <c:v>2.7076141575442843</c:v>
                </c:pt>
                <c:pt idx="92">
                  <c:v>2.7151334776127403</c:v>
                </c:pt>
                <c:pt idx="93">
                  <c:v>2.72263817871255</c:v>
                </c:pt>
                <c:pt idx="94">
                  <c:v>2.7301281409025586</c:v>
                </c:pt>
                <c:pt idx="95">
                  <c:v>2.737603247028745</c:v>
                </c:pt>
                <c:pt idx="96">
                  <c:v>2.7450633826866171</c:v>
                </c:pt>
                <c:pt idx="97">
                  <c:v>2.7525084361838976</c:v>
                </c:pt>
                <c:pt idx="98">
                  <c:v>2.7599382985034815</c:v>
                </c:pt>
                <c:pt idx="99">
                  <c:v>2.7673528632667024</c:v>
                </c:pt>
                <c:pt idx="100">
                  <c:v>2.7747520266968757</c:v>
                </c:pt>
                <c:pt idx="101">
                  <c:v>2.7821356875831462</c:v>
                </c:pt>
                <c:pt idx="102">
                  <c:v>2.7895037472446309</c:v>
                </c:pt>
                <c:pt idx="103">
                  <c:v>2.7968561094948661</c:v>
                </c:pt>
                <c:pt idx="104">
                  <c:v>2.8041926806065556</c:v>
                </c:pt>
                <c:pt idx="105">
                  <c:v>2.8115133692766237</c:v>
                </c:pt>
                <c:pt idx="106">
                  <c:v>2.8188180865915808</c:v>
                </c:pt>
                <c:pt idx="107">
                  <c:v>2.8261067459931946</c:v>
                </c:pt>
                <c:pt idx="108">
                  <c:v>2.8333792632444719</c:v>
                </c:pt>
                <c:pt idx="109">
                  <c:v>2.8406355563959589</c:v>
                </c:pt>
                <c:pt idx="110">
                  <c:v>2.8478755457523479</c:v>
                </c:pt>
                <c:pt idx="111">
                  <c:v>2.8550991538394084</c:v>
                </c:pt>
                <c:pt idx="112">
                  <c:v>2.8623063053712259</c:v>
                </c:pt>
                <c:pt idx="113">
                  <c:v>2.8694969272177628</c:v>
                </c:pt>
                <c:pt idx="114">
                  <c:v>2.8766709483727402</c:v>
                </c:pt>
                <c:pt idx="115">
                  <c:v>2.883828299921829</c:v>
                </c:pt>
                <c:pt idx="116">
                  <c:v>2.8909689150111713</c:v>
                </c:pt>
                <c:pt idx="117">
                  <c:v>2.898092728816215</c:v>
                </c:pt>
                <c:pt idx="118">
                  <c:v>2.9051996785108676</c:v>
                </c:pt>
                <c:pt idx="119">
                  <c:v>2.9122897032369743</c:v>
                </c:pt>
                <c:pt idx="120">
                  <c:v>2.9193627440741139</c:v>
                </c:pt>
                <c:pt idx="121">
                  <c:v>2.9264187440097094</c:v>
                </c:pt>
                <c:pt idx="122">
                  <c:v>2.9334576479094694</c:v>
                </c:pt>
                <c:pt idx="123">
                  <c:v>2.9404794024881382</c:v>
                </c:pt>
                <c:pt idx="124">
                  <c:v>2.9474839562805712</c:v>
                </c:pt>
                <c:pt idx="125">
                  <c:v>2.9544712596131224</c:v>
                </c:pt>
                <c:pt idx="126">
                  <c:v>2.9614412645753561</c:v>
                </c:pt>
                <c:pt idx="127">
                  <c:v>2.9683939249920739</c:v>
                </c:pt>
                <c:pt idx="128">
                  <c:v>2.9753291963956512</c:v>
                </c:pt>
                <c:pt idx="129">
                  <c:v>2.982247035998701</c:v>
                </c:pt>
                <c:pt idx="130">
                  <c:v>2.9891474026670379</c:v>
                </c:pt>
                <c:pt idx="131">
                  <c:v>2.9960302568929666</c:v>
                </c:pt>
                <c:pt idx="132">
                  <c:v>3.0028955607688772</c:v>
                </c:pt>
                <c:pt idx="133">
                  <c:v>3.0097432779611517</c:v>
                </c:pt>
                <c:pt idx="134">
                  <c:v>3.0165733736843796</c:v>
                </c:pt>
                <c:pt idx="135">
                  <c:v>3.0233858146758825</c:v>
                </c:pt>
                <c:pt idx="136">
                  <c:v>3.0301805691705472</c:v>
                </c:pt>
                <c:pt idx="137">
                  <c:v>3.0369576068759594</c:v>
                </c:pt>
                <c:pt idx="138">
                  <c:v>3.043716898947844</c:v>
                </c:pt>
                <c:pt idx="139">
                  <c:v>3.0504584179658094</c:v>
                </c:pt>
                <c:pt idx="140">
                  <c:v>3.0571821379093862</c:v>
                </c:pt>
                <c:pt idx="141">
                  <c:v>3.0638880341343735</c:v>
                </c:pt>
                <c:pt idx="142">
                  <c:v>3.0705760833494713</c:v>
                </c:pt>
                <c:pt idx="143">
                  <c:v>3.0772462635932203</c:v>
                </c:pt>
                <c:pt idx="144">
                  <c:v>3.0838985542112218</c:v>
                </c:pt>
                <c:pt idx="145">
                  <c:v>3.0905329358336613</c:v>
                </c:pt>
                <c:pt idx="146">
                  <c:v>3.0971493903531142</c:v>
                </c:pt>
                <c:pt idx="147">
                  <c:v>3.1037479009026407</c:v>
                </c:pt>
                <c:pt idx="148">
                  <c:v>3.1103284518341692</c:v>
                </c:pt>
                <c:pt idx="149">
                  <c:v>3.1168910286971556</c:v>
                </c:pt>
                <c:pt idx="150">
                  <c:v>3.1234356182175356</c:v>
                </c:pt>
                <c:pt idx="151">
                  <c:v>3.1299622082769449</c:v>
                </c:pt>
                <c:pt idx="152">
                  <c:v>3.1364707878922258</c:v>
                </c:pt>
                <c:pt idx="153">
                  <c:v>3.142961347195202</c:v>
                </c:pt>
                <c:pt idx="154">
                  <c:v>3.1494338774127288</c:v>
                </c:pt>
                <c:pt idx="155">
                  <c:v>3.1558883708470185</c:v>
                </c:pt>
                <c:pt idx="156">
                  <c:v>3.162324820856226</c:v>
                </c:pt>
                <c:pt idx="157">
                  <c:v>3.1687432218353062</c:v>
                </c:pt>
                <c:pt idx="158">
                  <c:v>3.1751435691971355</c:v>
                </c:pt>
                <c:pt idx="159">
                  <c:v>3.1815258593538909</c:v>
                </c:pt>
                <c:pt idx="160">
                  <c:v>3.1878900896986933</c:v>
                </c:pt>
                <c:pt idx="161">
                  <c:v>3.1942362585875066</c:v>
                </c:pt>
                <c:pt idx="162">
                  <c:v>3.2005643653212879</c:v>
                </c:pt>
                <c:pt idx="163">
                  <c:v>3.2068744101283948</c:v>
                </c:pt>
                <c:pt idx="164">
                  <c:v>3.2131663941472421</c:v>
                </c:pt>
                <c:pt idx="165">
                  <c:v>3.2194403194092023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xVal>
          <c:y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yVal>
          <c:smooth val="1"/>
          <c:extLst>
            <c:ext xmlns:c16="http://schemas.microsoft.com/office/drawing/2014/chart" uri="{C3380CC4-5D6E-409C-BE32-E72D297353CC}">
              <c16:uniqueId val="{00000001-B976-42F4-A499-EC1E8F012AE3}"/>
            </c:ext>
          </c:extLst>
        </c:ser>
        <c:dLbls>
          <c:showLegendKey val="0"/>
          <c:showVal val="0"/>
          <c:showCatName val="0"/>
          <c:showSerName val="0"/>
          <c:showPercent val="0"/>
          <c:showBubbleSize val="0"/>
        </c:dLbls>
        <c:axId val="507590528"/>
        <c:axId val="507592704"/>
      </c:scatterChart>
      <c:valAx>
        <c:axId val="507590528"/>
        <c:scaling>
          <c:orientation val="minMax"/>
        </c:scaling>
        <c:delete val="0"/>
        <c:axPos val="b"/>
        <c:majorGridlines>
          <c:spPr>
            <a:ln>
              <a:noFill/>
            </a:ln>
          </c:spPr>
        </c:majorGridlines>
        <c:title>
          <c:tx>
            <c:rich>
              <a:bodyPr/>
              <a:lstStyle/>
              <a:p>
                <a:pPr>
                  <a:defRPr sz="1000">
                    <a:latin typeface="Arial" panose="020B0604020202020204" pitchFamily="34" charset="0"/>
                    <a:cs typeface="Arial" panose="020B0604020202020204" pitchFamily="34" charset="0"/>
                  </a:defRPr>
                </a:pPr>
                <a:r>
                  <a:rPr lang="en-US" sz="1000" b="1" i="0" baseline="0">
                    <a:effectLst/>
                    <a:latin typeface="Arial" panose="020B0604020202020204" pitchFamily="34" charset="0"/>
                    <a:cs typeface="Arial" panose="020B0604020202020204" pitchFamily="34" charset="0"/>
                  </a:rPr>
                  <a:t>V</a:t>
                </a:r>
                <a:r>
                  <a:rPr lang="en-US" sz="1000" b="1" i="0" baseline="-25000">
                    <a:effectLst/>
                    <a:latin typeface="Arial" panose="020B0604020202020204" pitchFamily="34" charset="0"/>
                    <a:cs typeface="Arial" panose="020B0604020202020204" pitchFamily="34" charset="0"/>
                  </a:rPr>
                  <a:t>TEMP</a:t>
                </a:r>
                <a:r>
                  <a:rPr lang="en-US" sz="1000" b="1" i="0" baseline="0">
                    <a:effectLst/>
                    <a:latin typeface="Arial" panose="020B0604020202020204" pitchFamily="34" charset="0"/>
                    <a:cs typeface="Arial" panose="020B0604020202020204" pitchFamily="34" charset="0"/>
                  </a:rPr>
                  <a:t> in Vdc</a:t>
                </a:r>
                <a:endParaRPr lang="en-US" sz="1000">
                  <a:effectLst/>
                  <a:latin typeface="Arial" panose="020B0604020202020204" pitchFamily="34" charset="0"/>
                  <a:cs typeface="Arial" panose="020B0604020202020204" pitchFamily="34" charset="0"/>
                </a:endParaRPr>
              </a:p>
            </c:rich>
          </c:tx>
          <c:layout>
            <c:manualLayout>
              <c:xMode val="edge"/>
              <c:yMode val="edge"/>
              <c:x val="0.38384982100284731"/>
              <c:y val="0.91607238865781782"/>
            </c:manualLayout>
          </c:layout>
          <c:overlay val="0"/>
        </c:title>
        <c:numFmt formatCode="0.0000" sourceLinked="1"/>
        <c:majorTickMark val="out"/>
        <c:minorTickMark val="out"/>
        <c:tickLblPos val="low"/>
        <c:crossAx val="507592704"/>
        <c:crosses val="autoZero"/>
        <c:crossBetween val="midCat"/>
      </c:valAx>
      <c:valAx>
        <c:axId val="507592704"/>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endParaRPr lang="en-US" sz="1000">
                  <a:effectLst/>
                </a:endParaRPr>
              </a:p>
            </c:rich>
          </c:tx>
          <c:layout>
            <c:manualLayout>
              <c:xMode val="edge"/>
              <c:yMode val="edge"/>
              <c:x val="4.0172406978463304E-2"/>
              <c:y val="0.31389821057028705"/>
            </c:manualLayout>
          </c:layout>
          <c:overlay val="0"/>
        </c:title>
        <c:numFmt formatCode="General" sourceLinked="1"/>
        <c:majorTickMark val="out"/>
        <c:minorTickMark val="none"/>
        <c:tickLblPos val="nextTo"/>
        <c:crossAx val="50759052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Low Pass Filter</a:t>
            </a:r>
          </a:p>
        </c:rich>
      </c:tx>
      <c:overlay val="0"/>
    </c:title>
    <c:autoTitleDeleted val="0"/>
    <c:plotArea>
      <c:layout/>
      <c:lineChart>
        <c:grouping val="standard"/>
        <c:varyColors val="0"/>
        <c:ser>
          <c:idx val="1"/>
          <c:order val="0"/>
          <c:tx>
            <c:strRef>
              <c:f>'Low Pass Filter'!$B$61</c:f>
              <c:strCache>
                <c:ptCount val="1"/>
                <c:pt idx="0">
                  <c:v>Meas_Temp  (°C) </c:v>
                </c:pt>
              </c:strCache>
            </c:strRef>
          </c:tx>
          <c:marker>
            <c:symbol val="none"/>
          </c:marker>
          <c:val>
            <c:numRef>
              <c:f>'Low Pass Filter'!$B$62:$B$241</c:f>
              <c:numCache>
                <c:formatCode>0.000</c:formatCode>
                <c:ptCount val="180"/>
                <c:pt idx="0">
                  <c:v>22.713934338773338</c:v>
                </c:pt>
                <c:pt idx="1">
                  <c:v>21.796071620559228</c:v>
                </c:pt>
                <c:pt idx="2">
                  <c:v>22.369754046985104</c:v>
                </c:pt>
                <c:pt idx="3">
                  <c:v>22.637435324550875</c:v>
                </c:pt>
                <c:pt idx="4">
                  <c:v>22.369754046985104</c:v>
                </c:pt>
                <c:pt idx="5">
                  <c:v>22.675683791491206</c:v>
                </c:pt>
                <c:pt idx="6">
                  <c:v>22.637435324550875</c:v>
                </c:pt>
                <c:pt idx="7">
                  <c:v>22.637435324550875</c:v>
                </c:pt>
                <c:pt idx="8">
                  <c:v>22.560944619391517</c:v>
                </c:pt>
                <c:pt idx="9">
                  <c:v>22.560944619391517</c:v>
                </c:pt>
                <c:pt idx="10">
                  <c:v>22.637435324550875</c:v>
                </c:pt>
                <c:pt idx="11">
                  <c:v>22.599188934876434</c:v>
                </c:pt>
                <c:pt idx="12">
                  <c:v>22.752396005966471</c:v>
                </c:pt>
                <c:pt idx="13">
                  <c:v>22.637435324550875</c:v>
                </c:pt>
                <c:pt idx="14">
                  <c:v>22.675683791491206</c:v>
                </c:pt>
                <c:pt idx="15">
                  <c:v>21.98710906814436</c:v>
                </c:pt>
                <c:pt idx="16">
                  <c:v>22.407988037742921</c:v>
                </c:pt>
                <c:pt idx="17">
                  <c:v>22.752396005966471</c:v>
                </c:pt>
                <c:pt idx="18">
                  <c:v>22.637435324550875</c:v>
                </c:pt>
                <c:pt idx="19">
                  <c:v>22.675683791491206</c:v>
                </c:pt>
                <c:pt idx="20">
                  <c:v>22.752396005966471</c:v>
                </c:pt>
                <c:pt idx="21">
                  <c:v>22.560944619391517</c:v>
                </c:pt>
                <c:pt idx="22">
                  <c:v>22.713934338773338</c:v>
                </c:pt>
                <c:pt idx="23">
                  <c:v>22.675683791491206</c:v>
                </c:pt>
                <c:pt idx="24">
                  <c:v>22.752396005966471</c:v>
                </c:pt>
                <c:pt idx="25">
                  <c:v>22.752396005966471</c:v>
                </c:pt>
                <c:pt idx="26">
                  <c:v>22.675683791491206</c:v>
                </c:pt>
                <c:pt idx="27">
                  <c:v>22.637435324550875</c:v>
                </c:pt>
                <c:pt idx="28">
                  <c:v>22.599188934876434</c:v>
                </c:pt>
                <c:pt idx="29">
                  <c:v>22.560944619391517</c:v>
                </c:pt>
                <c:pt idx="30">
                  <c:v>22.637435324550875</c:v>
                </c:pt>
                <c:pt idx="31">
                  <c:v>22.637435324550875</c:v>
                </c:pt>
                <c:pt idx="32">
                  <c:v>22.599188934876434</c:v>
                </c:pt>
                <c:pt idx="33">
                  <c:v>22.560944619391517</c:v>
                </c:pt>
                <c:pt idx="34">
                  <c:v>22.675683791491206</c:v>
                </c:pt>
                <c:pt idx="35">
                  <c:v>22.637435324550875</c:v>
                </c:pt>
                <c:pt idx="36">
                  <c:v>22.675683791491206</c:v>
                </c:pt>
                <c:pt idx="37">
                  <c:v>22.981955782375604</c:v>
                </c:pt>
                <c:pt idx="38">
                  <c:v>23.02022309435311</c:v>
                </c:pt>
                <c:pt idx="39">
                  <c:v>22.828907552718515</c:v>
                </c:pt>
                <c:pt idx="40">
                  <c:v>22.675683791491206</c:v>
                </c:pt>
                <c:pt idx="41">
                  <c:v>22.331313199878746</c:v>
                </c:pt>
                <c:pt idx="42">
                  <c:v>22.867166463515883</c:v>
                </c:pt>
                <c:pt idx="43">
                  <c:v>22.675683791491206</c:v>
                </c:pt>
                <c:pt idx="44">
                  <c:v>22.599188934876434</c:v>
                </c:pt>
                <c:pt idx="45">
                  <c:v>22.637435324550875</c:v>
                </c:pt>
                <c:pt idx="46">
                  <c:v>23.173522615221241</c:v>
                </c:pt>
                <c:pt idx="47">
                  <c:v>23.173522615221241</c:v>
                </c:pt>
                <c:pt idx="48">
                  <c:v>22.713934338773338</c:v>
                </c:pt>
                <c:pt idx="49">
                  <c:v>22.675683791491206</c:v>
                </c:pt>
                <c:pt idx="50">
                  <c:v>22.599188934876434</c:v>
                </c:pt>
                <c:pt idx="51">
                  <c:v>22.599188934876434</c:v>
                </c:pt>
                <c:pt idx="52">
                  <c:v>22.484462198673423</c:v>
                </c:pt>
                <c:pt idx="53">
                  <c:v>22.599188934876434</c:v>
                </c:pt>
                <c:pt idx="54">
                  <c:v>22.675683791491206</c:v>
                </c:pt>
                <c:pt idx="55">
                  <c:v>22.446224087277283</c:v>
                </c:pt>
                <c:pt idx="56">
                  <c:v>22.560944619391517</c:v>
                </c:pt>
                <c:pt idx="57">
                  <c:v>23.364933346891444</c:v>
                </c:pt>
                <c:pt idx="58">
                  <c:v>22.790650734557044</c:v>
                </c:pt>
                <c:pt idx="59">
                  <c:v>22.752396005966471</c:v>
                </c:pt>
                <c:pt idx="60">
                  <c:v>22.599188934876434</c:v>
                </c:pt>
                <c:pt idx="61">
                  <c:v>22.560944619391517</c:v>
                </c:pt>
                <c:pt idx="62">
                  <c:v>22.637435324550875</c:v>
                </c:pt>
                <c:pt idx="63">
                  <c:v>22.637435324550875</c:v>
                </c:pt>
                <c:pt idx="64">
                  <c:v>22.867166463515883</c:v>
                </c:pt>
                <c:pt idx="65">
                  <c:v>22.407988037742921</c:v>
                </c:pt>
                <c:pt idx="66">
                  <c:v>22.675683791491206</c:v>
                </c:pt>
                <c:pt idx="67">
                  <c:v>22.752396005966471</c:v>
                </c:pt>
                <c:pt idx="68">
                  <c:v>22.675683791491206</c:v>
                </c:pt>
                <c:pt idx="69">
                  <c:v>22.637435324550875</c:v>
                </c:pt>
                <c:pt idx="70">
                  <c:v>22.675683791491206</c:v>
                </c:pt>
                <c:pt idx="71">
                  <c:v>22.560944619391517</c:v>
                </c:pt>
                <c:pt idx="72">
                  <c:v>22.637435324550875</c:v>
                </c:pt>
                <c:pt idx="73">
                  <c:v>22.867166463515883</c:v>
                </c:pt>
                <c:pt idx="74">
                  <c:v>22.637435324550875</c:v>
                </c:pt>
                <c:pt idx="75">
                  <c:v>22.713934338773338</c:v>
                </c:pt>
                <c:pt idx="76">
                  <c:v>22.713934338773338</c:v>
                </c:pt>
                <c:pt idx="77">
                  <c:v>22.446224087277283</c:v>
                </c:pt>
                <c:pt idx="78">
                  <c:v>22.599188934876434</c:v>
                </c:pt>
                <c:pt idx="79">
                  <c:v>22.713934338773338</c:v>
                </c:pt>
                <c:pt idx="80">
                  <c:v>22.637435324550875</c:v>
                </c:pt>
                <c:pt idx="81">
                  <c:v>22.675683791491206</c:v>
                </c:pt>
                <c:pt idx="82">
                  <c:v>23.173522615221241</c:v>
                </c:pt>
                <c:pt idx="83">
                  <c:v>23.288362669357735</c:v>
                </c:pt>
                <c:pt idx="84">
                  <c:v>22.522702375017484</c:v>
                </c:pt>
                <c:pt idx="85">
                  <c:v>22.637435324550875</c:v>
                </c:pt>
                <c:pt idx="86">
                  <c:v>22.293083328613516</c:v>
                </c:pt>
                <c:pt idx="87">
                  <c:v>22.599188934876434</c:v>
                </c:pt>
                <c:pt idx="88">
                  <c:v>22.637435324550875</c:v>
                </c:pt>
                <c:pt idx="89">
                  <c:v>22.637435324550875</c:v>
                </c:pt>
                <c:pt idx="90">
                  <c:v>22.713934338773338</c:v>
                </c:pt>
                <c:pt idx="91">
                  <c:v>22.675683791491206</c:v>
                </c:pt>
                <c:pt idx="92">
                  <c:v>22.637435324550875</c:v>
                </c:pt>
                <c:pt idx="93">
                  <c:v>22.637435324550875</c:v>
                </c:pt>
                <c:pt idx="94">
                  <c:v>22.599188934876434</c:v>
                </c:pt>
                <c:pt idx="95">
                  <c:v>22.867166463515883</c:v>
                </c:pt>
                <c:pt idx="96">
                  <c:v>22.713934338773338</c:v>
                </c:pt>
                <c:pt idx="97">
                  <c:v>22.675683791491206</c:v>
                </c:pt>
                <c:pt idx="98">
                  <c:v>22.713934338773338</c:v>
                </c:pt>
                <c:pt idx="99">
                  <c:v>22.675683791491206</c:v>
                </c:pt>
                <c:pt idx="100">
                  <c:v>22.752396005966471</c:v>
                </c:pt>
                <c:pt idx="101">
                  <c:v>22.637435324550875</c:v>
                </c:pt>
                <c:pt idx="102">
                  <c:v>22.675683791491206</c:v>
                </c:pt>
                <c:pt idx="103">
                  <c:v>22.637435324550875</c:v>
                </c:pt>
                <c:pt idx="104">
                  <c:v>22.637435324550875</c:v>
                </c:pt>
                <c:pt idx="105">
                  <c:v>22.675683791491206</c:v>
                </c:pt>
                <c:pt idx="106">
                  <c:v>22.752396005966471</c:v>
                </c:pt>
                <c:pt idx="107">
                  <c:v>22.637435324550875</c:v>
                </c:pt>
                <c:pt idx="108">
                  <c:v>22.828907552718515</c:v>
                </c:pt>
                <c:pt idx="109">
                  <c:v>23.403221887214254</c:v>
                </c:pt>
                <c:pt idx="110">
                  <c:v>22.599188934876434</c:v>
                </c:pt>
                <c:pt idx="111">
                  <c:v>22.599188934876434</c:v>
                </c:pt>
                <c:pt idx="112">
                  <c:v>22.101964652680959</c:v>
                </c:pt>
                <c:pt idx="113">
                  <c:v>22.560944619391517</c:v>
                </c:pt>
                <c:pt idx="114">
                  <c:v>22.675683791491206</c:v>
                </c:pt>
                <c:pt idx="115">
                  <c:v>22.369754046985104</c:v>
                </c:pt>
                <c:pt idx="116">
                  <c:v>22.790650734557044</c:v>
                </c:pt>
                <c:pt idx="117">
                  <c:v>22.675683791491206</c:v>
                </c:pt>
                <c:pt idx="118">
                  <c:v>22.560944619391517</c:v>
                </c:pt>
                <c:pt idx="119">
                  <c:v>22.637435324550875</c:v>
                </c:pt>
                <c:pt idx="120">
                  <c:v>22.675683791491206</c:v>
                </c:pt>
                <c:pt idx="121">
                  <c:v>22.522702375017484</c:v>
                </c:pt>
                <c:pt idx="122">
                  <c:v>22.675683791491206</c:v>
                </c:pt>
                <c:pt idx="123">
                  <c:v>22.599188934876434</c:v>
                </c:pt>
                <c:pt idx="124">
                  <c:v>22.599188934876434</c:v>
                </c:pt>
                <c:pt idx="125">
                  <c:v>22.905427470017326</c:v>
                </c:pt>
                <c:pt idx="126">
                  <c:v>22.637435324550875</c:v>
                </c:pt>
                <c:pt idx="127">
                  <c:v>22.599188934876434</c:v>
                </c:pt>
                <c:pt idx="128">
                  <c:v>22.446224087277283</c:v>
                </c:pt>
                <c:pt idx="129">
                  <c:v>22.675683791491206</c:v>
                </c:pt>
                <c:pt idx="130">
                  <c:v>22.599188934876434</c:v>
                </c:pt>
                <c:pt idx="131">
                  <c:v>22.752396005966471</c:v>
                </c:pt>
                <c:pt idx="132">
                  <c:v>22.599188934876434</c:v>
                </c:pt>
                <c:pt idx="133">
                  <c:v>22.446224087277283</c:v>
                </c:pt>
                <c:pt idx="134">
                  <c:v>22.599188934876434</c:v>
                </c:pt>
                <c:pt idx="135">
                  <c:v>22.790650734557044</c:v>
                </c:pt>
                <c:pt idx="136">
                  <c:v>22.599188934876434</c:v>
                </c:pt>
                <c:pt idx="137">
                  <c:v>22.752396005966471</c:v>
                </c:pt>
                <c:pt idx="138">
                  <c:v>22.675683791491206</c:v>
                </c:pt>
                <c:pt idx="139">
                  <c:v>22.599188934876434</c:v>
                </c:pt>
                <c:pt idx="140">
                  <c:v>22.522702375017484</c:v>
                </c:pt>
                <c:pt idx="141">
                  <c:v>22.369754046985104</c:v>
                </c:pt>
                <c:pt idx="142">
                  <c:v>22.713934338773338</c:v>
                </c:pt>
                <c:pt idx="143">
                  <c:v>22.675683791491206</c:v>
                </c:pt>
                <c:pt idx="144">
                  <c:v>22.522702375017484</c:v>
                </c:pt>
                <c:pt idx="145">
                  <c:v>22.599188934876434</c:v>
                </c:pt>
                <c:pt idx="146">
                  <c:v>22.713934338773338</c:v>
                </c:pt>
                <c:pt idx="147">
                  <c:v>22.675683791491206</c:v>
                </c:pt>
                <c:pt idx="148">
                  <c:v>22.407988037742921</c:v>
                </c:pt>
                <c:pt idx="149">
                  <c:v>22.637435324550875</c:v>
                </c:pt>
                <c:pt idx="150">
                  <c:v>22.675683791491206</c:v>
                </c:pt>
                <c:pt idx="151">
                  <c:v>22.369754046985104</c:v>
                </c:pt>
                <c:pt idx="152">
                  <c:v>22.560944619391517</c:v>
                </c:pt>
                <c:pt idx="153">
                  <c:v>22.560944619391517</c:v>
                </c:pt>
                <c:pt idx="154">
                  <c:v>22.101964652680959</c:v>
                </c:pt>
                <c:pt idx="155">
                  <c:v>22.140184307473515</c:v>
                </c:pt>
                <c:pt idx="156">
                  <c:v>22.407988037742921</c:v>
                </c:pt>
                <c:pt idx="157">
                  <c:v>22.943690575283522</c:v>
                </c:pt>
                <c:pt idx="158">
                  <c:v>22.369754046985104</c:v>
                </c:pt>
                <c:pt idx="159">
                  <c:v>22.637435324550875</c:v>
                </c:pt>
                <c:pt idx="160">
                  <c:v>23.326646941952145</c:v>
                </c:pt>
                <c:pt idx="161">
                  <c:v>22.560944619391517</c:v>
                </c:pt>
                <c:pt idx="162">
                  <c:v>22.560944619391517</c:v>
                </c:pt>
                <c:pt idx="163">
                  <c:v>22.369754046985104</c:v>
                </c:pt>
                <c:pt idx="164">
                  <c:v>22.599188934876434</c:v>
                </c:pt>
                <c:pt idx="165">
                  <c:v>22.675683791491206</c:v>
                </c:pt>
                <c:pt idx="166">
                  <c:v>22.446224087277283</c:v>
                </c:pt>
                <c:pt idx="167">
                  <c:v>22.446224087277283</c:v>
                </c:pt>
                <c:pt idx="168">
                  <c:v>22.560944619391517</c:v>
                </c:pt>
                <c:pt idx="169">
                  <c:v>22.790650734557044</c:v>
                </c:pt>
                <c:pt idx="170">
                  <c:v>22.560944619391517</c:v>
                </c:pt>
                <c:pt idx="171">
                  <c:v>22.560944619391517</c:v>
                </c:pt>
                <c:pt idx="172">
                  <c:v>22.560944619391517</c:v>
                </c:pt>
                <c:pt idx="173">
                  <c:v>22.446224087277283</c:v>
                </c:pt>
                <c:pt idx="174">
                  <c:v>22.675683791491206</c:v>
                </c:pt>
                <c:pt idx="175">
                  <c:v>22.599188934876434</c:v>
                </c:pt>
                <c:pt idx="176">
                  <c:v>22.522702375017484</c:v>
                </c:pt>
                <c:pt idx="177">
                  <c:v>22.407988037742921</c:v>
                </c:pt>
                <c:pt idx="178">
                  <c:v>22.407988037742921</c:v>
                </c:pt>
                <c:pt idx="179">
                  <c:v>22.713934338773338</c:v>
                </c:pt>
              </c:numCache>
            </c:numRef>
          </c:val>
          <c:smooth val="0"/>
          <c:extLst>
            <c:ext xmlns:c16="http://schemas.microsoft.com/office/drawing/2014/chart" uri="{C3380CC4-5D6E-409C-BE32-E72D297353CC}">
              <c16:uniqueId val="{00000000-A7C6-4069-9BD4-C3A1B0641A29}"/>
            </c:ext>
          </c:extLst>
        </c:ser>
        <c:ser>
          <c:idx val="2"/>
          <c:order val="1"/>
          <c:tx>
            <c:strRef>
              <c:f>'Low Pass Filter'!$C$61</c:f>
              <c:strCache>
                <c:ptCount val="1"/>
                <c:pt idx="0">
                  <c:v>Filtered_Temp  (°C) </c:v>
                </c:pt>
              </c:strCache>
            </c:strRef>
          </c:tx>
          <c:marker>
            <c:symbol val="none"/>
          </c:marker>
          <c:val>
            <c:numRef>
              <c:f>'Low Pass Filter'!$C$62:$C$241</c:f>
              <c:numCache>
                <c:formatCode>0.000</c:formatCode>
                <c:ptCount val="180"/>
                <c:pt idx="0">
                  <c:v>22.713934338773338</c:v>
                </c:pt>
                <c:pt idx="1">
                  <c:v>22.530361795130517</c:v>
                </c:pt>
                <c:pt idx="2">
                  <c:v>22.498240245501435</c:v>
                </c:pt>
                <c:pt idx="3">
                  <c:v>22.526079261311324</c:v>
                </c:pt>
                <c:pt idx="4">
                  <c:v>22.494814218446081</c:v>
                </c:pt>
                <c:pt idx="5">
                  <c:v>22.530988133055107</c:v>
                </c:pt>
                <c:pt idx="6">
                  <c:v>22.55227757135426</c:v>
                </c:pt>
                <c:pt idx="7">
                  <c:v>22.569309121993584</c:v>
                </c:pt>
                <c:pt idx="8">
                  <c:v>22.567636221473169</c:v>
                </c:pt>
                <c:pt idx="9">
                  <c:v>22.566297901056839</c:v>
                </c:pt>
                <c:pt idx="10">
                  <c:v>22.580525385755646</c:v>
                </c:pt>
                <c:pt idx="11">
                  <c:v>22.584258095579802</c:v>
                </c:pt>
                <c:pt idx="12">
                  <c:v>22.617885677657135</c:v>
                </c:pt>
                <c:pt idx="13">
                  <c:v>22.621795607035882</c:v>
                </c:pt>
                <c:pt idx="14">
                  <c:v>22.632573243926945</c:v>
                </c:pt>
                <c:pt idx="15">
                  <c:v>22.503480408770429</c:v>
                </c:pt>
                <c:pt idx="16">
                  <c:v>22.484381934564926</c:v>
                </c:pt>
                <c:pt idx="17">
                  <c:v>22.537984748845236</c:v>
                </c:pt>
                <c:pt idx="18">
                  <c:v>22.557874863986363</c:v>
                </c:pt>
                <c:pt idx="19">
                  <c:v>22.581436649487333</c:v>
                </c:pt>
                <c:pt idx="20">
                  <c:v>22.615628520783162</c:v>
                </c:pt>
                <c:pt idx="21">
                  <c:v>22.604691740504833</c:v>
                </c:pt>
                <c:pt idx="22">
                  <c:v>22.626540260158535</c:v>
                </c:pt>
                <c:pt idx="23">
                  <c:v>22.636368966425071</c:v>
                </c:pt>
                <c:pt idx="24">
                  <c:v>22.659574374333349</c:v>
                </c:pt>
                <c:pt idx="25">
                  <c:v>22.678138700659975</c:v>
                </c:pt>
                <c:pt idx="26">
                  <c:v>22.677647718826222</c:v>
                </c:pt>
                <c:pt idx="27">
                  <c:v>22.669605239971151</c:v>
                </c:pt>
                <c:pt idx="28">
                  <c:v>22.655521978952208</c:v>
                </c:pt>
                <c:pt idx="29">
                  <c:v>22.636606507040071</c:v>
                </c:pt>
                <c:pt idx="30">
                  <c:v>22.636772270542231</c:v>
                </c:pt>
                <c:pt idx="31">
                  <c:v>22.636904881343959</c:v>
                </c:pt>
                <c:pt idx="32">
                  <c:v>22.629361692050455</c:v>
                </c:pt>
                <c:pt idx="33">
                  <c:v>22.615678277518668</c:v>
                </c:pt>
                <c:pt idx="34">
                  <c:v>22.627679380313175</c:v>
                </c:pt>
                <c:pt idx="35">
                  <c:v>22.629630569160714</c:v>
                </c:pt>
                <c:pt idx="36">
                  <c:v>22.638841213626812</c:v>
                </c:pt>
                <c:pt idx="37">
                  <c:v>22.707464127376571</c:v>
                </c:pt>
                <c:pt idx="38">
                  <c:v>22.770015920771879</c:v>
                </c:pt>
                <c:pt idx="39">
                  <c:v>22.781794247161205</c:v>
                </c:pt>
                <c:pt idx="40">
                  <c:v>22.760572156027205</c:v>
                </c:pt>
                <c:pt idx="41">
                  <c:v>22.674720364797512</c:v>
                </c:pt>
                <c:pt idx="42">
                  <c:v>22.713209584541186</c:v>
                </c:pt>
                <c:pt idx="43">
                  <c:v>22.705704425931192</c:v>
                </c:pt>
                <c:pt idx="44">
                  <c:v>22.684401327720241</c:v>
                </c:pt>
                <c:pt idx="45">
                  <c:v>22.675008127086368</c:v>
                </c:pt>
                <c:pt idx="46">
                  <c:v>22.774711024713344</c:v>
                </c:pt>
                <c:pt idx="47">
                  <c:v>22.854473342814924</c:v>
                </c:pt>
                <c:pt idx="48">
                  <c:v>22.826365542006606</c:v>
                </c:pt>
                <c:pt idx="49">
                  <c:v>22.796229191903524</c:v>
                </c:pt>
                <c:pt idx="50">
                  <c:v>22.756821140498108</c:v>
                </c:pt>
                <c:pt idx="51">
                  <c:v>22.725294699373773</c:v>
                </c:pt>
                <c:pt idx="52">
                  <c:v>22.677128199233703</c:v>
                </c:pt>
                <c:pt idx="53">
                  <c:v>22.661540346362248</c:v>
                </c:pt>
                <c:pt idx="54">
                  <c:v>22.664369035388038</c:v>
                </c:pt>
                <c:pt idx="55">
                  <c:v>22.620740045765888</c:v>
                </c:pt>
                <c:pt idx="56">
                  <c:v>22.608780960491014</c:v>
                </c:pt>
                <c:pt idx="57">
                  <c:v>22.760011437771102</c:v>
                </c:pt>
                <c:pt idx="58">
                  <c:v>22.766139297128291</c:v>
                </c:pt>
                <c:pt idx="59">
                  <c:v>22.763390638895928</c:v>
                </c:pt>
                <c:pt idx="60">
                  <c:v>22.73055029809203</c:v>
                </c:pt>
                <c:pt idx="61">
                  <c:v>22.696629162351929</c:v>
                </c:pt>
                <c:pt idx="62">
                  <c:v>22.684790394791719</c:v>
                </c:pt>
                <c:pt idx="63">
                  <c:v>22.675319380743549</c:v>
                </c:pt>
                <c:pt idx="64">
                  <c:v>22.713688797298015</c:v>
                </c:pt>
                <c:pt idx="65">
                  <c:v>22.652548645386997</c:v>
                </c:pt>
                <c:pt idx="66">
                  <c:v>22.657175674607839</c:v>
                </c:pt>
                <c:pt idx="67">
                  <c:v>22.676219740879564</c:v>
                </c:pt>
                <c:pt idx="68">
                  <c:v>22.676112551001893</c:v>
                </c:pt>
                <c:pt idx="69">
                  <c:v>22.668377105711688</c:v>
                </c:pt>
                <c:pt idx="70">
                  <c:v>22.66983844286759</c:v>
                </c:pt>
                <c:pt idx="71">
                  <c:v>22.648059678172377</c:v>
                </c:pt>
                <c:pt idx="72">
                  <c:v>22.645934807448075</c:v>
                </c:pt>
                <c:pt idx="73">
                  <c:v>22.690181138661636</c:v>
                </c:pt>
                <c:pt idx="74">
                  <c:v>22.679631975839484</c:v>
                </c:pt>
                <c:pt idx="75">
                  <c:v>22.686492448426254</c:v>
                </c:pt>
                <c:pt idx="76">
                  <c:v>22.691980826495669</c:v>
                </c:pt>
                <c:pt idx="77">
                  <c:v>22.642829478651993</c:v>
                </c:pt>
                <c:pt idx="78">
                  <c:v>22.634101369896882</c:v>
                </c:pt>
                <c:pt idx="79">
                  <c:v>22.650067963672175</c:v>
                </c:pt>
                <c:pt idx="80">
                  <c:v>22.647541435847916</c:v>
                </c:pt>
                <c:pt idx="81">
                  <c:v>22.653169906976576</c:v>
                </c:pt>
                <c:pt idx="82">
                  <c:v>22.75724044862551</c:v>
                </c:pt>
                <c:pt idx="83">
                  <c:v>22.863464892771955</c:v>
                </c:pt>
                <c:pt idx="84">
                  <c:v>22.79531238922106</c:v>
                </c:pt>
                <c:pt idx="85">
                  <c:v>22.763736976287024</c:v>
                </c:pt>
                <c:pt idx="86">
                  <c:v>22.669606246752323</c:v>
                </c:pt>
                <c:pt idx="87">
                  <c:v>22.655522784377144</c:v>
                </c:pt>
                <c:pt idx="88">
                  <c:v>22.65190529241189</c:v>
                </c:pt>
                <c:pt idx="89">
                  <c:v>22.649011298839685</c:v>
                </c:pt>
                <c:pt idx="90">
                  <c:v>22.661995906826416</c:v>
                </c:pt>
                <c:pt idx="91">
                  <c:v>22.664733483759374</c:v>
                </c:pt>
                <c:pt idx="92">
                  <c:v>22.659273851917675</c:v>
                </c:pt>
                <c:pt idx="93">
                  <c:v>22.654906146444315</c:v>
                </c:pt>
                <c:pt idx="94">
                  <c:v>22.64376270413074</c:v>
                </c:pt>
                <c:pt idx="95">
                  <c:v>22.688443456007768</c:v>
                </c:pt>
                <c:pt idx="96">
                  <c:v>22.693541632560883</c:v>
                </c:pt>
                <c:pt idx="97">
                  <c:v>22.689970064346948</c:v>
                </c:pt>
                <c:pt idx="98">
                  <c:v>22.694762919232225</c:v>
                </c:pt>
                <c:pt idx="99">
                  <c:v>22.69094709368402</c:v>
                </c:pt>
                <c:pt idx="100">
                  <c:v>22.703236876140512</c:v>
                </c:pt>
                <c:pt idx="101">
                  <c:v>22.690076565822583</c:v>
                </c:pt>
                <c:pt idx="102">
                  <c:v>22.687198010956308</c:v>
                </c:pt>
                <c:pt idx="103">
                  <c:v>22.677245473675221</c:v>
                </c:pt>
                <c:pt idx="104">
                  <c:v>22.66928344385035</c:v>
                </c:pt>
                <c:pt idx="105">
                  <c:v>22.670563513378521</c:v>
                </c:pt>
                <c:pt idx="106">
                  <c:v>22.686930011896113</c:v>
                </c:pt>
                <c:pt idx="107">
                  <c:v>22.677031074427067</c:v>
                </c:pt>
                <c:pt idx="108">
                  <c:v>22.707406370085355</c:v>
                </c:pt>
                <c:pt idx="109">
                  <c:v>22.846569473511135</c:v>
                </c:pt>
                <c:pt idx="110">
                  <c:v>22.797093365784196</c:v>
                </c:pt>
                <c:pt idx="111">
                  <c:v>22.757512479602642</c:v>
                </c:pt>
                <c:pt idx="112">
                  <c:v>22.626402914218307</c:v>
                </c:pt>
                <c:pt idx="113">
                  <c:v>22.613311255252949</c:v>
                </c:pt>
                <c:pt idx="114">
                  <c:v>22.625785762500602</c:v>
                </c:pt>
                <c:pt idx="115">
                  <c:v>22.574579419397502</c:v>
                </c:pt>
                <c:pt idx="116">
                  <c:v>22.617793682429411</c:v>
                </c:pt>
                <c:pt idx="117">
                  <c:v>22.62937170424177</c:v>
                </c:pt>
                <c:pt idx="118">
                  <c:v>22.615686287271718</c:v>
                </c:pt>
                <c:pt idx="119">
                  <c:v>22.620036094727549</c:v>
                </c:pt>
                <c:pt idx="120">
                  <c:v>22.631165634080279</c:v>
                </c:pt>
                <c:pt idx="121">
                  <c:v>22.609472982267722</c:v>
                </c:pt>
                <c:pt idx="122">
                  <c:v>22.622715144112419</c:v>
                </c:pt>
                <c:pt idx="123">
                  <c:v>22.618009902265221</c:v>
                </c:pt>
                <c:pt idx="124">
                  <c:v>22.614245708787465</c:v>
                </c:pt>
                <c:pt idx="125">
                  <c:v>22.672482061033438</c:v>
                </c:pt>
                <c:pt idx="126">
                  <c:v>22.665472713736925</c:v>
                </c:pt>
                <c:pt idx="127">
                  <c:v>22.652215957964827</c:v>
                </c:pt>
                <c:pt idx="128">
                  <c:v>22.611017583827319</c:v>
                </c:pt>
                <c:pt idx="129">
                  <c:v>22.623950825360097</c:v>
                </c:pt>
                <c:pt idx="130">
                  <c:v>22.618998447263365</c:v>
                </c:pt>
                <c:pt idx="131">
                  <c:v>22.645677959003987</c:v>
                </c:pt>
                <c:pt idx="132">
                  <c:v>22.636380154178475</c:v>
                </c:pt>
                <c:pt idx="133">
                  <c:v>22.598348940798235</c:v>
                </c:pt>
                <c:pt idx="134">
                  <c:v>22.598516939613877</c:v>
                </c:pt>
                <c:pt idx="135">
                  <c:v>22.636943698602511</c:v>
                </c:pt>
                <c:pt idx="136">
                  <c:v>22.629392745857295</c:v>
                </c:pt>
                <c:pt idx="137">
                  <c:v>22.65399339787913</c:v>
                </c:pt>
                <c:pt idx="138">
                  <c:v>22.658331476601546</c:v>
                </c:pt>
                <c:pt idx="139">
                  <c:v>22.646502968256524</c:v>
                </c:pt>
                <c:pt idx="140">
                  <c:v>22.621742849608715</c:v>
                </c:pt>
                <c:pt idx="141">
                  <c:v>22.571345089083994</c:v>
                </c:pt>
                <c:pt idx="142">
                  <c:v>22.599862939021865</c:v>
                </c:pt>
                <c:pt idx="143">
                  <c:v>22.615027109515733</c:v>
                </c:pt>
                <c:pt idx="144">
                  <c:v>22.596562162616085</c:v>
                </c:pt>
                <c:pt idx="145">
                  <c:v>22.597087517068154</c:v>
                </c:pt>
                <c:pt idx="146">
                  <c:v>22.62045688140919</c:v>
                </c:pt>
                <c:pt idx="147">
                  <c:v>22.631502263425592</c:v>
                </c:pt>
                <c:pt idx="148">
                  <c:v>22.586799418289058</c:v>
                </c:pt>
                <c:pt idx="149">
                  <c:v>22.596926599541423</c:v>
                </c:pt>
                <c:pt idx="150">
                  <c:v>22.612678037931378</c:v>
                </c:pt>
                <c:pt idx="151">
                  <c:v>22.564093239742125</c:v>
                </c:pt>
                <c:pt idx="152">
                  <c:v>22.563463515672002</c:v>
                </c:pt>
                <c:pt idx="153">
                  <c:v>22.562959736415905</c:v>
                </c:pt>
                <c:pt idx="154">
                  <c:v>22.470760719668917</c:v>
                </c:pt>
                <c:pt idx="155">
                  <c:v>22.404645437229835</c:v>
                </c:pt>
                <c:pt idx="156">
                  <c:v>22.405313957332453</c:v>
                </c:pt>
                <c:pt idx="157">
                  <c:v>22.512989280922667</c:v>
                </c:pt>
                <c:pt idx="158">
                  <c:v>22.484342234135156</c:v>
                </c:pt>
                <c:pt idx="159">
                  <c:v>22.514960852218298</c:v>
                </c:pt>
                <c:pt idx="160">
                  <c:v>22.677298070165069</c:v>
                </c:pt>
                <c:pt idx="161">
                  <c:v>22.654027380010358</c:v>
                </c:pt>
                <c:pt idx="162">
                  <c:v>22.635410827886592</c:v>
                </c:pt>
                <c:pt idx="163">
                  <c:v>22.582279471706293</c:v>
                </c:pt>
                <c:pt idx="164">
                  <c:v>22.585661364340321</c:v>
                </c:pt>
                <c:pt idx="165">
                  <c:v>22.603665849770497</c:v>
                </c:pt>
                <c:pt idx="166">
                  <c:v>22.572177497271856</c:v>
                </c:pt>
                <c:pt idx="167">
                  <c:v>22.546986815272941</c:v>
                </c:pt>
                <c:pt idx="168">
                  <c:v>22.549778376096658</c:v>
                </c:pt>
                <c:pt idx="169">
                  <c:v>22.597952847788736</c:v>
                </c:pt>
                <c:pt idx="170">
                  <c:v>22.590551202109292</c:v>
                </c:pt>
                <c:pt idx="171">
                  <c:v>22.584629885565736</c:v>
                </c:pt>
                <c:pt idx="172">
                  <c:v>22.579892832330891</c:v>
                </c:pt>
                <c:pt idx="173">
                  <c:v>22.553159083320171</c:v>
                </c:pt>
                <c:pt idx="174">
                  <c:v>22.577664024954377</c:v>
                </c:pt>
                <c:pt idx="175">
                  <c:v>22.581969006938788</c:v>
                </c:pt>
                <c:pt idx="176">
                  <c:v>22.570115680554526</c:v>
                </c:pt>
                <c:pt idx="177">
                  <c:v>22.537690151992205</c:v>
                </c:pt>
                <c:pt idx="178">
                  <c:v>22.511749729142348</c:v>
                </c:pt>
                <c:pt idx="179">
                  <c:v>22.552186651068546</c:v>
                </c:pt>
              </c:numCache>
            </c:numRef>
          </c:val>
          <c:smooth val="0"/>
          <c:extLst>
            <c:ext xmlns:c16="http://schemas.microsoft.com/office/drawing/2014/chart" uri="{C3380CC4-5D6E-409C-BE32-E72D297353CC}">
              <c16:uniqueId val="{00000001-A7C6-4069-9BD4-C3A1B0641A29}"/>
            </c:ext>
          </c:extLst>
        </c:ser>
        <c:dLbls>
          <c:showLegendKey val="0"/>
          <c:showVal val="0"/>
          <c:showCatName val="0"/>
          <c:showSerName val="0"/>
          <c:showPercent val="0"/>
          <c:showBubbleSize val="0"/>
        </c:dLbls>
        <c:smooth val="0"/>
        <c:axId val="508564992"/>
        <c:axId val="508566912"/>
      </c:lineChart>
      <c:catAx>
        <c:axId val="508564992"/>
        <c:scaling>
          <c:orientation val="minMax"/>
        </c:scaling>
        <c:delete val="0"/>
        <c:axPos val="b"/>
        <c:title>
          <c:tx>
            <c:rich>
              <a:bodyPr/>
              <a:lstStyle/>
              <a:p>
                <a:pPr>
                  <a:defRPr/>
                </a:pPr>
                <a:r>
                  <a:rPr lang="en-US"/>
                  <a:t>Samples</a:t>
                </a:r>
              </a:p>
            </c:rich>
          </c:tx>
          <c:overlay val="0"/>
        </c:title>
        <c:majorTickMark val="none"/>
        <c:minorTickMark val="none"/>
        <c:tickLblPos val="nextTo"/>
        <c:crossAx val="508566912"/>
        <c:crosses val="autoZero"/>
        <c:auto val="1"/>
        <c:lblAlgn val="ctr"/>
        <c:lblOffset val="100"/>
        <c:noMultiLvlLbl val="0"/>
      </c:catAx>
      <c:valAx>
        <c:axId val="508566912"/>
        <c:scaling>
          <c:orientation val="minMax"/>
        </c:scaling>
        <c:delete val="0"/>
        <c:axPos val="l"/>
        <c:majorGridlines/>
        <c:title>
          <c:tx>
            <c:rich>
              <a:bodyPr/>
              <a:lstStyle/>
              <a:p>
                <a:pPr>
                  <a:defRPr/>
                </a:pPr>
                <a:r>
                  <a:rPr lang="en-US"/>
                  <a:t>Temperature C</a:t>
                </a:r>
              </a:p>
            </c:rich>
          </c:tx>
          <c:overlay val="0"/>
        </c:title>
        <c:numFmt formatCode="0.000" sourceLinked="1"/>
        <c:majorTickMark val="none"/>
        <c:minorTickMark val="none"/>
        <c:tickLblPos val="nextTo"/>
        <c:crossAx val="5085649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7" Type="http://schemas.openxmlformats.org/officeDocument/2006/relationships/image" Target="../media/image6.png"/><Relationship Id="rId2" Type="http://schemas.openxmlformats.org/officeDocument/2006/relationships/image" Target="../media/image2.gif"/><Relationship Id="rId1" Type="http://schemas.openxmlformats.org/officeDocument/2006/relationships/hyperlink" Target="http://www.ti.com" TargetMode="Externa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3.xml.rels><?xml version="1.0" encoding="UTF-8" standalone="yes"?>
<Relationships xmlns="http://schemas.openxmlformats.org/package/2006/relationships"><Relationship Id="rId8" Type="http://schemas.openxmlformats.org/officeDocument/2006/relationships/hyperlink" Target="http://www.ti.com/corp/docs/legal/copyright.shtml" TargetMode="Externa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gif"/><Relationship Id="rId5" Type="http://schemas.openxmlformats.org/officeDocument/2006/relationships/hyperlink" Target="http://www.ti.com" TargetMode="Externa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gif"/><Relationship Id="rId1" Type="http://schemas.openxmlformats.org/officeDocument/2006/relationships/hyperlink" Target="http://www.ti.com" TargetMode="External"/><Relationship Id="rId5" Type="http://schemas.openxmlformats.org/officeDocument/2006/relationships/hyperlink" Target="http://www.ti.com/corp/docs/legal/copyright.shtml" TargetMode="Externa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2.gif"/><Relationship Id="rId1" Type="http://schemas.openxmlformats.org/officeDocument/2006/relationships/hyperlink" Target="http://www.ti.com" TargetMode="External"/><Relationship Id="rId4" Type="http://schemas.openxmlformats.org/officeDocument/2006/relationships/hyperlink" Target="http://www.ti.com/corp/docs/legal/copyright.shtml"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7.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8.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9.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10.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18" Type="http://schemas.openxmlformats.org/officeDocument/2006/relationships/image" Target="../media/image23.png"/><Relationship Id="rId26" Type="http://schemas.openxmlformats.org/officeDocument/2006/relationships/hyperlink" Target="http://www.ti.com/corp/docs/legal/copyright.shtml" TargetMode="External"/><Relationship Id="rId3" Type="http://schemas.openxmlformats.org/officeDocument/2006/relationships/image" Target="../media/image8.png"/><Relationship Id="rId21" Type="http://schemas.openxmlformats.org/officeDocument/2006/relationships/image" Target="../media/image26.png"/><Relationship Id="rId7" Type="http://schemas.openxmlformats.org/officeDocument/2006/relationships/image" Target="../media/image12.png"/><Relationship Id="rId12" Type="http://schemas.openxmlformats.org/officeDocument/2006/relationships/image" Target="../media/image17.png"/><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2.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hyperlink" Target="http://www.ti.com" TargetMode="External"/><Relationship Id="rId6" Type="http://schemas.openxmlformats.org/officeDocument/2006/relationships/image" Target="../media/image11.png"/><Relationship Id="rId11" Type="http://schemas.openxmlformats.org/officeDocument/2006/relationships/image" Target="../media/image16.png"/><Relationship Id="rId24" Type="http://schemas.openxmlformats.org/officeDocument/2006/relationships/image" Target="../media/image29.png"/><Relationship Id="rId5" Type="http://schemas.openxmlformats.org/officeDocument/2006/relationships/image" Target="../media/image10.png"/><Relationship Id="rId15" Type="http://schemas.openxmlformats.org/officeDocument/2006/relationships/image" Target="../media/image20.png"/><Relationship Id="rId23" Type="http://schemas.openxmlformats.org/officeDocument/2006/relationships/image" Target="../media/image28.png"/><Relationship Id="rId10" Type="http://schemas.openxmlformats.org/officeDocument/2006/relationships/image" Target="../media/image15.png"/><Relationship Id="rId19" Type="http://schemas.openxmlformats.org/officeDocument/2006/relationships/image" Target="../media/image24.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 Id="rId22" Type="http://schemas.openxmlformats.org/officeDocument/2006/relationships/image" Target="../media/image27.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2.gif"/><Relationship Id="rId1" Type="http://schemas.openxmlformats.org/officeDocument/2006/relationships/hyperlink" Target="http://www.ti.com" TargetMode="External"/><Relationship Id="rId4" Type="http://schemas.openxmlformats.org/officeDocument/2006/relationships/hyperlink" Target="http://www.ti.com/corp/docs/legal/copyright.shtml" TargetMode="External"/></Relationships>
</file>

<file path=xl/drawings/_rels/drawing12.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85724</xdr:colOff>
      <xdr:row>0</xdr:row>
      <xdr:rowOff>152399</xdr:rowOff>
    </xdr:from>
    <xdr:to>
      <xdr:col>2</xdr:col>
      <xdr:colOff>80961</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4"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52390</xdr:colOff>
      <xdr:row>0</xdr:row>
      <xdr:rowOff>97632</xdr:rowOff>
    </xdr:from>
    <xdr:ext cx="6829421" cy="417807"/>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802734" y="97632"/>
          <a:ext cx="6829421"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Thermistor Design Tool - Constant Voltage Biasing</a:t>
          </a:r>
        </a:p>
      </xdr:txBody>
    </xdr:sp>
    <xdr:clientData/>
  </xdr:oneCellAnchor>
  <xdr:oneCellAnchor>
    <xdr:from>
      <xdr:col>13</xdr:col>
      <xdr:colOff>314325</xdr:colOff>
      <xdr:row>0</xdr:row>
      <xdr:rowOff>161925</xdr:rowOff>
    </xdr:from>
    <xdr:ext cx="4179670" cy="264560"/>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000-000004000000}"/>
            </a:ext>
          </a:extLst>
        </xdr:cNvPr>
        <xdr:cNvSpPr txBox="1"/>
      </xdr:nvSpPr>
      <xdr:spPr>
        <a:xfrm>
          <a:off x="12449175" y="16192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oneCellAnchor>
    <xdr:from>
      <xdr:col>0</xdr:col>
      <xdr:colOff>304799</xdr:colOff>
      <xdr:row>6</xdr:row>
      <xdr:rowOff>0</xdr:rowOff>
    </xdr:from>
    <xdr:ext cx="7839076" cy="1013460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04799" y="1097280"/>
          <a:ext cx="7839076" cy="10134600"/>
        </a:xfrm>
        <a:prstGeom prst="rect">
          <a:avLst/>
        </a:prstGeom>
        <a:solidFill>
          <a:srgbClr val="E0E0E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algn="l">
            <a:spcBef>
              <a:spcPts val="0"/>
            </a:spcBef>
            <a:spcAft>
              <a:spcPts val="0"/>
            </a:spcAft>
          </a:pPr>
          <a:r>
            <a:rPr lang="en-US" sz="1200" b="1">
              <a:solidFill>
                <a:srgbClr val="000000"/>
              </a:solidFill>
              <a:effectLst/>
              <a:latin typeface="Arial"/>
              <a:ea typeface="MS Mincho"/>
            </a:rPr>
            <a:t>TEXAS INSTRUMENTS TEXT FILE LICENSE</a:t>
          </a:r>
          <a:endParaRPr lang="en-US" sz="1400" b="1">
            <a:effectLst/>
            <a:latin typeface="Times New Roman"/>
            <a:ea typeface="MS Mincho"/>
          </a:endParaRPr>
        </a:p>
        <a:p>
          <a:pPr marL="0" marR="0">
            <a:spcBef>
              <a:spcPts val="0"/>
            </a:spcBef>
            <a:spcAft>
              <a:spcPts val="0"/>
            </a:spcAft>
          </a:pPr>
          <a:r>
            <a:rPr lang="en-US" sz="1200">
              <a:solidFill>
                <a:srgbClr val="80808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Copyright (c) 2021 Texas Instruments Incorporated</a:t>
          </a:r>
          <a:endParaRPr lang="en-US" sz="1400">
            <a:effectLst/>
            <a:latin typeface="Times New Roman"/>
            <a:ea typeface="MS Mincho"/>
          </a:endParaRPr>
        </a:p>
        <a:p>
          <a:pPr marL="0" marR="0">
            <a:spcBef>
              <a:spcPts val="0"/>
            </a:spcBef>
            <a:spcAft>
              <a:spcPts val="0"/>
            </a:spcAft>
          </a:pPr>
          <a:r>
            <a:rPr lang="en-US" sz="1200">
              <a:solidFill>
                <a:srgbClr val="80808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All rights reserved not granted herein.</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Limited License.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effectLst/>
              <a:latin typeface="Arial"/>
              <a:ea typeface="MS Mincho"/>
            </a:rPr>
            <a:t>Texas Instruments Incorporated g</a:t>
          </a:r>
          <a:r>
            <a:rPr lang="en-US" sz="1200">
              <a:solidFill>
                <a:srgbClr val="000000"/>
              </a:solidFill>
              <a:effectLst/>
              <a:latin typeface="Arial"/>
              <a:ea typeface="MS Mincho"/>
            </a:rPr>
            <a:t>rants a world-wide, royalty-free, non-exclusive license under copyrights and patents it now or hereafter owns or controls to make, have made, use, import, offer to sell and </a:t>
          </a:r>
          <a:r>
            <a:rPr lang="en-US" sz="1200">
              <a:effectLst/>
              <a:latin typeface="Arial"/>
              <a:ea typeface="MS Mincho"/>
            </a:rPr>
            <a:t>sell ("Utilize")</a:t>
          </a:r>
          <a:r>
            <a:rPr lang="en-US" sz="1200">
              <a:solidFill>
                <a:srgbClr val="0000FF"/>
              </a:solidFill>
              <a:effectLst/>
              <a:latin typeface="Arial"/>
              <a:ea typeface="MS Mincho"/>
            </a:rPr>
            <a:t> </a:t>
          </a:r>
          <a:r>
            <a:rPr lang="en-US" sz="1200">
              <a:solidFill>
                <a:srgbClr val="000000"/>
              </a:solidFill>
              <a:effectLst/>
              <a:latin typeface="Arial"/>
              <a:ea typeface="MS Mincho"/>
            </a:rPr>
            <a:t>this software subject to the terms herein.  With respect to the foregoing patent license, such license is granted  solely to the extent that any such patent is necessary to Utilize the software alone.  The patent license shall not apply to any combinations which include this software, other than combinations with devices manufactured by or for TI (“TI Devices”).  No hardware patent is licensed hereunder.</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Redistributions must preserve existing copyright notices and reproduce this license (including the above copyright notice and the disclaimer and (if applicable) source code license limitations below) in the documentation and/or other materials provided with the distribution</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Redistribution and use in binary form, without modification, are permitted provided that the following conditions are met:</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No reverse engineering, decompilation, or disassembly of this software is permitted with respect to any software provided in binary form.</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any redistribution and use are licensed by TI for use only with TI Devices.</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Nothing shall obligate TI to provide you with source code for the software licensed and provided to you in object code.</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If software source code is provided to you, modification and redistribution of the source code are permitted provided that the following conditions are met:</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any redistribution and use of the source code, including any resulting derivative works, are licensed by TI for use only with TI Devices.</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any redistribution and use of any object code compiled from the source code and any resulting derivative works, are licensed by TI for use only with TI Devices.</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Neither the name </a:t>
          </a:r>
          <a:r>
            <a:rPr lang="en-US" sz="1200">
              <a:effectLst/>
              <a:latin typeface="Arial"/>
              <a:ea typeface="MS Mincho"/>
            </a:rPr>
            <a:t>of Texas Instruments Incorporated</a:t>
          </a:r>
          <a:r>
            <a:rPr lang="en-US" sz="1200">
              <a:solidFill>
                <a:srgbClr val="0000FF"/>
              </a:solidFill>
              <a:effectLst/>
              <a:latin typeface="Arial"/>
              <a:ea typeface="MS Mincho"/>
            </a:rPr>
            <a:t> </a:t>
          </a:r>
          <a:r>
            <a:rPr lang="en-US" sz="1200">
              <a:solidFill>
                <a:srgbClr val="000000"/>
              </a:solidFill>
              <a:effectLst/>
              <a:latin typeface="Arial"/>
              <a:ea typeface="MS Mincho"/>
            </a:rPr>
            <a:t>nor the names of its suppliers may be used to endorse or promote products derived from this software without specific prior written permission.</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b="1">
              <a:solidFill>
                <a:srgbClr val="000000"/>
              </a:solidFill>
              <a:effectLst/>
              <a:latin typeface="Arial"/>
              <a:ea typeface="MS Mincho"/>
            </a:rPr>
            <a:t>DISCLAIMER.</a:t>
          </a:r>
          <a:endParaRPr lang="en-US" sz="1400" b="1">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THIS SOFTWARE IS PROVIDED BY TI AND TI’S LICENSORS "AS IS" AND ANY EXPRESS OR IMPLIED WARRANTIES, INCLUDING, BUT NOT LIMITED TO, THE IMPLIED WARRANTIES OF MERCHANTABILITY AND FITNESS FOR A PARTICULAR PURPOSE ARE DISCLAIMED. IN NO EVENT SHALL TI AND TI’S LICENSORS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sz="1400">
            <a:effectLst/>
            <a:latin typeface="Times New Roman"/>
            <a:ea typeface="MS Mincho"/>
          </a:endParaRPr>
        </a:p>
        <a:p>
          <a:endParaRPr lang="en-US" sz="1200" baseline="0"/>
        </a:p>
        <a:p>
          <a:endParaRPr lang="en-US" sz="1200" baseline="0"/>
        </a:p>
        <a:p>
          <a:endParaRPr lang="en-US" sz="1200" baseline="0"/>
        </a:p>
      </xdr:txBody>
    </xdr:sp>
    <xdr:clientData/>
  </xdr:oneCellAnchor>
  <xdr:twoCellAnchor>
    <xdr:from>
      <xdr:col>9</xdr:col>
      <xdr:colOff>785812</xdr:colOff>
      <xdr:row>7</xdr:row>
      <xdr:rowOff>83348</xdr:rowOff>
    </xdr:from>
    <xdr:to>
      <xdr:col>23</xdr:col>
      <xdr:colOff>107157</xdr:colOff>
      <xdr:row>16</xdr:row>
      <xdr:rowOff>47624</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9036843" y="1333504"/>
          <a:ext cx="10989470" cy="16073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tool provides the resistance to temperature data for the portfolio of thermistors at Texas Instruments.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Multiple, high accuracy temperature conversion methods are included to help you accelerate your coding process.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All values presented in this tool are based on the parameters and resistor divider network as seen below.</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twoCellAnchor editAs="oneCell">
    <xdr:from>
      <xdr:col>11</xdr:col>
      <xdr:colOff>861415</xdr:colOff>
      <xdr:row>54</xdr:row>
      <xdr:rowOff>90194</xdr:rowOff>
    </xdr:from>
    <xdr:to>
      <xdr:col>15</xdr:col>
      <xdr:colOff>23812</xdr:colOff>
      <xdr:row>70</xdr:row>
      <xdr:rowOff>35714</xdr:rowOff>
    </xdr:to>
    <xdr:pic>
      <xdr:nvPicPr>
        <xdr:cNvPr id="33" name="Picture 32" descr="C:\Users\a0190682\AppData\Local\Temp\SNAGHTML2a27a59e.PNG">
          <a:extLst>
            <a:ext uri="{FF2B5EF4-FFF2-40B4-BE49-F238E27FC236}">
              <a16:creationId xmlns:a16="http://schemas.microsoft.com/office/drawing/2014/main" id="{00000000-0008-0000-0000-000021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946009" y="9472319"/>
          <a:ext cx="3008116" cy="2612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285759</xdr:colOff>
      <xdr:row>54</xdr:row>
      <xdr:rowOff>142878</xdr:rowOff>
    </xdr:from>
    <xdr:to>
      <xdr:col>11</xdr:col>
      <xdr:colOff>618829</xdr:colOff>
      <xdr:row>70</xdr:row>
      <xdr:rowOff>47627</xdr:rowOff>
    </xdr:to>
    <xdr:pic>
      <xdr:nvPicPr>
        <xdr:cNvPr id="34" name="Picture 33" descr="C:\Users\a0190682\AppData\Local\Temp\SNAGHTML2a2a6351.PNG">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686809" y="10467978"/>
          <a:ext cx="2199970" cy="26479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251457</xdr:colOff>
      <xdr:row>54</xdr:row>
      <xdr:rowOff>130971</xdr:rowOff>
    </xdr:from>
    <xdr:to>
      <xdr:col>18</xdr:col>
      <xdr:colOff>908697</xdr:colOff>
      <xdr:row>68</xdr:row>
      <xdr:rowOff>25166</xdr:rowOff>
    </xdr:to>
    <xdr:pic>
      <xdr:nvPicPr>
        <xdr:cNvPr id="35" name="Picture 34" descr="C:\Users\a0190682\AppData\Local\Temp\SNAGHTML2a2fa83d.PNG">
          <a:extLst>
            <a:ext uri="{FF2B5EF4-FFF2-40B4-BE49-F238E27FC236}">
              <a16:creationId xmlns:a16="http://schemas.microsoft.com/office/drawing/2014/main" id="{00000000-0008-0000-0000-000023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653257" y="9854091"/>
          <a:ext cx="2821320" cy="22411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479428</xdr:colOff>
      <xdr:row>61</xdr:row>
      <xdr:rowOff>133349</xdr:rowOff>
    </xdr:from>
    <xdr:to>
      <xdr:col>20</xdr:col>
      <xdr:colOff>535237</xdr:colOff>
      <xdr:row>70</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a:stretch>
          <a:fillRect/>
        </a:stretch>
      </xdr:blipFill>
      <xdr:spPr>
        <a:xfrm>
          <a:off x="17052928" y="11658599"/>
          <a:ext cx="1817934" cy="15335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381000</xdr:colOff>
          <xdr:row>13</xdr:row>
          <xdr:rowOff>161925</xdr:rowOff>
        </xdr:from>
        <xdr:to>
          <xdr:col>21</xdr:col>
          <xdr:colOff>571500</xdr:colOff>
          <xdr:row>36</xdr:row>
          <xdr:rowOff>95250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440532</xdr:colOff>
      <xdr:row>237</xdr:row>
      <xdr:rowOff>59531</xdr:rowOff>
    </xdr:from>
    <xdr:to>
      <xdr:col>12</xdr:col>
      <xdr:colOff>940595</xdr:colOff>
      <xdr:row>243</xdr:row>
      <xdr:rowOff>95250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405563" y="39969281"/>
          <a:ext cx="2774157" cy="1035844"/>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twoCellAnchor editAs="oneCell">
    <xdr:from>
      <xdr:col>0</xdr:col>
      <xdr:colOff>85725</xdr:colOff>
      <xdr:row>0</xdr:row>
      <xdr:rowOff>152401</xdr:rowOff>
    </xdr:from>
    <xdr:to>
      <xdr:col>1</xdr:col>
      <xdr:colOff>664369</xdr:colOff>
      <xdr:row>2</xdr:row>
      <xdr:rowOff>93346</xdr:rowOff>
    </xdr:to>
    <xdr:pic>
      <xdr:nvPicPr>
        <xdr:cNvPr id="11" name="Picture 10" descr="ti logo">
          <a:hlinkClick xmlns:r="http://schemas.openxmlformats.org/officeDocument/2006/relationships" r:id="rId1"/>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1"/>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4</xdr:col>
      <xdr:colOff>52391</xdr:colOff>
      <xdr:row>0</xdr:row>
      <xdr:rowOff>133350</xdr:rowOff>
    </xdr:from>
    <xdr:ext cx="5943600" cy="417807"/>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42910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Device Resistance Tables</a:t>
          </a:r>
        </a:p>
      </xdr:txBody>
    </xdr:sp>
    <xdr:clientData/>
  </xdr:oneCellAnchor>
  <xdr:twoCellAnchor>
    <xdr:from>
      <xdr:col>0</xdr:col>
      <xdr:colOff>285748</xdr:colOff>
      <xdr:row>5</xdr:row>
      <xdr:rowOff>190496</xdr:rowOff>
    </xdr:from>
    <xdr:to>
      <xdr:col>20</xdr:col>
      <xdr:colOff>535781</xdr:colOff>
      <xdr:row>11</xdr:row>
      <xdr:rowOff>59532</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285748" y="1023934"/>
          <a:ext cx="16680658" cy="9048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you the calculated resistance to temperature tables and example code, valid only for the specific device, bias voltage and resistor combination currently on the "Main" 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oneCellAnchor>
    <xdr:from>
      <xdr:col>15</xdr:col>
      <xdr:colOff>933450</xdr:colOff>
      <xdr:row>0</xdr:row>
      <xdr:rowOff>133350</xdr:rowOff>
    </xdr:from>
    <xdr:ext cx="4179670" cy="264560"/>
    <xdr:sp macro="" textlink="">
      <xdr:nvSpPr>
        <xdr:cNvPr id="9" name="TextBox 8">
          <a:hlinkClick xmlns:r="http://schemas.openxmlformats.org/officeDocument/2006/relationships" r:id="rId3"/>
          <a:extLst>
            <a:ext uri="{FF2B5EF4-FFF2-40B4-BE49-F238E27FC236}">
              <a16:creationId xmlns:a16="http://schemas.microsoft.com/office/drawing/2014/main" id="{00000000-0008-0000-0200-000009000000}"/>
            </a:ext>
          </a:extLst>
        </xdr:cNvPr>
        <xdr:cNvSpPr txBox="1"/>
      </xdr:nvSpPr>
      <xdr:spPr>
        <a:xfrm>
          <a:off x="13144500" y="13335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25</xdr:col>
      <xdr:colOff>23813</xdr:colOff>
      <xdr:row>32</xdr:row>
      <xdr:rowOff>19050</xdr:rowOff>
    </xdr:from>
    <xdr:to>
      <xdr:col>31</xdr:col>
      <xdr:colOff>832009</xdr:colOff>
      <xdr:row>59</xdr:row>
      <xdr:rowOff>194310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23813</xdr:colOff>
      <xdr:row>61</xdr:row>
      <xdr:rowOff>147161</xdr:rowOff>
    </xdr:from>
    <xdr:to>
      <xdr:col>32</xdr:col>
      <xdr:colOff>0</xdr:colOff>
      <xdr:row>89</xdr:row>
      <xdr:rowOff>116681</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321469</xdr:colOff>
      <xdr:row>5</xdr:row>
      <xdr:rowOff>119061</xdr:rowOff>
    </xdr:from>
    <xdr:ext cx="19776281" cy="1428752"/>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321469" y="952499"/>
          <a:ext cx="19776281" cy="1428752"/>
        </a:xfrm>
        <a:prstGeom prst="rect">
          <a:avLst/>
        </a:prstGeom>
        <a:solidFill>
          <a:schemeClr val="bg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quick method to compare the Texas Instruments device selected, with a standard NTC thermistor of your choice. Enter the appropriate NTC resistance data in the red outlined cells below to see the comparisons on the graphs to the right. The two devices are compared based on the same voltage divider circuit.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oneCellAnchor>
  <xdr:twoCellAnchor>
    <xdr:from>
      <xdr:col>25</xdr:col>
      <xdr:colOff>23813</xdr:colOff>
      <xdr:row>91</xdr:row>
      <xdr:rowOff>69532</xdr:rowOff>
    </xdr:from>
    <xdr:to>
      <xdr:col>32</xdr:col>
      <xdr:colOff>0</xdr:colOff>
      <xdr:row>119</xdr:row>
      <xdr:rowOff>39052</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23813</xdr:colOff>
      <xdr:row>120</xdr:row>
      <xdr:rowOff>197643</xdr:rowOff>
    </xdr:from>
    <xdr:to>
      <xdr:col>32</xdr:col>
      <xdr:colOff>23813</xdr:colOff>
      <xdr:row>148</xdr:row>
      <xdr:rowOff>190023</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85725</xdr:colOff>
      <xdr:row>0</xdr:row>
      <xdr:rowOff>152399</xdr:rowOff>
    </xdr:from>
    <xdr:to>
      <xdr:col>1</xdr:col>
      <xdr:colOff>902494</xdr:colOff>
      <xdr:row>2</xdr:row>
      <xdr:rowOff>93344</xdr:rowOff>
    </xdr:to>
    <xdr:pic>
      <xdr:nvPicPr>
        <xdr:cNvPr id="16" name="Picture 15" descr="ti logo">
          <a:hlinkClick xmlns:r="http://schemas.openxmlformats.org/officeDocument/2006/relationships" r:id="rId5"/>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42910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NTC Thermistor Comparison</a:t>
          </a:r>
        </a:p>
      </xdr:txBody>
    </xdr:sp>
    <xdr:clientData/>
  </xdr:oneCellAnchor>
  <xdr:twoCellAnchor>
    <xdr:from>
      <xdr:col>25</xdr:col>
      <xdr:colOff>23813</xdr:colOff>
      <xdr:row>150</xdr:row>
      <xdr:rowOff>142875</xdr:rowOff>
    </xdr:from>
    <xdr:to>
      <xdr:col>32</xdr:col>
      <xdr:colOff>0</xdr:colOff>
      <xdr:row>178</xdr:row>
      <xdr:rowOff>112395</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16</xdr:col>
      <xdr:colOff>923925</xdr:colOff>
      <xdr:row>0</xdr:row>
      <xdr:rowOff>123825</xdr:rowOff>
    </xdr:from>
    <xdr:ext cx="4179670" cy="264560"/>
    <xdr:sp macro="" textlink="">
      <xdr:nvSpPr>
        <xdr:cNvPr id="11" name="TextBox 10">
          <a:hlinkClick xmlns:r="http://schemas.openxmlformats.org/officeDocument/2006/relationships" r:id="rId8"/>
          <a:extLst>
            <a:ext uri="{FF2B5EF4-FFF2-40B4-BE49-F238E27FC236}">
              <a16:creationId xmlns:a16="http://schemas.microsoft.com/office/drawing/2014/main" id="{00000000-0008-0000-0300-00000B000000}"/>
            </a:ext>
          </a:extLst>
        </xdr:cNvPr>
        <xdr:cNvSpPr txBox="1"/>
      </xdr:nvSpPr>
      <xdr:spPr>
        <a:xfrm>
          <a:off x="13268325" y="12382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2</xdr:col>
      <xdr:colOff>95250</xdr:colOff>
      <xdr:row>107</xdr:row>
      <xdr:rowOff>35719</xdr:rowOff>
    </xdr:from>
    <xdr:to>
      <xdr:col>5</xdr:col>
      <xdr:colOff>916782</xdr:colOff>
      <xdr:row>112</xdr:row>
      <xdr:rowOff>23811</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238375" y="16502063"/>
          <a:ext cx="4476751" cy="821529"/>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178594</xdr:colOff>
      <xdr:row>5</xdr:row>
      <xdr:rowOff>95250</xdr:rowOff>
    </xdr:from>
    <xdr:to>
      <xdr:col>15</xdr:col>
      <xdr:colOff>638175</xdr:colOff>
      <xdr:row>20</xdr:row>
      <xdr:rowOff>47625</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8594" y="962025"/>
              <a:ext cx="17356931" cy="2952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 the most accurate and fastest method to calculate the temperature values for TI's thermistor portfolio... no look up table needed.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results in a resistance value based on a temperature, as is shown here merely as an example. The regression formula  is what should be used because it will result in a temperature value based on a measured resistance.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divider voltage ,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𝑉</m:t>
                      </m:r>
                    </m:e>
                    <m: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𝑠𝑒𝑛𝑠𝑒</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an ADC.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current in the series resistor divider.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𝐼</m:t>
                  </m:r>
                  <m:r>
                    <a:rPr kumimoji="0" lang="en-US" sz="1200" b="0" i="1"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𝑉</m:t>
                              </m:r>
                            </m:e>
                            <m:sub>
                              <m:r>
                                <a:rPr kumimoji="0" lang="en-US" sz="1200" b="0" i="1" u="none" strike="noStrike" kern="0" cap="none" spc="0" normalizeH="0" baseline="0" noProof="0">
                                  <a:ln>
                                    <a:noFill/>
                                  </a:ln>
                                  <a:solidFill>
                                    <a:prstClr val="black"/>
                                  </a:solidFill>
                                  <a:effectLst/>
                                  <a:uLnTx/>
                                  <a:uFillTx/>
                                  <a:latin typeface="Cambria Math"/>
                                  <a:ea typeface="+mn-ea"/>
                                  <a:cs typeface="+mn-cs"/>
                                </a:rPr>
                                <m:t>𝐵𝑖𝑎𝑠</m:t>
                              </m:r>
                              <m:r>
                                <a:rPr kumimoji="0" lang="en-US" sz="1200" b="0" i="1" u="none" strike="noStrike" kern="0" cap="none" spc="0" normalizeH="0" baseline="0" noProof="0">
                                  <a:ln>
                                    <a:noFill/>
                                  </a:ln>
                                  <a:solidFill>
                                    <a:prstClr val="black"/>
                                  </a:solidFill>
                                  <a:effectLst/>
                                  <a:uLnTx/>
                                  <a:uFillTx/>
                                  <a:latin typeface="Cambria Math"/>
                                  <a:ea typeface="+mn-ea"/>
                                  <a:cs typeface="+mn-cs"/>
                                </a:rPr>
                                <m:t> </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𝑉</m:t>
                              </m:r>
                            </m:e>
                            <m: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𝑠𝑒𝑛𝑠𝑒</m:t>
                              </m:r>
                            </m:sub>
                          </m:sSub>
                        </m:e>
                      </m:d>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𝑅</m:t>
                          </m:r>
                        </m:e>
                        <m:sub>
                          <m:r>
                            <a:rPr kumimoji="0" lang="en-US" sz="1200" b="0" i="1" u="none" strike="noStrike" kern="0" cap="none" spc="0" normalizeH="0" baseline="0" noProof="0">
                              <a:ln>
                                <a:noFill/>
                              </a:ln>
                              <a:solidFill>
                                <a:prstClr val="black"/>
                              </a:solidFill>
                              <a:effectLst/>
                              <a:uLnTx/>
                              <a:uFillTx/>
                              <a:latin typeface="Cambria Math"/>
                              <a:ea typeface="+mn-ea"/>
                              <a:cs typeface="+mn-cs"/>
                            </a:rPr>
                            <m:t>𝐵𝑖𝑎𝑠</m:t>
                          </m:r>
                        </m:sub>
                      </m:sSub>
                    </m:den>
                  </m:f>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Using these two values above, use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𝑅</m:t>
                  </m:r>
                  <m:r>
                    <a:rPr kumimoji="0" lang="en-US" sz="1200" b="0" i="1"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𝑉</m:t>
                      </m:r>
                    </m:num>
                    <m:den>
                      <m:r>
                        <a:rPr kumimoji="0" lang="en-US" sz="1200" b="0" i="1" u="none" strike="noStrike" kern="0" cap="none" spc="0" normalizeH="0" baseline="0" noProof="0">
                          <a:ln>
                            <a:noFill/>
                          </a:ln>
                          <a:solidFill>
                            <a:prstClr val="black"/>
                          </a:solidFill>
                          <a:effectLst/>
                          <a:uLnTx/>
                          <a:uFillTx/>
                          <a:latin typeface="Cambria Math"/>
                          <a:ea typeface="+mn-ea"/>
                          <a:cs typeface="+mn-cs"/>
                        </a:rPr>
                        <m:t>𝐼</m:t>
                      </m:r>
                    </m:den>
                  </m:f>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to calculate the thermistor's  resistance in your system.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4) Use the resistance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Choice>
      <mc:Fallback xmlns="">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8594" y="962025"/>
              <a:ext cx="17356931" cy="2952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 the most accurate and fastest method to calculate the temperature values for TI's thermistor portfolio... no look up table needed.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results in a resistance value based on a temperature, as is shown here merely as an example. The regression formula  is what should be used because it will result in a temperature value based on a measured resistance.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divider voltage , </a:t>
              </a:r>
              <a:r>
                <a:rPr kumimoji="0" lang="en-US" sz="1200" b="0" i="0" u="none" strike="noStrike" kern="0" cap="none" spc="0" normalizeH="0" baseline="0" noProof="0">
                  <a:ln>
                    <a:noFill/>
                  </a:ln>
                  <a:solidFill>
                    <a:prstClr val="black"/>
                  </a:solidFill>
                  <a:effectLst/>
                  <a:uLnTx/>
                  <a:uFillTx/>
                  <a:latin typeface="Cambria Math"/>
                  <a:ea typeface="+mn-ea"/>
                  <a:cs typeface="+mn-cs"/>
                </a:rPr>
                <a:t>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_𝑠𝑒𝑛𝑠𝑒</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an ADC.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current in the series resistor divider.  </a:t>
              </a:r>
              <a:r>
                <a:rPr kumimoji="0" lang="en-US" sz="1200" b="0" i="0" u="none" strike="noStrike" kern="0" cap="none" spc="0" normalizeH="0" baseline="0" noProof="0">
                  <a:ln>
                    <a:noFill/>
                  </a:ln>
                  <a:solidFill>
                    <a:prstClr val="black"/>
                  </a:solidFill>
                  <a:effectLst/>
                  <a:uLnTx/>
                  <a:uFillTx/>
                  <a:latin typeface="Cambria Math"/>
                  <a:ea typeface="+mn-ea"/>
                  <a:cs typeface="+mn-cs"/>
                </a:rPr>
                <a:t>𝐼=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𝐵𝑖𝑎𝑠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 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_𝑠𝑒𝑛𝑠𝑒 ))/</a:t>
              </a:r>
              <a:r>
                <a:rPr kumimoji="0" lang="en-US" sz="1200" b="0" i="0" u="none" strike="noStrike" kern="0" cap="none" spc="0" normalizeH="0" baseline="0" noProof="0">
                  <a:ln>
                    <a:noFill/>
                  </a:ln>
                  <a:solidFill>
                    <a:prstClr val="black"/>
                  </a:solidFill>
                  <a:effectLst/>
                  <a:uLnTx/>
                  <a:uFillTx/>
                  <a:latin typeface="Cambria Math"/>
                  <a:ea typeface="+mn-ea"/>
                  <a:cs typeface="+mn-cs"/>
                </a:rPr>
                <a:t>𝑅</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𝐵𝑖𝑎𝑠</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Using these two values above, use </a:t>
              </a:r>
              <a:r>
                <a:rPr kumimoji="0" lang="en-US" sz="1200" b="0" i="0" u="none" strike="noStrike" kern="0" cap="none" spc="0" normalizeH="0" baseline="0" noProof="0">
                  <a:ln>
                    <a:noFill/>
                  </a:ln>
                  <a:solidFill>
                    <a:prstClr val="black"/>
                  </a:solidFill>
                  <a:effectLst/>
                  <a:uLnTx/>
                  <a:uFillTx/>
                  <a:latin typeface="Cambria Math"/>
                  <a:ea typeface="+mn-ea"/>
                  <a:cs typeface="+mn-cs"/>
                </a:rPr>
                <a:t>𝑅=  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𝐼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to calculate the thermistor's  resistance in your system.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4) Use the resistance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Fallback>
    </mc:AlternateContent>
    <xdr:clientData/>
  </xdr:twoCellAnchor>
  <xdr:twoCellAnchor editAs="oneCell">
    <xdr:from>
      <xdr:col>0</xdr:col>
      <xdr:colOff>85725</xdr:colOff>
      <xdr:row>0</xdr:row>
      <xdr:rowOff>152399</xdr:rowOff>
    </xdr:from>
    <xdr:to>
      <xdr:col>1</xdr:col>
      <xdr:colOff>938212</xdr:colOff>
      <xdr:row>2</xdr:row>
      <xdr:rowOff>93344</xdr:rowOff>
    </xdr:to>
    <xdr:pic>
      <xdr:nvPicPr>
        <xdr:cNvPr id="10" name="Picture 9" descr="ti logo">
          <a:hlinkClick xmlns:r="http://schemas.openxmlformats.org/officeDocument/2006/relationships" r:id="rId1"/>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52390</xdr:colOff>
      <xdr:row>0</xdr:row>
      <xdr:rowOff>133350</xdr:rowOff>
    </xdr:from>
    <xdr:ext cx="7339009" cy="417807"/>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3919540" y="133350"/>
          <a:ext cx="7339009"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chemeClr val="tx1"/>
              </a:solidFill>
              <a:effectLst/>
              <a:uLnTx/>
              <a:uFillTx/>
              <a:latin typeface="Arial Black" panose="020B0A04020102020204" pitchFamily="34" charset="0"/>
              <a:ea typeface="+mn-ea"/>
              <a:cs typeface="+mn-cs"/>
            </a:rPr>
            <a:t>4th Order Polynomial Temperature vs Resistance</a:t>
          </a:r>
        </a:p>
      </xdr:txBody>
    </xdr:sp>
    <xdr:clientData/>
  </xdr:oneCellAnchor>
  <xdr:twoCellAnchor>
    <xdr:from>
      <xdr:col>6</xdr:col>
      <xdr:colOff>785813</xdr:colOff>
      <xdr:row>43</xdr:row>
      <xdr:rowOff>156334</xdr:rowOff>
    </xdr:from>
    <xdr:to>
      <xdr:col>13</xdr:col>
      <xdr:colOff>191827</xdr:colOff>
      <xdr:row>66</xdr:row>
      <xdr:rowOff>14820</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654844</xdr:colOff>
      <xdr:row>43</xdr:row>
      <xdr:rowOff>156334</xdr:rowOff>
    </xdr:from>
    <xdr:to>
      <xdr:col>6</xdr:col>
      <xdr:colOff>477576</xdr:colOff>
      <xdr:row>66</xdr:row>
      <xdr:rowOff>14820</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11</xdr:col>
      <xdr:colOff>371475</xdr:colOff>
      <xdr:row>0</xdr:row>
      <xdr:rowOff>152400</xdr:rowOff>
    </xdr:from>
    <xdr:ext cx="4179670" cy="264560"/>
    <xdr:sp macro="" textlink="">
      <xdr:nvSpPr>
        <xdr:cNvPr id="9" name="TextBox 8">
          <a:hlinkClick xmlns:r="http://schemas.openxmlformats.org/officeDocument/2006/relationships" r:id="rId5"/>
          <a:extLst>
            <a:ext uri="{FF2B5EF4-FFF2-40B4-BE49-F238E27FC236}">
              <a16:creationId xmlns:a16="http://schemas.microsoft.com/office/drawing/2014/main" id="{00000000-0008-0000-0400-000009000000}"/>
            </a:ext>
          </a:extLst>
        </xdr:cNvPr>
        <xdr:cNvSpPr txBox="1"/>
      </xdr:nvSpPr>
      <xdr:spPr>
        <a:xfrm>
          <a:off x="1349692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2</xdr:col>
      <xdr:colOff>95250</xdr:colOff>
      <xdr:row>87</xdr:row>
      <xdr:rowOff>35719</xdr:rowOff>
    </xdr:from>
    <xdr:to>
      <xdr:col>5</xdr:col>
      <xdr:colOff>916782</xdr:colOff>
      <xdr:row>92</xdr:row>
      <xdr:rowOff>23811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792730" y="19382899"/>
          <a:ext cx="4585812" cy="826292"/>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159544</xdr:colOff>
      <xdr:row>5</xdr:row>
      <xdr:rowOff>132290</xdr:rowOff>
    </xdr:from>
    <xdr:to>
      <xdr:col>15</xdr:col>
      <xdr:colOff>333375</xdr:colOff>
      <xdr:row>19</xdr:row>
      <xdr:rowOff>93133</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59544" y="995890"/>
              <a:ext cx="17056364" cy="26871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the most accurate and fastest method to calculate the temperature values for TI's thermistor portfolio... no look up table needed, no need to calculate a resistance.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regression results in temperature based on the measured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from the ADC. In the example below. The regression formula  will result in a temperature value based on a measured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across the thermistor,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𝑉</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and convert the ADC value to a voltage.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Use the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voltage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voltage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Choice>
      <mc:Fallback xmlns="">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59544" y="995890"/>
              <a:ext cx="17056364" cy="26871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the most accurate and fastest method to calculate the temperature values for TI's thermistor portfolio... no look up table needed, no need to calculate a resistance.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regression results in temperature based on the measured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from the ADC. In the example below. The regression formula  will result in a temperature value based on a measured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across the thermistor, </a:t>
              </a:r>
              <a:r>
                <a:rPr kumimoji="0" lang="en-US" sz="1200" b="0" i="0" u="none" strike="noStrike" kern="0" cap="none" spc="0" normalizeH="0" baseline="0" noProof="0">
                  <a:ln>
                    <a:noFill/>
                  </a:ln>
                  <a:solidFill>
                    <a:prstClr val="black"/>
                  </a:solidFill>
                  <a:effectLst/>
                  <a:uLnTx/>
                  <a:uFillTx/>
                  <a:latin typeface="+mn-lt"/>
                  <a:ea typeface="+mn-ea"/>
                  <a:cs typeface="+mn-cs"/>
                </a:rPr>
                <a:t>𝑉</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and convert the ADC value to a voltage.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Use the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voltage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voltage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Fallback>
    </mc:AlternateContent>
    <xdr:clientData/>
  </xdr:twoCellAnchor>
  <xdr:twoCellAnchor editAs="oneCell">
    <xdr:from>
      <xdr:col>0</xdr:col>
      <xdr:colOff>85725</xdr:colOff>
      <xdr:row>0</xdr:row>
      <xdr:rowOff>152399</xdr:rowOff>
    </xdr:from>
    <xdr:to>
      <xdr:col>1</xdr:col>
      <xdr:colOff>938212</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58327"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52390</xdr:colOff>
      <xdr:row>0</xdr:row>
      <xdr:rowOff>133350</xdr:rowOff>
    </xdr:from>
    <xdr:ext cx="7339009" cy="417807"/>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3908110" y="133350"/>
          <a:ext cx="7339009"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chemeClr val="tx1"/>
              </a:solidFill>
              <a:effectLst/>
              <a:uLnTx/>
              <a:uFillTx/>
              <a:latin typeface="Arial Black" panose="020B0A04020102020204" pitchFamily="34" charset="0"/>
              <a:ea typeface="+mn-ea"/>
              <a:cs typeface="+mn-cs"/>
            </a:rPr>
            <a:t>4th Order Polynomial Temperature vs V</a:t>
          </a:r>
          <a:r>
            <a:rPr kumimoji="0" lang="en-US" sz="1800" b="0" i="0" u="none" strike="noStrike" kern="0" cap="none" spc="0" normalizeH="0" baseline="-25000" noProof="0">
              <a:ln>
                <a:noFill/>
              </a:ln>
              <a:solidFill>
                <a:schemeClr val="tx1"/>
              </a:solidFill>
              <a:effectLst/>
              <a:uLnTx/>
              <a:uFillTx/>
              <a:latin typeface="Arial Black" panose="020B0A04020102020204" pitchFamily="34" charset="0"/>
              <a:ea typeface="+mn-ea"/>
              <a:cs typeface="+mn-cs"/>
            </a:rPr>
            <a:t>TEMP</a:t>
          </a:r>
        </a:p>
      </xdr:txBody>
    </xdr:sp>
    <xdr:clientData/>
  </xdr:oneCellAnchor>
  <xdr:twoCellAnchor>
    <xdr:from>
      <xdr:col>0</xdr:col>
      <xdr:colOff>957262</xdr:colOff>
      <xdr:row>38</xdr:row>
      <xdr:rowOff>175384</xdr:rowOff>
    </xdr:from>
    <xdr:to>
      <xdr:col>10</xdr:col>
      <xdr:colOff>8965</xdr:colOff>
      <xdr:row>61</xdr:row>
      <xdr:rowOff>33870</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10</xdr:col>
      <xdr:colOff>514350</xdr:colOff>
      <xdr:row>1</xdr:row>
      <xdr:rowOff>28575</xdr:rowOff>
    </xdr:from>
    <xdr:ext cx="4179670" cy="264560"/>
    <xdr:sp macro="" textlink="">
      <xdr:nvSpPr>
        <xdr:cNvPr id="8" name="TextBox 7">
          <a:hlinkClick xmlns:r="http://schemas.openxmlformats.org/officeDocument/2006/relationships" r:id="rId4"/>
          <a:extLst>
            <a:ext uri="{FF2B5EF4-FFF2-40B4-BE49-F238E27FC236}">
              <a16:creationId xmlns:a16="http://schemas.microsoft.com/office/drawing/2014/main" id="{00000000-0008-0000-0500-000008000000}"/>
            </a:ext>
          </a:extLst>
        </xdr:cNvPr>
        <xdr:cNvSpPr txBox="1"/>
      </xdr:nvSpPr>
      <xdr:spPr>
        <a:xfrm>
          <a:off x="12649200" y="20002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1500187</xdr:colOff>
      <xdr:row>68</xdr:row>
      <xdr:rowOff>130963</xdr:rowOff>
    </xdr:from>
    <xdr:to>
      <xdr:col>3</xdr:col>
      <xdr:colOff>845344</xdr:colOff>
      <xdr:row>73</xdr:row>
      <xdr:rowOff>95252</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500187" y="10358432"/>
          <a:ext cx="5298282" cy="797726"/>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endParaRPr lang="en-US" b="1" baseline="0"/>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editAs="oneCell">
    <xdr:from>
      <xdr:col>0</xdr:col>
      <xdr:colOff>85725</xdr:colOff>
      <xdr:row>0</xdr:row>
      <xdr:rowOff>152401</xdr:rowOff>
    </xdr:from>
    <xdr:to>
      <xdr:col>0</xdr:col>
      <xdr:colOff>1914525</xdr:colOff>
      <xdr:row>2</xdr:row>
      <xdr:rowOff>93346</xdr:rowOff>
    </xdr:to>
    <xdr:pic>
      <xdr:nvPicPr>
        <xdr:cNvPr id="12" name="Picture 11" descr="ti logo">
          <a:hlinkClick xmlns:r="http://schemas.openxmlformats.org/officeDocument/2006/relationships" r:id="rId1"/>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1"/>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331946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Steinhart-Hart</a:t>
          </a:r>
        </a:p>
      </xdr:txBody>
    </xdr:sp>
    <xdr:clientData/>
  </xdr:oneCellAnchor>
  <xdr:twoCellAnchor>
    <xdr:from>
      <xdr:col>0</xdr:col>
      <xdr:colOff>107155</xdr:colOff>
      <xdr:row>5</xdr:row>
      <xdr:rowOff>178591</xdr:rowOff>
    </xdr:from>
    <xdr:to>
      <xdr:col>17</xdr:col>
      <xdr:colOff>38099</xdr:colOff>
      <xdr:row>20</xdr:row>
      <xdr:rowOff>23812</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7155" y="1026316"/>
              <a:ext cx="19714369" cy="2588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the Steinhart-Hart equation, a very precise method to derive temperature from a known resistance that is calculated from the voltage measured by an ADC.</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These equations used in the Steinhart-Hart method are automatically solved in this sheet. The example code  is automatically updated with the corresponding coefficients.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1</m:t>
                      </m:r>
                    </m:num>
                    <m:den>
                      <m:r>
                        <a:rPr kumimoji="0" lang="en-US" sz="1200" b="0" i="1" u="none" strike="noStrike" kern="0" cap="none" spc="0" normalizeH="0" baseline="0" noProof="0">
                          <a:ln>
                            <a:noFill/>
                          </a:ln>
                          <a:solidFill>
                            <a:prstClr val="black"/>
                          </a:solidFill>
                          <a:effectLst/>
                          <a:uLnTx/>
                          <a:uFillTx/>
                          <a:latin typeface="Cambria Math"/>
                          <a:ea typeface="+mn-ea"/>
                          <a:cs typeface="+mn-cs"/>
                        </a:rPr>
                        <m:t>𝑇</m:t>
                      </m:r>
                    </m:den>
                  </m:f>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𝐴</m:t>
                  </m:r>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𝐵𝑙𝑛𝑅</m:t>
                  </m:r>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𝐶</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a:ea typeface="+mn-ea"/>
                              <a:cs typeface="+mn-cs"/>
                            </a:rPr>
                            <m:t>𝑙𝑛𝑅</m:t>
                          </m:r>
                        </m:e>
                      </m:d>
                    </m:e>
                    <m:sup>
                      <m:r>
                        <a:rPr kumimoji="0" lang="en-US" sz="1200" b="0" i="1" u="none" strike="noStrike" kern="0" cap="none" spc="0" normalizeH="0" baseline="0" noProof="0">
                          <a:ln>
                            <a:noFill/>
                          </a:ln>
                          <a:solidFill>
                            <a:prstClr val="black"/>
                          </a:solidFill>
                          <a:effectLst/>
                          <a:uLnTx/>
                          <a:uFillTx/>
                          <a:latin typeface="Cambria Math"/>
                          <a:ea typeface="+mn-ea"/>
                          <a:cs typeface="+mn-cs"/>
                        </a:rPr>
                        <m:t>3</m:t>
                      </m:r>
                    </m:sup>
                  </m:sSup>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a:rPr kumimoji="0" lang="en-US" sz="1200" b="0" i="1" u="none" strike="noStrike" kern="0" cap="none" spc="0" normalizeH="0" baseline="0" noProof="0">
                          <a:ln>
                            <a:noFill/>
                          </a:ln>
                          <a:solidFill>
                            <a:prstClr val="black"/>
                          </a:solidFill>
                          <a:effectLst/>
                          <a:uLnTx/>
                          <a:uFillTx/>
                          <a:latin typeface="Cambria Math"/>
                          <a:ea typeface="+mn-ea"/>
                          <a:cs typeface="+mn-cs"/>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a:rPr kumimoji="0" lang="en-US" sz="1200" b="0" i="1" u="none" strike="noStrike" kern="0" cap="none" spc="0" normalizeH="0" baseline="0" noProof="0">
                              <a:ln>
                                <a:noFill/>
                              </a:ln>
                              <a:solidFill>
                                <a:prstClr val="black"/>
                              </a:solidFill>
                              <a:effectLst/>
                              <a:uLnTx/>
                              <a:uFillTx/>
                              <a:latin typeface="Cambria Math"/>
                              <a:ea typeface="+mn-ea"/>
                              <a:cs typeface="+mn-cs"/>
                            </a:rPr>
                            <m:t>3</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A</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B</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e>
                  </m:d>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B</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 </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e>
                  </m:d>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den>
                      </m:f>
                    </m:e>
                  </m:d>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e>
                      </m:d>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p>
                  </m:sSup>
                </m:oMath>
              </a14:m>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 = Temperature in Kelvin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mlns="">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7155" y="1026316"/>
              <a:ext cx="19714369" cy="2588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the Steinhart-Hart equation, a very precise method to derive temperature from a known resistance that is calculated from the voltage measured by an ADC.</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These equations used in the Steinhart-Hart method are automatically solved in this sheet. The example code  is automatically updated with the corresponding coefficients.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𝑇=𝐴+𝐵𝑙𝑛𝑅+𝐶</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𝑙𝑛𝑅</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3</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3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"B=</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 = Temperature in Kelvin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oneCellAnchor>
    <xdr:from>
      <xdr:col>10</xdr:col>
      <xdr:colOff>28575</xdr:colOff>
      <xdr:row>0</xdr:row>
      <xdr:rowOff>142875</xdr:rowOff>
    </xdr:from>
    <xdr:ext cx="4179670" cy="264560"/>
    <xdr:sp macro="" textlink="">
      <xdr:nvSpPr>
        <xdr:cNvPr id="7" name="TextBox 6">
          <a:hlinkClick xmlns:r="http://schemas.openxmlformats.org/officeDocument/2006/relationships" r:id="rId3"/>
          <a:extLst>
            <a:ext uri="{FF2B5EF4-FFF2-40B4-BE49-F238E27FC236}">
              <a16:creationId xmlns:a16="http://schemas.microsoft.com/office/drawing/2014/main" id="{00000000-0008-0000-0600-000007000000}"/>
            </a:ext>
          </a:extLst>
        </xdr:cNvPr>
        <xdr:cNvSpPr txBox="1"/>
      </xdr:nvSpPr>
      <xdr:spPr>
        <a:xfrm>
          <a:off x="13706475"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304800</xdr:colOff>
      <xdr:row>263</xdr:row>
      <xdr:rowOff>142879</xdr:rowOff>
    </xdr:from>
    <xdr:to>
      <xdr:col>5</xdr:col>
      <xdr:colOff>555392</xdr:colOff>
      <xdr:row>268</xdr:row>
      <xdr:rowOff>149884</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2221706" y="38254785"/>
          <a:ext cx="4513030" cy="84044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the table</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190500</xdr:colOff>
      <xdr:row>5</xdr:row>
      <xdr:rowOff>83344</xdr:rowOff>
    </xdr:from>
    <xdr:to>
      <xdr:col>19</xdr:col>
      <xdr:colOff>215900</xdr:colOff>
      <xdr:row>22</xdr:row>
      <xdr:rowOff>19050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90500" y="931069"/>
          <a:ext cx="17237075" cy="28789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non-floating point method to look up the corresponding temperature based on the resistance value.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1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Find the closest match of resistance in the stored lookup table based. The corresponding temperature to that found resistance value will be the resulting temperature from this method.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you want greater accuracy instead of rounding to the nearest value in the lookup table, and you would like to use floating point variables, then  interpolating the 1 degree C step lookup table will be preferred. For an example of this interpolation method, visit the sheet named "Interpolation From Lookup Table", which shows this method using the 5 degree C step lookup table that saves some memory space due to a smaller table.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xdr:clientData/>
  </xdr:twoCellAnchor>
  <xdr:twoCellAnchor editAs="oneCell">
    <xdr:from>
      <xdr:col>0</xdr:col>
      <xdr:colOff>85725</xdr:colOff>
      <xdr:row>0</xdr:row>
      <xdr:rowOff>152399</xdr:rowOff>
    </xdr:from>
    <xdr:to>
      <xdr:col>0</xdr:col>
      <xdr:colOff>1914525</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4802985"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Lookup Table</a:t>
          </a:r>
        </a:p>
      </xdr:txBody>
    </xdr:sp>
    <xdr:clientData/>
  </xdr:oneCellAnchor>
  <xdr:oneCellAnchor>
    <xdr:from>
      <xdr:col>12</xdr:col>
      <xdr:colOff>714375</xdr:colOff>
      <xdr:row>0</xdr:row>
      <xdr:rowOff>114300</xdr:rowOff>
    </xdr:from>
    <xdr:ext cx="4179670" cy="264560"/>
    <xdr:sp macro="" textlink="">
      <xdr:nvSpPr>
        <xdr:cNvPr id="7" name="TextBox 6">
          <a:hlinkClick xmlns:r="http://schemas.openxmlformats.org/officeDocument/2006/relationships" r:id="rId3"/>
          <a:extLst>
            <a:ext uri="{FF2B5EF4-FFF2-40B4-BE49-F238E27FC236}">
              <a16:creationId xmlns:a16="http://schemas.microsoft.com/office/drawing/2014/main" id="{00000000-0008-0000-0700-000007000000}"/>
            </a:ext>
          </a:extLst>
        </xdr:cNvPr>
        <xdr:cNvSpPr txBox="1"/>
      </xdr:nvSpPr>
      <xdr:spPr>
        <a:xfrm>
          <a:off x="12792075" y="1143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0</xdr:col>
      <xdr:colOff>190499</xdr:colOff>
      <xdr:row>5</xdr:row>
      <xdr:rowOff>95252</xdr:rowOff>
    </xdr:from>
    <xdr:to>
      <xdr:col>23</xdr:col>
      <xdr:colOff>333374</xdr:colOff>
      <xdr:row>25</xdr:row>
      <xdr:rowOff>178593</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90499" y="928690"/>
              <a:ext cx="19371469" cy="41314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floating point method to look up the corresponding temperature based on the resistance value. The use of the smaller 5 degree C step lookup table means that less memory is required compared to the 1 degree C step table. The interpolation method works very well with our thermistor portfolio because the device resistance curves are very linear, therefore the accuracy of this method is very good.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interpolation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5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Calculate how far the measured resistance is from the closest resistance values in the lookup table. Apply that same ratio to the corresponding  to temperature values (also known as a linear approximation of the actual temperature between two points).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formula for the linear interpolation process  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𝑌</m:t>
                  </m:r>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𝑋</m:t>
                          </m:r>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den>
                      </m:f>
                    </m:e>
                  </m:d>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e>
                  </m:d>
                </m:oMath>
              </a14:m>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𝑋</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known value of resistance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𝑌</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unknown value of temperature</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and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are the lower limit values for resistance  and temperature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and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are the coordinates that are above the x value.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mlns="">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90499" y="928690"/>
              <a:ext cx="19371469" cy="41314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floating point method to look up the corresponding temperature based on the resistance value. The use of the smaller 5 degree C step lookup table means that less memory is required compared to the 1 degree C step table. The interpolation method works very well with our thermistor portfolio because the device resistance curves are very linear, therefore the accuracy of this method is very good.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interpolation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5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Calculate how far the measured resistance is from the closest resistance values in the lookup table. Apply that same ratio to the corresponding  to temperature values (also known as a linear approximation of the actual temperature between two points).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formula for the linear interpolation process  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𝑌= 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𝑋−𝑋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known value of resistance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unknown value of temperature</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and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are the lower limit values for resistance  and temperature                                 </a:t>
              </a: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and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are the coordinates that are above the x value.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twoCellAnchor editAs="oneCell">
    <xdr:from>
      <xdr:col>0</xdr:col>
      <xdr:colOff>85725</xdr:colOff>
      <xdr:row>0</xdr:row>
      <xdr:rowOff>152399</xdr:rowOff>
    </xdr:from>
    <xdr:to>
      <xdr:col>1</xdr:col>
      <xdr:colOff>69056</xdr:colOff>
      <xdr:row>2</xdr:row>
      <xdr:rowOff>93344</xdr:rowOff>
    </xdr:to>
    <xdr:pic>
      <xdr:nvPicPr>
        <xdr:cNvPr id="8" name="Picture 7" descr="ti logo">
          <a:hlinkClick xmlns:r="http://schemas.openxmlformats.org/officeDocument/2006/relationships" r:id="rId1"/>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4850610"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Interpolation from Lookup Table</a:t>
          </a:r>
        </a:p>
      </xdr:txBody>
    </xdr:sp>
    <xdr:clientData/>
  </xdr:oneCellAnchor>
  <xdr:twoCellAnchor>
    <xdr:from>
      <xdr:col>1</xdr:col>
      <xdr:colOff>0</xdr:colOff>
      <xdr:row>95</xdr:row>
      <xdr:rowOff>83345</xdr:rowOff>
    </xdr:from>
    <xdr:to>
      <xdr:col>4</xdr:col>
      <xdr:colOff>226780</xdr:colOff>
      <xdr:row>100</xdr:row>
      <xdr:rowOff>90351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1845469" y="12061033"/>
          <a:ext cx="4513030" cy="84044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the table</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oneCellAnchor>
    <xdr:from>
      <xdr:col>11</xdr:col>
      <xdr:colOff>619125</xdr:colOff>
      <xdr:row>0</xdr:row>
      <xdr:rowOff>142875</xdr:rowOff>
    </xdr:from>
    <xdr:ext cx="4179670" cy="264560"/>
    <xdr:sp macro="" textlink="">
      <xdr:nvSpPr>
        <xdr:cNvPr id="11" name="TextBox 10">
          <a:hlinkClick xmlns:r="http://schemas.openxmlformats.org/officeDocument/2006/relationships" r:id="rId3"/>
          <a:extLst>
            <a:ext uri="{FF2B5EF4-FFF2-40B4-BE49-F238E27FC236}">
              <a16:creationId xmlns:a16="http://schemas.microsoft.com/office/drawing/2014/main" id="{00000000-0008-0000-0800-00000B000000}"/>
            </a:ext>
          </a:extLst>
        </xdr:cNvPr>
        <xdr:cNvSpPr txBox="1"/>
      </xdr:nvSpPr>
      <xdr:spPr>
        <a:xfrm>
          <a:off x="1325880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285749</xdr:colOff>
      <xdr:row>5</xdr:row>
      <xdr:rowOff>83341</xdr:rowOff>
    </xdr:from>
    <xdr:to>
      <xdr:col>22</xdr:col>
      <xdr:colOff>23812</xdr:colOff>
      <xdr:row>22</xdr:row>
      <xdr:rowOff>11906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85749" y="916779"/>
          <a:ext cx="20252532" cy="20955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an easy method for threshold detection using the TI device selected. The threshold limits will be very accurate using this method, and can be applied for hysteresis as well.</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For example,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Let's say you only care about the temperature getting above 100 degrees C. Once the temperature crosses that threshold, you don't want your system to turn back on until the temperature cools down to 90 degrees 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10 degrees C buffer is called hysteresis. So, if those two values are the only temperatures you care about, plug them into the T_high (100) and T_low (90) red outlined cells below.  This sheet automatically calculates what ADC voltage you should expect for each of those temperature values. Using that information, your processor can trigger an alarm high when it reads the ADC value corresponding to T_high, and can release the alarm when the ADC value reaches that which corresponds to T_low. If you have multiple thresholds that need to be sensed, just calculate the corresponding ADC values for those specific temperatures using this 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xdr:clientData/>
  </xdr:twoCellAnchor>
  <xdr:twoCellAnchor editAs="oneCell">
    <xdr:from>
      <xdr:col>0</xdr:col>
      <xdr:colOff>85725</xdr:colOff>
      <xdr:row>0</xdr:row>
      <xdr:rowOff>152399</xdr:rowOff>
    </xdr:from>
    <xdr:to>
      <xdr:col>1</xdr:col>
      <xdr:colOff>223837</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48625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Threshold Detection</a:t>
          </a:r>
        </a:p>
      </xdr:txBody>
    </xdr:sp>
    <xdr:clientData/>
  </xdr:oneCellAnchor>
  <xdr:oneCellAnchor>
    <xdr:from>
      <xdr:col>12</xdr:col>
      <xdr:colOff>19050</xdr:colOff>
      <xdr:row>0</xdr:row>
      <xdr:rowOff>142875</xdr:rowOff>
    </xdr:from>
    <xdr:ext cx="4179670" cy="264560"/>
    <xdr:sp macro="" textlink="">
      <xdr:nvSpPr>
        <xdr:cNvPr id="9" name="TextBox 8">
          <a:hlinkClick xmlns:r="http://schemas.openxmlformats.org/officeDocument/2006/relationships" r:id="rId3"/>
          <a:extLst>
            <a:ext uri="{FF2B5EF4-FFF2-40B4-BE49-F238E27FC236}">
              <a16:creationId xmlns:a16="http://schemas.microsoft.com/office/drawing/2014/main" id="{00000000-0008-0000-0900-000009000000}"/>
            </a:ext>
          </a:extLst>
        </xdr:cNvPr>
        <xdr:cNvSpPr txBox="1"/>
      </xdr:nvSpPr>
      <xdr:spPr>
        <a:xfrm>
          <a:off x="1497330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0.xml><?xml version="1.0" encoding="utf-8"?>
<xdr:wsDr xmlns:xdr="http://schemas.openxmlformats.org/drawingml/2006/spreadsheetDrawing" xmlns:a="http://schemas.openxmlformats.org/drawingml/2006/main">
  <xdr:twoCellAnchor editAs="oneCell">
    <xdr:from>
      <xdr:col>0</xdr:col>
      <xdr:colOff>85724</xdr:colOff>
      <xdr:row>0</xdr:row>
      <xdr:rowOff>152400</xdr:rowOff>
    </xdr:from>
    <xdr:to>
      <xdr:col>2</xdr:col>
      <xdr:colOff>28574</xdr:colOff>
      <xdr:row>2</xdr:row>
      <xdr:rowOff>105498</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4" y="152400"/>
          <a:ext cx="1828800" cy="286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4071941"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Averaging</a:t>
          </a:r>
        </a:p>
      </xdr:txBody>
    </xdr:sp>
    <xdr:clientData/>
  </xdr:oneCellAnchor>
  <xdr:twoCellAnchor>
    <xdr:from>
      <xdr:col>5</xdr:col>
      <xdr:colOff>381000</xdr:colOff>
      <xdr:row>96</xdr:row>
      <xdr:rowOff>2</xdr:rowOff>
    </xdr:from>
    <xdr:to>
      <xdr:col>10</xdr:col>
      <xdr:colOff>11906</xdr:colOff>
      <xdr:row>102</xdr:row>
      <xdr:rowOff>0</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4333875" y="11620502"/>
          <a:ext cx="3012281" cy="100012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609600</xdr:colOff>
      <xdr:row>8</xdr:row>
      <xdr:rowOff>95250</xdr:rowOff>
    </xdr:from>
    <xdr:to>
      <xdr:col>23</xdr:col>
      <xdr:colOff>555171</xdr:colOff>
      <xdr:row>94</xdr:row>
      <xdr:rowOff>136071</xdr:rowOff>
    </xdr:to>
    <xdr:sp macro="" textlink="">
      <xdr:nvSpPr>
        <xdr:cNvPr id="53" name="TextBox 52">
          <a:extLst>
            <a:ext uri="{FF2B5EF4-FFF2-40B4-BE49-F238E27FC236}">
              <a16:creationId xmlns:a16="http://schemas.microsoft.com/office/drawing/2014/main" id="{00000000-0008-0000-0A00-000035000000}"/>
            </a:ext>
          </a:extLst>
        </xdr:cNvPr>
        <xdr:cNvSpPr txBox="1">
          <a:spLocks noChangeAspect="1"/>
        </xdr:cNvSpPr>
      </xdr:nvSpPr>
      <xdr:spPr>
        <a:xfrm>
          <a:off x="609600" y="1401536"/>
          <a:ext cx="15107130" cy="16042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200">
              <a:latin typeface="Arial" panose="020B0604020202020204" pitchFamily="34" charset="0"/>
              <a:cs typeface="Arial" panose="020B0604020202020204" pitchFamily="34" charset="0"/>
            </a:rPr>
            <a:t>This sheet provides</a:t>
          </a:r>
          <a:r>
            <a:rPr lang="en-US" sz="1200" baseline="0">
              <a:latin typeface="Arial" panose="020B0604020202020204" pitchFamily="34" charset="0"/>
              <a:cs typeface="Arial" panose="020B0604020202020204" pitchFamily="34" charset="0"/>
            </a:rPr>
            <a:t> two examples of how oversampling and averaging temperature measurements in</a:t>
          </a:r>
          <a:r>
            <a:rPr lang="en-US" sz="1200">
              <a:latin typeface="Arial" panose="020B0604020202020204" pitchFamily="34" charset="0"/>
              <a:cs typeface="Arial" panose="020B0604020202020204" pitchFamily="34" charset="0"/>
            </a:rPr>
            <a:t> a first-in-first</a:t>
          </a:r>
          <a:r>
            <a:rPr lang="en-US" sz="1200" baseline="0">
              <a:latin typeface="Arial" panose="020B0604020202020204" pitchFamily="34" charset="0"/>
              <a:cs typeface="Arial" panose="020B0604020202020204" pitchFamily="34" charset="0"/>
            </a:rPr>
            <a:t>-out (FIFO) sequence can improve measurement resolution and signal-to-noise ratio. </a:t>
          </a:r>
        </a:p>
        <a:p>
          <a:r>
            <a:rPr lang="en-US" sz="1200">
              <a:latin typeface="Arial" panose="020B0604020202020204" pitchFamily="34" charset="0"/>
              <a:cs typeface="Arial" panose="020B0604020202020204" pitchFamily="34" charset="0"/>
            </a:rPr>
            <a:t>For both</a:t>
          </a:r>
          <a:r>
            <a:rPr lang="en-US" sz="1200" baseline="0">
              <a:latin typeface="Arial" panose="020B0604020202020204" pitchFamily="34" charset="0"/>
              <a:cs typeface="Arial" panose="020B0604020202020204" pitchFamily="34" charset="0"/>
            </a:rPr>
            <a:t> methods, a</a:t>
          </a:r>
          <a:r>
            <a:rPr lang="en-US" sz="1200">
              <a:latin typeface="Arial" panose="020B0604020202020204" pitchFamily="34" charset="0"/>
              <a:cs typeface="Arial" panose="020B0604020202020204" pitchFamily="34" charset="0"/>
            </a:rPr>
            <a:t>fter</a:t>
          </a:r>
          <a:r>
            <a:rPr lang="en-US" sz="1200" baseline="0">
              <a:latin typeface="Arial" panose="020B0604020202020204" pitchFamily="34" charset="0"/>
              <a:cs typeface="Arial" panose="020B0604020202020204" pitchFamily="34" charset="0"/>
            </a:rPr>
            <a:t> the ADC reads in a bit value and your code calculates the temperature by using one of the methods in this design tool, you can store that value in an array. As a new value comes in to the array, the oldest sample is dropped as all the other samples are shifted to the next corresponding cell, thus creating a FIFO. The averaging method can be applied to any of the values used in temperature conversion such as the temperature, the </a:t>
          </a:r>
          <a:r>
            <a:rPr lang="en-US" sz="1200" baseline="0">
              <a:solidFill>
                <a:schemeClr val="dk1"/>
              </a:solidFill>
              <a:effectLst/>
              <a:latin typeface="Arial" panose="020B0604020202020204" pitchFamily="34" charset="0"/>
              <a:ea typeface="+mn-ea"/>
              <a:cs typeface="Arial" panose="020B0604020202020204" pitchFamily="34" charset="0"/>
            </a:rPr>
            <a:t>ADC bit value, the divider voltage, or even the calculated resistance.  All of these methods work very well. For the purposes of this sheet, we will be averaging the calculated temperature. </a:t>
          </a:r>
          <a:endParaRPr lang="en-US" sz="12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Note: For every 8 oversamples the resolution will increase by 2 bits. 16 oversamples will  increase a 10 bit ADC to 14 bits of resolution.  Any number of samples can be used in your application to get the average  that you need for your design.</a:t>
          </a:r>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r>
            <a:rPr lang="en-US" sz="1200" b="1">
              <a:solidFill>
                <a:schemeClr val="dk1"/>
              </a:solidFill>
              <a:effectLst/>
              <a:latin typeface="Arial" panose="020B0604020202020204" pitchFamily="34" charset="0"/>
              <a:ea typeface="+mn-ea"/>
              <a:cs typeface="Arial" panose="020B0604020202020204" pitchFamily="34" charset="0"/>
            </a:rPr>
            <a:t>Method 1</a:t>
          </a:r>
          <a:r>
            <a:rPr lang="en-US" sz="1200">
              <a:solidFill>
                <a:schemeClr val="dk1"/>
              </a:solidFill>
              <a:effectLst/>
              <a:latin typeface="Arial" panose="020B0604020202020204" pitchFamily="34" charset="0"/>
              <a:ea typeface="+mn-ea"/>
              <a:cs typeface="Arial" panose="020B0604020202020204" pitchFamily="34" charset="0"/>
            </a:rPr>
            <a:t> will </a:t>
          </a:r>
          <a:r>
            <a:rPr lang="en-US" sz="1200" baseline="0">
              <a:solidFill>
                <a:schemeClr val="dk1"/>
              </a:solidFill>
              <a:effectLst/>
              <a:latin typeface="Arial" panose="020B0604020202020204" pitchFamily="34" charset="0"/>
              <a:ea typeface="+mn-ea"/>
              <a:cs typeface="Arial" panose="020B0604020202020204" pitchFamily="34" charset="0"/>
            </a:rPr>
            <a:t>average the elements in an array during every cycle. </a:t>
          </a:r>
          <a:endParaRPr lang="en-US" sz="1200">
            <a:effectLst/>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                                      		Figure 1: FIFO Operation</a:t>
          </a:r>
        </a:p>
        <a:p>
          <a:endParaRPr lang="en-US" sz="1200" baseline="0">
            <a:latin typeface="Arial" panose="020B0604020202020204" pitchFamily="34" charset="0"/>
            <a:cs typeface="Arial" panose="020B0604020202020204" pitchFamily="34" charset="0"/>
          </a:endParaRPr>
        </a:p>
        <a:p>
          <a:endParaRPr lang="en-US" sz="1200" b="1" baseline="0">
            <a:solidFill>
              <a:schemeClr val="dk1"/>
            </a:solidFill>
            <a:effectLst/>
            <a:latin typeface="Arial" panose="020B0604020202020204" pitchFamily="34" charset="0"/>
            <a:ea typeface="+mn-ea"/>
            <a:cs typeface="Arial" panose="020B0604020202020204" pitchFamily="34" charset="0"/>
          </a:endParaRPr>
        </a:p>
        <a:p>
          <a:r>
            <a:rPr lang="en-US" sz="1200" b="1" baseline="0">
              <a:solidFill>
                <a:schemeClr val="dk1"/>
              </a:solidFill>
              <a:effectLst/>
              <a:latin typeface="Arial" panose="020B0604020202020204" pitchFamily="34" charset="0"/>
              <a:ea typeface="+mn-ea"/>
              <a:cs typeface="Arial" panose="020B0604020202020204" pitchFamily="34" charset="0"/>
            </a:rPr>
            <a:t>Method 2</a:t>
          </a:r>
          <a:r>
            <a:rPr lang="en-US" sz="1200" baseline="0">
              <a:solidFill>
                <a:schemeClr val="dk1"/>
              </a:solidFill>
              <a:effectLst/>
              <a:latin typeface="Arial" panose="020B0604020202020204" pitchFamily="34" charset="0"/>
              <a:ea typeface="+mn-ea"/>
              <a:cs typeface="Arial" panose="020B0604020202020204" pitchFamily="34" charset="0"/>
            </a:rPr>
            <a:t> will take "N" # of samples, adding each to the array stack.  Then, once the array has "N" </a:t>
          </a:r>
          <a:r>
            <a:rPr lang="en-US" sz="1200" u="sng" baseline="0">
              <a:solidFill>
                <a:schemeClr val="dk1"/>
              </a:solidFill>
              <a:effectLst/>
              <a:latin typeface="Arial" panose="020B0604020202020204" pitchFamily="34" charset="0"/>
              <a:ea typeface="+mn-ea"/>
              <a:cs typeface="Arial" panose="020B0604020202020204" pitchFamily="34" charset="0"/>
            </a:rPr>
            <a:t>new</a:t>
          </a:r>
          <a:r>
            <a:rPr lang="en-US" sz="1200" baseline="0">
              <a:solidFill>
                <a:schemeClr val="dk1"/>
              </a:solidFill>
              <a:effectLst/>
              <a:latin typeface="Arial" panose="020B0604020202020204" pitchFamily="34" charset="0"/>
              <a:ea typeface="+mn-ea"/>
              <a:cs typeface="Arial" panose="020B0604020202020204" pitchFamily="34" charset="0"/>
            </a:rPr>
            <a:t> values, an average will be calculated. </a:t>
          </a:r>
        </a:p>
        <a:p>
          <a:r>
            <a:rPr lang="en-US" sz="1200">
              <a:effectLst/>
              <a:latin typeface="Arial" panose="020B0604020202020204" pitchFamily="34" charset="0"/>
              <a:cs typeface="Arial" panose="020B0604020202020204" pitchFamily="34" charset="0"/>
            </a:rPr>
            <a:t>	</a:t>
          </a:r>
          <a:r>
            <a:rPr lang="en-US" sz="1200" b="1">
              <a:effectLst/>
              <a:latin typeface="Arial" panose="020B0604020202020204" pitchFamily="34" charset="0"/>
              <a:cs typeface="Arial" panose="020B0604020202020204" pitchFamily="34" charset="0"/>
            </a:rPr>
            <a:t>Ex:</a:t>
          </a:r>
          <a:r>
            <a:rPr lang="en-US" sz="1200" b="1" baseline="0">
              <a:effectLst/>
              <a:latin typeface="Arial" panose="020B0604020202020204" pitchFamily="34" charset="0"/>
              <a:cs typeface="Arial" panose="020B0604020202020204" pitchFamily="34" charset="0"/>
            </a:rPr>
            <a:t>   </a:t>
          </a:r>
          <a:r>
            <a:rPr lang="en-US" sz="1200" baseline="0">
              <a:effectLst/>
              <a:latin typeface="Arial" panose="020B0604020202020204" pitchFamily="34" charset="0"/>
              <a:cs typeface="Arial" panose="020B0604020202020204" pitchFamily="34" charset="0"/>
            </a:rPr>
            <a:t>Let's say you wanted to know what the temperature is once every second, and each cycle takes one-tenth of a second. That means that nine samples will be measured and inserted into the array, and the last tenth of a second will be used to average all those values to result in an averaged temperature. In cycle 11, a new A0 will be inserted in index [0] of the array as all the other elements will shift to the right. </a:t>
          </a: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b="1" baseline="0">
            <a:latin typeface="Arial" panose="020B0604020202020204" pitchFamily="34" charset="0"/>
            <a:cs typeface="Arial" panose="020B0604020202020204" pitchFamily="34" charset="0"/>
          </a:endParaRPr>
        </a:p>
        <a:p>
          <a:endParaRPr lang="en-US" sz="1200" b="1"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Nyquist Rate</a:t>
          </a:r>
        </a:p>
        <a:p>
          <a:r>
            <a:rPr lang="en-US" sz="1200" b="0" baseline="0">
              <a:latin typeface="Arial" panose="020B0604020202020204" pitchFamily="34" charset="0"/>
              <a:cs typeface="Arial" panose="020B0604020202020204" pitchFamily="34" charset="0"/>
            </a:rPr>
            <a:t>When sampling, it is important to consider your Nyquist Rate of interest and then oversample accordingly to get more resolution. In the example of method 2 above, the Nyquist rate was 1 second and was being oversampled by a factor of 9. In other words, the Nyquist rate is how often you want an averaged temperature reading and the factor of oversampling is how many new values are taken into account for the averaging (N # of samples).   </a:t>
          </a:r>
        </a:p>
        <a:p>
          <a:endParaRPr lang="en-US" sz="1200"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Dithering Noise</a:t>
          </a:r>
          <a:endParaRPr lang="en-US" sz="1200" b="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a:solidFill>
                <a:schemeClr val="dk1"/>
              </a:solidFill>
              <a:effectLst/>
              <a:latin typeface="Arial" panose="020B0604020202020204" pitchFamily="34" charset="0"/>
              <a:ea typeface="+mn-ea"/>
              <a:cs typeface="Arial" panose="020B0604020202020204" pitchFamily="34" charset="0"/>
            </a:rPr>
            <a:t>Adding some dithering noise to the input signal if using the averaging method can actually improve the resolution</a:t>
          </a:r>
          <a:r>
            <a:rPr lang="en-US" sz="1200" baseline="0">
              <a:solidFill>
                <a:schemeClr val="dk1"/>
              </a:solidFill>
              <a:effectLst/>
              <a:latin typeface="Arial" panose="020B0604020202020204" pitchFamily="34" charset="0"/>
              <a:ea typeface="+mn-ea"/>
              <a:cs typeface="Arial" panose="020B0604020202020204" pitchFamily="34" charset="0"/>
            </a:rPr>
            <a:t> error</a:t>
          </a:r>
          <a:r>
            <a:rPr lang="en-US" sz="1200">
              <a:solidFill>
                <a:schemeClr val="dk1"/>
              </a:solidFill>
              <a:effectLst/>
              <a:latin typeface="Arial" panose="020B0604020202020204" pitchFamily="34" charset="0"/>
              <a:ea typeface="+mn-ea"/>
              <a:cs typeface="Arial" panose="020B0604020202020204" pitchFamily="34" charset="0"/>
            </a:rPr>
            <a:t> because the dither noise allows oversampling to improve resolution. In many practical applications, a small increase in noise is well worth a substantial increase in measurement resolution. In practice, the dithering noise can often be placed outside the frequency range of interest to the measurement, so that this noise can be subsequently filtered out in the digital domain—resulting in a final measurement, in the frequency range of interest, with both higher resolution and lower noise. </a:t>
          </a:r>
          <a:r>
            <a:rPr lang="en-US" sz="1200" baseline="0">
              <a:solidFill>
                <a:schemeClr val="dk1"/>
              </a:solidFill>
              <a:effectLst/>
              <a:latin typeface="Arial" panose="020B0604020202020204" pitchFamily="34" charset="0"/>
              <a:ea typeface="+mn-ea"/>
              <a:cs typeface="Arial" panose="020B0604020202020204" pitchFamily="34" charset="0"/>
            </a:rPr>
            <a:t> The best method of providing the dithering noise is to not place a capacitor on the resistor divider. Electrical and thermal-electric noise will  in many cases be sufficient to dither the resistor divider voltage for averaging.  The dithering noise must be equal to 4 or more bits of amplitude. With a 10 bit ADC the voltage step size is 0.0032Vdc. The dither noise must be  0.0128Vdc (+/- 6.5mV) or greater to provide the necessary levels to properly increase the ADC bit resolution by averaging. </a:t>
          </a:r>
          <a:endParaRPr lang="en-US" sz="1200">
            <a:effectLst/>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NTC Thermistor Resolution Comparison: </a:t>
          </a:r>
        </a:p>
        <a:p>
          <a:pPr marL="0" marR="0" indent="0" defTabSz="914400" eaLnBrk="1" fontAlgn="auto" latinLnBrk="0" hangingPunct="1">
            <a:lnSpc>
              <a:spcPct val="100000"/>
            </a:lnSpc>
            <a:spcBef>
              <a:spcPts val="0"/>
            </a:spcBef>
            <a:spcAft>
              <a:spcPts val="0"/>
            </a:spcAft>
            <a:buClrTx/>
            <a:buSzTx/>
            <a:buFontTx/>
            <a:buNone/>
            <a:tabLst/>
            <a:defRPr/>
          </a:pPr>
          <a:r>
            <a:rPr lang="en-US" sz="1200">
              <a:solidFill>
                <a:schemeClr val="dk1"/>
              </a:solidFill>
              <a:effectLst/>
              <a:latin typeface="Arial" panose="020B0604020202020204" pitchFamily="34" charset="0"/>
              <a:ea typeface="+mn-ea"/>
              <a:cs typeface="Arial" panose="020B0604020202020204" pitchFamily="34" charset="0"/>
            </a:rPr>
            <a:t>In some instances, an</a:t>
          </a:r>
          <a:r>
            <a:rPr lang="en-US" sz="1200" baseline="0">
              <a:solidFill>
                <a:schemeClr val="dk1"/>
              </a:solidFill>
              <a:effectLst/>
              <a:latin typeface="Arial" panose="020B0604020202020204" pitchFamily="34" charset="0"/>
              <a:ea typeface="+mn-ea"/>
              <a:cs typeface="Arial" panose="020B0604020202020204" pitchFamily="34" charset="0"/>
            </a:rPr>
            <a:t> NTC thermistor may appear to have a superior voltage resolution, but k</a:t>
          </a:r>
          <a:r>
            <a:rPr lang="en-US" sz="1200">
              <a:solidFill>
                <a:schemeClr val="dk1"/>
              </a:solidFill>
              <a:effectLst/>
              <a:latin typeface="Arial" panose="020B0604020202020204" pitchFamily="34" charset="0"/>
              <a:ea typeface="+mn-ea"/>
              <a:cs typeface="Arial" panose="020B0604020202020204" pitchFamily="34" charset="0"/>
            </a:rPr>
            <a:t>eep in mind that an increase in resolution does not</a:t>
          </a:r>
          <a:r>
            <a:rPr lang="en-US" sz="1200" baseline="0">
              <a:solidFill>
                <a:schemeClr val="dk1"/>
              </a:solidFill>
              <a:effectLst/>
              <a:latin typeface="Arial" panose="020B0604020202020204" pitchFamily="34" charset="0"/>
              <a:ea typeface="+mn-ea"/>
              <a:cs typeface="Arial" panose="020B0604020202020204" pitchFamily="34" charset="0"/>
            </a:rPr>
            <a:t> equal an </a:t>
          </a:r>
          <a:r>
            <a:rPr lang="en-US" sz="1200">
              <a:solidFill>
                <a:schemeClr val="dk1"/>
              </a:solidFill>
              <a:effectLst/>
              <a:latin typeface="Arial" panose="020B0604020202020204" pitchFamily="34" charset="0"/>
              <a:ea typeface="+mn-ea"/>
              <a:cs typeface="Arial" panose="020B0604020202020204" pitchFamily="34" charset="0"/>
            </a:rPr>
            <a:t>increase in accuracy. In</a:t>
          </a:r>
          <a:r>
            <a:rPr lang="en-US" sz="1200" baseline="0">
              <a:solidFill>
                <a:schemeClr val="dk1"/>
              </a:solidFill>
              <a:effectLst/>
              <a:latin typeface="Arial" panose="020B0604020202020204" pitchFamily="34" charset="0"/>
              <a:ea typeface="+mn-ea"/>
              <a:cs typeface="Arial" panose="020B0604020202020204" pitchFamily="34" charset="0"/>
            </a:rPr>
            <a:t> other words, an NTC without calibration may seem to have good resolution, but since the resistance tolerance is so large it will carry along a large error - especially at temperature extremes.</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For example, let's compare a traditional NTC and our TMP6131DECR at </a:t>
          </a:r>
          <a:r>
            <a:rPr lang="en-US" sz="1200" u="sng" baseline="0">
              <a:solidFill>
                <a:schemeClr val="dk1"/>
              </a:solidFill>
              <a:effectLst/>
              <a:latin typeface="Arial" panose="020B0604020202020204" pitchFamily="34" charset="0"/>
              <a:ea typeface="+mn-ea"/>
              <a:cs typeface="Arial" panose="020B0604020202020204" pitchFamily="34" charset="0"/>
            </a:rPr>
            <a:t>room temperature</a:t>
          </a:r>
          <a:r>
            <a:rPr lang="en-US" sz="1200" u="none" baseline="0">
              <a:solidFill>
                <a:schemeClr val="dk1"/>
              </a:solidFill>
              <a:effectLst/>
              <a:latin typeface="Arial" panose="020B0604020202020204" pitchFamily="34" charset="0"/>
              <a:ea typeface="+mn-ea"/>
              <a:cs typeface="Arial" panose="020B0604020202020204" pitchFamily="34" charset="0"/>
            </a:rPr>
            <a:t>, both without calibration</a:t>
          </a:r>
          <a:r>
            <a:rPr lang="en-US" sz="1200" baseline="0">
              <a:solidFill>
                <a:schemeClr val="dk1"/>
              </a:solidFill>
              <a:effectLst/>
              <a:latin typeface="Arial" panose="020B0604020202020204" pitchFamily="34" charset="0"/>
              <a:ea typeface="+mn-ea"/>
              <a:cs typeface="Arial" panose="020B0604020202020204" pitchFamily="34" charset="0"/>
            </a:rPr>
            <a:t>. We'll use the TMP117 digital temperature sensor as a reference because of its very high accuracy. The most accurate temperature conversion method for both devices is used (Steinhart-hart for NTC, 4th order polynomial for TMP6131DECR). </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In step one of the comparison, no averaging will be done. Three, raw consecutive sampled temperatures are shown below with their resolution and error compared to the reference. As shown, although the NTC seems to have a better resolution, the  temperature error between the two devices are actually about the same.</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If we were to use </a:t>
          </a:r>
          <a:r>
            <a:rPr lang="en-US" sz="1200" b="1" baseline="0">
              <a:solidFill>
                <a:schemeClr val="dk1"/>
              </a:solidFill>
              <a:effectLst/>
              <a:latin typeface="Arial" panose="020B0604020202020204" pitchFamily="34" charset="0"/>
              <a:ea typeface="+mn-ea"/>
              <a:cs typeface="Arial" panose="020B0604020202020204" pitchFamily="34" charset="0"/>
            </a:rPr>
            <a:t>method 1</a:t>
          </a:r>
          <a:r>
            <a:rPr lang="en-US" sz="1200" baseline="0">
              <a:solidFill>
                <a:schemeClr val="dk1"/>
              </a:solidFill>
              <a:effectLst/>
              <a:latin typeface="Arial" panose="020B0604020202020204" pitchFamily="34" charset="0"/>
              <a:ea typeface="+mn-ea"/>
              <a:cs typeface="Arial" panose="020B0604020202020204" pitchFamily="34" charset="0"/>
            </a:rPr>
            <a:t> to average a sixteen element array, then we would see a much finer resolution for both devices using the same 10-bit ADC. Because the TMP6131DECR is more stable than an NTC, the TI device has a smaller error even though it may seem that the resolution of the NTC would lead to less error... this is not the case.    </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xdr:txBody>
    </xdr:sp>
    <xdr:clientData/>
  </xdr:twoCellAnchor>
  <xdr:twoCellAnchor editAs="absolute">
    <xdr:from>
      <xdr:col>2</xdr:col>
      <xdr:colOff>238219</xdr:colOff>
      <xdr:row>18</xdr:row>
      <xdr:rowOff>64127</xdr:rowOff>
    </xdr:from>
    <xdr:to>
      <xdr:col>8</xdr:col>
      <xdr:colOff>59232</xdr:colOff>
      <xdr:row>24</xdr:row>
      <xdr:rowOff>72291</xdr:rowOff>
    </xdr:to>
    <xdr:pic>
      <xdr:nvPicPr>
        <xdr:cNvPr id="54" name="Picture 53">
          <a:extLst>
            <a:ext uri="{FF2B5EF4-FFF2-40B4-BE49-F238E27FC236}">
              <a16:creationId xmlns:a16="http://schemas.microsoft.com/office/drawing/2014/main" id="{00000000-0008-0000-0A00-000036000000}"/>
            </a:ext>
          </a:extLst>
        </xdr:cNvPr>
        <xdr:cNvPicPr>
          <a:picLocks noChangeAspect="1"/>
        </xdr:cNvPicPr>
      </xdr:nvPicPr>
      <xdr:blipFill>
        <a:blip xmlns:r="http://schemas.openxmlformats.org/officeDocument/2006/relationships" r:embed="rId3"/>
        <a:stretch>
          <a:fillRect/>
        </a:stretch>
      </xdr:blipFill>
      <xdr:spPr>
        <a:xfrm>
          <a:off x="2124169" y="3024497"/>
          <a:ext cx="4154888" cy="979714"/>
        </a:xfrm>
        <a:prstGeom prst="rect">
          <a:avLst/>
        </a:prstGeom>
      </xdr:spPr>
    </xdr:pic>
    <xdr:clientData/>
  </xdr:twoCellAnchor>
  <xdr:twoCellAnchor editAs="absolute">
    <xdr:from>
      <xdr:col>9</xdr:col>
      <xdr:colOff>68150</xdr:colOff>
      <xdr:row>19</xdr:row>
      <xdr:rowOff>54</xdr:rowOff>
    </xdr:from>
    <xdr:to>
      <xdr:col>12</xdr:col>
      <xdr:colOff>309767</xdr:colOff>
      <xdr:row>22</xdr:row>
      <xdr:rowOff>159085</xdr:rowOff>
    </xdr:to>
    <xdr:grpSp>
      <xdr:nvGrpSpPr>
        <xdr:cNvPr id="55" name="Group 54">
          <a:extLst>
            <a:ext uri="{FF2B5EF4-FFF2-40B4-BE49-F238E27FC236}">
              <a16:creationId xmlns:a16="http://schemas.microsoft.com/office/drawing/2014/main" id="{00000000-0008-0000-0A00-000037000000}"/>
            </a:ext>
          </a:extLst>
        </xdr:cNvPr>
        <xdr:cNvGrpSpPr/>
      </xdr:nvGrpSpPr>
      <xdr:grpSpPr>
        <a:xfrm>
          <a:off x="6711838" y="3214742"/>
          <a:ext cx="2360929" cy="659093"/>
          <a:chOff x="0" y="0"/>
          <a:chExt cx="3231432" cy="1030251"/>
        </a:xfrm>
      </xdr:grpSpPr>
      <xdr:pic>
        <xdr:nvPicPr>
          <xdr:cNvPr id="56" name="Picture 55">
            <a:extLst>
              <a:ext uri="{FF2B5EF4-FFF2-40B4-BE49-F238E27FC236}">
                <a16:creationId xmlns:a16="http://schemas.microsoft.com/office/drawing/2014/main" id="{00000000-0008-0000-0A00-000038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a:stretch/>
        </xdr:blipFill>
        <xdr:spPr bwMode="auto">
          <a:xfrm>
            <a:off x="1820525" y="599945"/>
            <a:ext cx="1410907" cy="430306"/>
          </a:xfrm>
          <a:prstGeom prst="rect">
            <a:avLst/>
          </a:prstGeom>
          <a:ln>
            <a:noFill/>
          </a:ln>
          <a:extLst>
            <a:ext uri="{53640926-AAD7-44D8-BBD7-CCE9431645EC}">
              <a14:shadowObscured xmlns:a14="http://schemas.microsoft.com/office/drawing/2010/main"/>
            </a:ext>
          </a:extLst>
        </xdr:spPr>
      </xdr:pic>
      <xdr:pic>
        <xdr:nvPicPr>
          <xdr:cNvPr id="57" name="Picture 56">
            <a:extLst>
              <a:ext uri="{FF2B5EF4-FFF2-40B4-BE49-F238E27FC236}">
                <a16:creationId xmlns:a16="http://schemas.microsoft.com/office/drawing/2014/main" id="{00000000-0008-0000-0A00-00003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093604" y="0"/>
            <a:ext cx="939225" cy="599945"/>
          </a:xfrm>
          <a:prstGeom prst="rect">
            <a:avLst/>
          </a:prstGeom>
        </xdr:spPr>
      </xdr:pic>
      <xdr:pic>
        <xdr:nvPicPr>
          <xdr:cNvPr id="58" name="Picture 57">
            <a:extLst>
              <a:ext uri="{FF2B5EF4-FFF2-40B4-BE49-F238E27FC236}">
                <a16:creationId xmlns:a16="http://schemas.microsoft.com/office/drawing/2014/main" id="{00000000-0008-0000-0A00-00003A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a:stretch/>
        </xdr:blipFill>
        <xdr:spPr bwMode="auto">
          <a:xfrm>
            <a:off x="0" y="124126"/>
            <a:ext cx="1775012" cy="906125"/>
          </a:xfrm>
          <a:prstGeom prst="rect">
            <a:avLst/>
          </a:prstGeom>
          <a:ln>
            <a:noFill/>
          </a:ln>
          <a:extLst>
            <a:ext uri="{53640926-AAD7-44D8-BBD7-CCE9431645EC}">
              <a14:shadowObscured xmlns:a14="http://schemas.microsoft.com/office/drawing/2010/main"/>
            </a:ext>
          </a:extLst>
        </xdr:spPr>
      </xdr:pic>
    </xdr:grpSp>
    <xdr:clientData/>
  </xdr:twoCellAnchor>
  <xdr:twoCellAnchor editAs="absolute">
    <xdr:from>
      <xdr:col>1</xdr:col>
      <xdr:colOff>195037</xdr:colOff>
      <xdr:row>34</xdr:row>
      <xdr:rowOff>44822</xdr:rowOff>
    </xdr:from>
    <xdr:to>
      <xdr:col>12</xdr:col>
      <xdr:colOff>187997</xdr:colOff>
      <xdr:row>52</xdr:row>
      <xdr:rowOff>68481</xdr:rowOff>
    </xdr:to>
    <xdr:pic>
      <xdr:nvPicPr>
        <xdr:cNvPr id="59" name="Picture 58">
          <a:extLst>
            <a:ext uri="{FF2B5EF4-FFF2-40B4-BE49-F238E27FC236}">
              <a16:creationId xmlns:a16="http://schemas.microsoft.com/office/drawing/2014/main" id="{00000000-0008-0000-0A00-00003B000000}"/>
            </a:ext>
          </a:extLst>
        </xdr:cNvPr>
        <xdr:cNvPicPr>
          <a:picLocks noChangeAspect="1"/>
        </xdr:cNvPicPr>
      </xdr:nvPicPr>
      <xdr:blipFill>
        <a:blip xmlns:r="http://schemas.openxmlformats.org/officeDocument/2006/relationships" r:embed="rId7"/>
        <a:stretch>
          <a:fillRect/>
        </a:stretch>
      </xdr:blipFill>
      <xdr:spPr>
        <a:xfrm>
          <a:off x="1057890" y="5424542"/>
          <a:ext cx="7926725" cy="3475071"/>
        </a:xfrm>
        <a:prstGeom prst="rect">
          <a:avLst/>
        </a:prstGeom>
      </xdr:spPr>
    </xdr:pic>
    <xdr:clientData/>
  </xdr:twoCellAnchor>
  <xdr:twoCellAnchor editAs="absolute">
    <xdr:from>
      <xdr:col>2</xdr:col>
      <xdr:colOff>103007</xdr:colOff>
      <xdr:row>71</xdr:row>
      <xdr:rowOff>90616</xdr:rowOff>
    </xdr:from>
    <xdr:to>
      <xdr:col>7</xdr:col>
      <xdr:colOff>723059</xdr:colOff>
      <xdr:row>80</xdr:row>
      <xdr:rowOff>68455</xdr:rowOff>
    </xdr:to>
    <xdr:grpSp>
      <xdr:nvGrpSpPr>
        <xdr:cNvPr id="105" name="Group 104">
          <a:extLst>
            <a:ext uri="{FF2B5EF4-FFF2-40B4-BE49-F238E27FC236}">
              <a16:creationId xmlns:a16="http://schemas.microsoft.com/office/drawing/2014/main" id="{00000000-0008-0000-0A00-000069000000}"/>
            </a:ext>
          </a:extLst>
        </xdr:cNvPr>
        <xdr:cNvGrpSpPr>
          <a:grpSpLocks noChangeAspect="1"/>
        </xdr:cNvGrpSpPr>
      </xdr:nvGrpSpPr>
      <xdr:grpSpPr>
        <a:xfrm>
          <a:off x="1984195" y="13151772"/>
          <a:ext cx="4108583" cy="1799496"/>
          <a:chOff x="285750" y="12092356"/>
          <a:chExt cx="4098378" cy="1598769"/>
        </a:xfrm>
      </xdr:grpSpPr>
      <xdr:grpSp>
        <xdr:nvGrpSpPr>
          <xdr:cNvPr id="106" name="Group 105">
            <a:extLst>
              <a:ext uri="{FF2B5EF4-FFF2-40B4-BE49-F238E27FC236}">
                <a16:creationId xmlns:a16="http://schemas.microsoft.com/office/drawing/2014/main" id="{00000000-0008-0000-0A00-00006A000000}"/>
              </a:ext>
            </a:extLst>
          </xdr:cNvPr>
          <xdr:cNvGrpSpPr/>
        </xdr:nvGrpSpPr>
        <xdr:grpSpPr>
          <a:xfrm>
            <a:off x="1636235" y="12092356"/>
            <a:ext cx="2747893" cy="1598769"/>
            <a:chOff x="1274285" y="11789019"/>
            <a:chExt cx="2753755" cy="1591442"/>
          </a:xfrm>
        </xdr:grpSpPr>
        <xdr:grpSp>
          <xdr:nvGrpSpPr>
            <xdr:cNvPr id="108" name="Group 107">
              <a:extLst>
                <a:ext uri="{FF2B5EF4-FFF2-40B4-BE49-F238E27FC236}">
                  <a16:creationId xmlns:a16="http://schemas.microsoft.com/office/drawing/2014/main" id="{00000000-0008-0000-0A00-00006C000000}"/>
                </a:ext>
              </a:extLst>
            </xdr:cNvPr>
            <xdr:cNvGrpSpPr/>
          </xdr:nvGrpSpPr>
          <xdr:grpSpPr>
            <a:xfrm>
              <a:off x="1274285" y="11789019"/>
              <a:ext cx="2734813" cy="622789"/>
              <a:chOff x="1277569" y="12010343"/>
              <a:chExt cx="2736834" cy="634916"/>
            </a:xfrm>
          </xdr:grpSpPr>
          <xdr:pic>
            <xdr:nvPicPr>
              <xdr:cNvPr id="115" name="Picture 114">
                <a:extLst>
                  <a:ext uri="{FF2B5EF4-FFF2-40B4-BE49-F238E27FC236}">
                    <a16:creationId xmlns:a16="http://schemas.microsoft.com/office/drawing/2014/main" id="{00000000-0008-0000-0A00-000073000000}"/>
                  </a:ext>
                </a:extLst>
              </xdr:cNvPr>
              <xdr:cNvPicPr>
                <a:picLocks noChangeAspect="1"/>
              </xdr:cNvPicPr>
            </xdr:nvPicPr>
            <xdr:blipFill rotWithShape="1">
              <a:blip xmlns:r="http://schemas.openxmlformats.org/officeDocument/2006/relationships" r:embed="rId8"/>
              <a:srcRect l="32529" t="39347"/>
              <a:stretch/>
            </xdr:blipFill>
            <xdr:spPr>
              <a:xfrm>
                <a:off x="1424708" y="12206376"/>
                <a:ext cx="521243" cy="423699"/>
              </a:xfrm>
              <a:prstGeom prst="rect">
                <a:avLst/>
              </a:prstGeom>
            </xdr:spPr>
          </xdr:pic>
          <xdr:pic>
            <xdr:nvPicPr>
              <xdr:cNvPr id="116" name="Picture 115">
                <a:extLst>
                  <a:ext uri="{FF2B5EF4-FFF2-40B4-BE49-F238E27FC236}">
                    <a16:creationId xmlns:a16="http://schemas.microsoft.com/office/drawing/2014/main" id="{00000000-0008-0000-0A00-000074000000}"/>
                  </a:ext>
                </a:extLst>
              </xdr:cNvPr>
              <xdr:cNvPicPr>
                <a:picLocks noChangeAspect="1"/>
              </xdr:cNvPicPr>
            </xdr:nvPicPr>
            <xdr:blipFill>
              <a:blip xmlns:r="http://schemas.openxmlformats.org/officeDocument/2006/relationships" r:embed="rId9"/>
              <a:stretch>
                <a:fillRect/>
              </a:stretch>
            </xdr:blipFill>
            <xdr:spPr>
              <a:xfrm>
                <a:off x="1277569" y="12017840"/>
                <a:ext cx="817173" cy="164273"/>
              </a:xfrm>
              <a:prstGeom prst="rect">
                <a:avLst/>
              </a:prstGeom>
            </xdr:spPr>
          </xdr:pic>
          <xdr:pic>
            <xdr:nvPicPr>
              <xdr:cNvPr id="117" name="Picture 116">
                <a:extLst>
                  <a:ext uri="{FF2B5EF4-FFF2-40B4-BE49-F238E27FC236}">
                    <a16:creationId xmlns:a16="http://schemas.microsoft.com/office/drawing/2014/main" id="{00000000-0008-0000-0A00-000075000000}"/>
                  </a:ext>
                </a:extLst>
              </xdr:cNvPr>
              <xdr:cNvPicPr>
                <a:picLocks noChangeAspect="1"/>
              </xdr:cNvPicPr>
            </xdr:nvPicPr>
            <xdr:blipFill>
              <a:blip xmlns:r="http://schemas.openxmlformats.org/officeDocument/2006/relationships" r:embed="rId10"/>
              <a:stretch>
                <a:fillRect/>
              </a:stretch>
            </xdr:blipFill>
            <xdr:spPr>
              <a:xfrm>
                <a:off x="3576522" y="12020391"/>
                <a:ext cx="341186" cy="161722"/>
              </a:xfrm>
              <a:prstGeom prst="rect">
                <a:avLst/>
              </a:prstGeom>
            </xdr:spPr>
          </xdr:pic>
          <xdr:pic>
            <xdr:nvPicPr>
              <xdr:cNvPr id="118" name="Picture 117">
                <a:extLst>
                  <a:ext uri="{FF2B5EF4-FFF2-40B4-BE49-F238E27FC236}">
                    <a16:creationId xmlns:a16="http://schemas.microsoft.com/office/drawing/2014/main" id="{00000000-0008-0000-0A00-000076000000}"/>
                  </a:ext>
                </a:extLst>
              </xdr:cNvPr>
              <xdr:cNvPicPr>
                <a:picLocks noChangeAspect="1"/>
              </xdr:cNvPicPr>
            </xdr:nvPicPr>
            <xdr:blipFill>
              <a:blip xmlns:r="http://schemas.openxmlformats.org/officeDocument/2006/relationships" r:embed="rId11"/>
              <a:stretch>
                <a:fillRect/>
              </a:stretch>
            </xdr:blipFill>
            <xdr:spPr>
              <a:xfrm>
                <a:off x="3488601" y="12206376"/>
                <a:ext cx="525802" cy="428525"/>
              </a:xfrm>
              <a:prstGeom prst="rect">
                <a:avLst/>
              </a:prstGeom>
            </xdr:spPr>
          </xdr:pic>
          <xdr:pic>
            <xdr:nvPicPr>
              <xdr:cNvPr id="119" name="Picture 118">
                <a:extLst>
                  <a:ext uri="{FF2B5EF4-FFF2-40B4-BE49-F238E27FC236}">
                    <a16:creationId xmlns:a16="http://schemas.microsoft.com/office/drawing/2014/main" id="{00000000-0008-0000-0A00-000077000000}"/>
                  </a:ext>
                </a:extLst>
              </xdr:cNvPr>
              <xdr:cNvPicPr>
                <a:picLocks noChangeAspect="1"/>
              </xdr:cNvPicPr>
            </xdr:nvPicPr>
            <xdr:blipFill>
              <a:blip xmlns:r="http://schemas.openxmlformats.org/officeDocument/2006/relationships" r:embed="rId12"/>
              <a:stretch>
                <a:fillRect/>
              </a:stretch>
            </xdr:blipFill>
            <xdr:spPr>
              <a:xfrm>
                <a:off x="2444892" y="12206376"/>
                <a:ext cx="524485" cy="438883"/>
              </a:xfrm>
              <a:prstGeom prst="rect">
                <a:avLst/>
              </a:prstGeom>
            </xdr:spPr>
          </xdr:pic>
          <xdr:pic>
            <xdr:nvPicPr>
              <xdr:cNvPr id="120" name="Picture 119">
                <a:extLst>
                  <a:ext uri="{FF2B5EF4-FFF2-40B4-BE49-F238E27FC236}">
                    <a16:creationId xmlns:a16="http://schemas.microsoft.com/office/drawing/2014/main" id="{00000000-0008-0000-0A00-000078000000}"/>
                  </a:ext>
                </a:extLst>
              </xdr:cNvPr>
              <xdr:cNvPicPr>
                <a:picLocks noChangeAspect="1"/>
              </xdr:cNvPicPr>
            </xdr:nvPicPr>
            <xdr:blipFill>
              <a:blip xmlns:r="http://schemas.openxmlformats.org/officeDocument/2006/relationships" r:embed="rId13"/>
              <a:stretch>
                <a:fillRect/>
              </a:stretch>
            </xdr:blipFill>
            <xdr:spPr>
              <a:xfrm>
                <a:off x="2451488" y="12010343"/>
                <a:ext cx="498181" cy="171770"/>
              </a:xfrm>
              <a:prstGeom prst="rect">
                <a:avLst/>
              </a:prstGeom>
            </xdr:spPr>
          </xdr:pic>
        </xdr:grpSp>
        <xdr:pic>
          <xdr:nvPicPr>
            <xdr:cNvPr id="109" name="Picture 108">
              <a:extLst>
                <a:ext uri="{FF2B5EF4-FFF2-40B4-BE49-F238E27FC236}">
                  <a16:creationId xmlns:a16="http://schemas.microsoft.com/office/drawing/2014/main" id="{00000000-0008-0000-0A00-00006D000000}"/>
                </a:ext>
              </a:extLst>
            </xdr:cNvPr>
            <xdr:cNvPicPr>
              <a:picLocks noChangeAspect="1"/>
            </xdr:cNvPicPr>
          </xdr:nvPicPr>
          <xdr:blipFill>
            <a:blip xmlns:r="http://schemas.openxmlformats.org/officeDocument/2006/relationships" r:embed="rId14"/>
            <a:stretch>
              <a:fillRect/>
            </a:stretch>
          </xdr:blipFill>
          <xdr:spPr>
            <a:xfrm>
              <a:off x="1462580" y="12969304"/>
              <a:ext cx="473950" cy="411157"/>
            </a:xfrm>
            <a:prstGeom prst="rect">
              <a:avLst/>
            </a:prstGeom>
          </xdr:spPr>
        </xdr:pic>
        <xdr:pic>
          <xdr:nvPicPr>
            <xdr:cNvPr id="110" name="Picture 109">
              <a:extLst>
                <a:ext uri="{FF2B5EF4-FFF2-40B4-BE49-F238E27FC236}">
                  <a16:creationId xmlns:a16="http://schemas.microsoft.com/office/drawing/2014/main" id="{00000000-0008-0000-0A00-00006E000000}"/>
                </a:ext>
              </a:extLst>
            </xdr:cNvPr>
            <xdr:cNvPicPr>
              <a:picLocks noChangeAspect="1"/>
            </xdr:cNvPicPr>
          </xdr:nvPicPr>
          <xdr:blipFill>
            <a:blip xmlns:r="http://schemas.openxmlformats.org/officeDocument/2006/relationships" r:embed="rId15"/>
            <a:stretch>
              <a:fillRect/>
            </a:stretch>
          </xdr:blipFill>
          <xdr:spPr>
            <a:xfrm>
              <a:off x="1403460" y="12801324"/>
              <a:ext cx="559346" cy="151114"/>
            </a:xfrm>
            <a:prstGeom prst="rect">
              <a:avLst/>
            </a:prstGeom>
          </xdr:spPr>
        </xdr:pic>
        <xdr:pic>
          <xdr:nvPicPr>
            <xdr:cNvPr id="111" name="Picture 110">
              <a:extLst>
                <a:ext uri="{FF2B5EF4-FFF2-40B4-BE49-F238E27FC236}">
                  <a16:creationId xmlns:a16="http://schemas.microsoft.com/office/drawing/2014/main" id="{00000000-0008-0000-0A00-00006F000000}"/>
                </a:ext>
              </a:extLst>
            </xdr:cNvPr>
            <xdr:cNvPicPr>
              <a:picLocks noChangeAspect="1"/>
            </xdr:cNvPicPr>
          </xdr:nvPicPr>
          <xdr:blipFill>
            <a:blip xmlns:r="http://schemas.openxmlformats.org/officeDocument/2006/relationships" r:embed="rId15"/>
            <a:stretch>
              <a:fillRect/>
            </a:stretch>
          </xdr:blipFill>
          <xdr:spPr>
            <a:xfrm>
              <a:off x="3463135" y="12801324"/>
              <a:ext cx="564905" cy="151114"/>
            </a:xfrm>
            <a:prstGeom prst="rect">
              <a:avLst/>
            </a:prstGeom>
          </xdr:spPr>
        </xdr:pic>
        <xdr:pic>
          <xdr:nvPicPr>
            <xdr:cNvPr id="112" name="Picture 111">
              <a:extLst>
                <a:ext uri="{FF2B5EF4-FFF2-40B4-BE49-F238E27FC236}">
                  <a16:creationId xmlns:a16="http://schemas.microsoft.com/office/drawing/2014/main" id="{00000000-0008-0000-0A00-000070000000}"/>
                </a:ext>
              </a:extLst>
            </xdr:cNvPr>
            <xdr:cNvPicPr>
              <a:picLocks noChangeAspect="1"/>
            </xdr:cNvPicPr>
          </xdr:nvPicPr>
          <xdr:blipFill>
            <a:blip xmlns:r="http://schemas.openxmlformats.org/officeDocument/2006/relationships" r:embed="rId16"/>
            <a:stretch>
              <a:fillRect/>
            </a:stretch>
          </xdr:blipFill>
          <xdr:spPr>
            <a:xfrm>
              <a:off x="3535393" y="12964502"/>
              <a:ext cx="479509" cy="399942"/>
            </a:xfrm>
            <a:prstGeom prst="rect">
              <a:avLst/>
            </a:prstGeom>
          </xdr:spPr>
        </xdr:pic>
        <xdr:pic>
          <xdr:nvPicPr>
            <xdr:cNvPr id="113" name="Picture 112">
              <a:extLst>
                <a:ext uri="{FF2B5EF4-FFF2-40B4-BE49-F238E27FC236}">
                  <a16:creationId xmlns:a16="http://schemas.microsoft.com/office/drawing/2014/main" id="{00000000-0008-0000-0A00-000071000000}"/>
                </a:ext>
              </a:extLst>
            </xdr:cNvPr>
            <xdr:cNvPicPr>
              <a:picLocks noChangeAspect="1"/>
            </xdr:cNvPicPr>
          </xdr:nvPicPr>
          <xdr:blipFill>
            <a:blip xmlns:r="http://schemas.openxmlformats.org/officeDocument/2006/relationships" r:embed="rId17"/>
            <a:stretch>
              <a:fillRect/>
            </a:stretch>
          </xdr:blipFill>
          <xdr:spPr>
            <a:xfrm>
              <a:off x="1429737" y="12514864"/>
              <a:ext cx="534385" cy="149441"/>
            </a:xfrm>
            <a:prstGeom prst="rect">
              <a:avLst/>
            </a:prstGeom>
          </xdr:spPr>
        </xdr:pic>
        <xdr:pic>
          <xdr:nvPicPr>
            <xdr:cNvPr id="114" name="Picture 113">
              <a:extLst>
                <a:ext uri="{FF2B5EF4-FFF2-40B4-BE49-F238E27FC236}">
                  <a16:creationId xmlns:a16="http://schemas.microsoft.com/office/drawing/2014/main" id="{00000000-0008-0000-0A00-000072000000}"/>
                </a:ext>
              </a:extLst>
            </xdr:cNvPr>
            <xdr:cNvPicPr>
              <a:picLocks noChangeAspect="1"/>
            </xdr:cNvPicPr>
          </xdr:nvPicPr>
          <xdr:blipFill>
            <a:blip xmlns:r="http://schemas.openxmlformats.org/officeDocument/2006/relationships" r:embed="rId18"/>
            <a:stretch>
              <a:fillRect/>
            </a:stretch>
          </xdr:blipFill>
          <xdr:spPr>
            <a:xfrm>
              <a:off x="3515687" y="12514864"/>
              <a:ext cx="499216" cy="147557"/>
            </a:xfrm>
            <a:prstGeom prst="rect">
              <a:avLst/>
            </a:prstGeom>
          </xdr:spPr>
        </xdr:pic>
      </xdr:grpSp>
      <xdr:pic>
        <xdr:nvPicPr>
          <xdr:cNvPr id="107" name="Picture 106">
            <a:extLst>
              <a:ext uri="{FF2B5EF4-FFF2-40B4-BE49-F238E27FC236}">
                <a16:creationId xmlns:a16="http://schemas.microsoft.com/office/drawing/2014/main" id="{00000000-0008-0000-0A00-00006B000000}"/>
              </a:ext>
            </a:extLst>
          </xdr:cNvPr>
          <xdr:cNvPicPr>
            <a:picLocks noChangeAspect="1"/>
          </xdr:cNvPicPr>
        </xdr:nvPicPr>
        <xdr:blipFill>
          <a:blip xmlns:r="http://schemas.openxmlformats.org/officeDocument/2006/relationships" r:embed="rId19"/>
          <a:stretch>
            <a:fillRect/>
          </a:stretch>
        </xdr:blipFill>
        <xdr:spPr>
          <a:xfrm>
            <a:off x="285750" y="12836340"/>
            <a:ext cx="1450608" cy="127186"/>
          </a:xfrm>
          <a:prstGeom prst="rect">
            <a:avLst/>
          </a:prstGeom>
        </xdr:spPr>
      </xdr:pic>
    </xdr:grpSp>
    <xdr:clientData/>
  </xdr:twoCellAnchor>
  <xdr:twoCellAnchor editAs="absolute">
    <xdr:from>
      <xdr:col>2</xdr:col>
      <xdr:colOff>68714</xdr:colOff>
      <xdr:row>85</xdr:row>
      <xdr:rowOff>16372</xdr:rowOff>
    </xdr:from>
    <xdr:to>
      <xdr:col>7</xdr:col>
      <xdr:colOff>724758</xdr:colOff>
      <xdr:row>92</xdr:row>
      <xdr:rowOff>193242</xdr:rowOff>
    </xdr:to>
    <xdr:grpSp>
      <xdr:nvGrpSpPr>
        <xdr:cNvPr id="121" name="Group 120">
          <a:extLst>
            <a:ext uri="{FF2B5EF4-FFF2-40B4-BE49-F238E27FC236}">
              <a16:creationId xmlns:a16="http://schemas.microsoft.com/office/drawing/2014/main" id="{00000000-0008-0000-0A00-000079000000}"/>
            </a:ext>
          </a:extLst>
        </xdr:cNvPr>
        <xdr:cNvGrpSpPr>
          <a:grpSpLocks noChangeAspect="1"/>
        </xdr:cNvGrpSpPr>
      </xdr:nvGrpSpPr>
      <xdr:grpSpPr>
        <a:xfrm>
          <a:off x="1949902" y="15911216"/>
          <a:ext cx="4144575" cy="1593714"/>
          <a:chOff x="259283" y="14579113"/>
          <a:chExt cx="4124845" cy="1598000"/>
        </a:xfrm>
      </xdr:grpSpPr>
      <xdr:grpSp>
        <xdr:nvGrpSpPr>
          <xdr:cNvPr id="122" name="Group 121">
            <a:extLst>
              <a:ext uri="{FF2B5EF4-FFF2-40B4-BE49-F238E27FC236}">
                <a16:creationId xmlns:a16="http://schemas.microsoft.com/office/drawing/2014/main" id="{00000000-0008-0000-0A00-00007A000000}"/>
              </a:ext>
            </a:extLst>
          </xdr:cNvPr>
          <xdr:cNvGrpSpPr/>
        </xdr:nvGrpSpPr>
        <xdr:grpSpPr>
          <a:xfrm>
            <a:off x="1621358" y="14579113"/>
            <a:ext cx="2762770" cy="1598000"/>
            <a:chOff x="1274285" y="14579113"/>
            <a:chExt cx="2762770" cy="1598000"/>
          </a:xfrm>
        </xdr:grpSpPr>
        <xdr:pic>
          <xdr:nvPicPr>
            <xdr:cNvPr id="124" name="Picture 123">
              <a:extLst>
                <a:ext uri="{FF2B5EF4-FFF2-40B4-BE49-F238E27FC236}">
                  <a16:creationId xmlns:a16="http://schemas.microsoft.com/office/drawing/2014/main" id="{00000000-0008-0000-0A00-00007C000000}"/>
                </a:ext>
              </a:extLst>
            </xdr:cNvPr>
            <xdr:cNvPicPr>
              <a:picLocks noChangeAspect="1"/>
            </xdr:cNvPicPr>
          </xdr:nvPicPr>
          <xdr:blipFill>
            <a:blip xmlns:r="http://schemas.openxmlformats.org/officeDocument/2006/relationships" r:embed="rId9"/>
            <a:stretch>
              <a:fillRect/>
            </a:stretch>
          </xdr:blipFill>
          <xdr:spPr>
            <a:xfrm>
              <a:off x="1274285" y="14586467"/>
              <a:ext cx="816570" cy="161868"/>
            </a:xfrm>
            <a:prstGeom prst="rect">
              <a:avLst/>
            </a:prstGeom>
          </xdr:spPr>
        </xdr:pic>
        <xdr:pic>
          <xdr:nvPicPr>
            <xdr:cNvPr id="125" name="Picture 124">
              <a:extLst>
                <a:ext uri="{FF2B5EF4-FFF2-40B4-BE49-F238E27FC236}">
                  <a16:creationId xmlns:a16="http://schemas.microsoft.com/office/drawing/2014/main" id="{00000000-0008-0000-0A00-00007D000000}"/>
                </a:ext>
              </a:extLst>
            </xdr:cNvPr>
            <xdr:cNvPicPr>
              <a:picLocks noChangeAspect="1"/>
            </xdr:cNvPicPr>
          </xdr:nvPicPr>
          <xdr:blipFill>
            <a:blip xmlns:r="http://schemas.openxmlformats.org/officeDocument/2006/relationships" r:embed="rId10"/>
            <a:stretch>
              <a:fillRect/>
            </a:stretch>
          </xdr:blipFill>
          <xdr:spPr>
            <a:xfrm>
              <a:off x="3568609" y="14588969"/>
              <a:ext cx="340934" cy="159366"/>
            </a:xfrm>
            <a:prstGeom prst="rect">
              <a:avLst/>
            </a:prstGeom>
          </xdr:spPr>
        </xdr:pic>
        <xdr:pic>
          <xdr:nvPicPr>
            <xdr:cNvPr id="126" name="Picture 125">
              <a:extLst>
                <a:ext uri="{FF2B5EF4-FFF2-40B4-BE49-F238E27FC236}">
                  <a16:creationId xmlns:a16="http://schemas.microsoft.com/office/drawing/2014/main" id="{00000000-0008-0000-0A00-00007E000000}"/>
                </a:ext>
              </a:extLst>
            </xdr:cNvPr>
            <xdr:cNvPicPr>
              <a:picLocks noChangeAspect="1"/>
            </xdr:cNvPicPr>
          </xdr:nvPicPr>
          <xdr:blipFill>
            <a:blip xmlns:r="http://schemas.openxmlformats.org/officeDocument/2006/relationships" r:embed="rId12"/>
            <a:stretch>
              <a:fillRect/>
            </a:stretch>
          </xdr:blipFill>
          <xdr:spPr>
            <a:xfrm>
              <a:off x="2437815" y="14772135"/>
              <a:ext cx="524098" cy="431965"/>
            </a:xfrm>
            <a:prstGeom prst="rect">
              <a:avLst/>
            </a:prstGeom>
          </xdr:spPr>
        </xdr:pic>
        <xdr:pic>
          <xdr:nvPicPr>
            <xdr:cNvPr id="127" name="Picture 126">
              <a:extLst>
                <a:ext uri="{FF2B5EF4-FFF2-40B4-BE49-F238E27FC236}">
                  <a16:creationId xmlns:a16="http://schemas.microsoft.com/office/drawing/2014/main" id="{00000000-0008-0000-0A00-00007F000000}"/>
                </a:ext>
              </a:extLst>
            </xdr:cNvPr>
            <xdr:cNvPicPr>
              <a:picLocks noChangeAspect="1"/>
            </xdr:cNvPicPr>
          </xdr:nvPicPr>
          <xdr:blipFill>
            <a:blip xmlns:r="http://schemas.openxmlformats.org/officeDocument/2006/relationships" r:embed="rId13"/>
            <a:stretch>
              <a:fillRect/>
            </a:stretch>
          </xdr:blipFill>
          <xdr:spPr>
            <a:xfrm>
              <a:off x="2444406" y="14579113"/>
              <a:ext cx="497813" cy="169222"/>
            </a:xfrm>
            <a:prstGeom prst="rect">
              <a:avLst/>
            </a:prstGeom>
          </xdr:spPr>
        </xdr:pic>
        <xdr:pic>
          <xdr:nvPicPr>
            <xdr:cNvPr id="128" name="Picture 127">
              <a:extLst>
                <a:ext uri="{FF2B5EF4-FFF2-40B4-BE49-F238E27FC236}">
                  <a16:creationId xmlns:a16="http://schemas.microsoft.com/office/drawing/2014/main" id="{00000000-0008-0000-0A00-000080000000}"/>
                </a:ext>
              </a:extLst>
            </xdr:cNvPr>
            <xdr:cNvPicPr>
              <a:picLocks noChangeAspect="1"/>
            </xdr:cNvPicPr>
          </xdr:nvPicPr>
          <xdr:blipFill>
            <a:blip xmlns:r="http://schemas.openxmlformats.org/officeDocument/2006/relationships" r:embed="rId15"/>
            <a:stretch>
              <a:fillRect/>
            </a:stretch>
          </xdr:blipFill>
          <xdr:spPr>
            <a:xfrm>
              <a:off x="1403460" y="15595814"/>
              <a:ext cx="559346" cy="151847"/>
            </a:xfrm>
            <a:prstGeom prst="rect">
              <a:avLst/>
            </a:prstGeom>
          </xdr:spPr>
        </xdr:pic>
        <xdr:pic>
          <xdr:nvPicPr>
            <xdr:cNvPr id="129" name="Picture 128">
              <a:extLst>
                <a:ext uri="{FF2B5EF4-FFF2-40B4-BE49-F238E27FC236}">
                  <a16:creationId xmlns:a16="http://schemas.microsoft.com/office/drawing/2014/main" id="{00000000-0008-0000-0A00-000081000000}"/>
                </a:ext>
              </a:extLst>
            </xdr:cNvPr>
            <xdr:cNvPicPr>
              <a:picLocks noChangeAspect="1"/>
            </xdr:cNvPicPr>
          </xdr:nvPicPr>
          <xdr:blipFill>
            <a:blip xmlns:r="http://schemas.openxmlformats.org/officeDocument/2006/relationships" r:embed="rId15"/>
            <a:stretch>
              <a:fillRect/>
            </a:stretch>
          </xdr:blipFill>
          <xdr:spPr>
            <a:xfrm>
              <a:off x="3460204" y="15595814"/>
              <a:ext cx="561974" cy="151847"/>
            </a:xfrm>
            <a:prstGeom prst="rect">
              <a:avLst/>
            </a:prstGeom>
          </xdr:spPr>
        </xdr:pic>
        <xdr:pic>
          <xdr:nvPicPr>
            <xdr:cNvPr id="130" name="Picture 129">
              <a:extLst>
                <a:ext uri="{FF2B5EF4-FFF2-40B4-BE49-F238E27FC236}">
                  <a16:creationId xmlns:a16="http://schemas.microsoft.com/office/drawing/2014/main" id="{00000000-0008-0000-0A00-000082000000}"/>
                </a:ext>
              </a:extLst>
            </xdr:cNvPr>
            <xdr:cNvPicPr>
              <a:picLocks noChangeAspect="1"/>
            </xdr:cNvPicPr>
          </xdr:nvPicPr>
          <xdr:blipFill>
            <a:blip xmlns:r="http://schemas.openxmlformats.org/officeDocument/2006/relationships" r:embed="rId20"/>
            <a:stretch>
              <a:fillRect/>
            </a:stretch>
          </xdr:blipFill>
          <xdr:spPr>
            <a:xfrm>
              <a:off x="1436076" y="14764483"/>
              <a:ext cx="522929" cy="433753"/>
            </a:xfrm>
            <a:prstGeom prst="rect">
              <a:avLst/>
            </a:prstGeom>
          </xdr:spPr>
        </xdr:pic>
        <xdr:pic>
          <xdr:nvPicPr>
            <xdr:cNvPr id="131" name="Picture 130">
              <a:extLst>
                <a:ext uri="{FF2B5EF4-FFF2-40B4-BE49-F238E27FC236}">
                  <a16:creationId xmlns:a16="http://schemas.microsoft.com/office/drawing/2014/main" id="{00000000-0008-0000-0A00-000083000000}"/>
                </a:ext>
              </a:extLst>
            </xdr:cNvPr>
            <xdr:cNvPicPr>
              <a:picLocks noChangeAspect="1"/>
            </xdr:cNvPicPr>
          </xdr:nvPicPr>
          <xdr:blipFill>
            <a:blip xmlns:r="http://schemas.openxmlformats.org/officeDocument/2006/relationships" r:embed="rId21"/>
            <a:stretch>
              <a:fillRect/>
            </a:stretch>
          </xdr:blipFill>
          <xdr:spPr>
            <a:xfrm>
              <a:off x="3506665" y="14771811"/>
              <a:ext cx="527638" cy="411771"/>
            </a:xfrm>
            <a:prstGeom prst="rect">
              <a:avLst/>
            </a:prstGeom>
          </xdr:spPr>
        </xdr:pic>
        <xdr:pic>
          <xdr:nvPicPr>
            <xdr:cNvPr id="132" name="Picture 131">
              <a:extLst>
                <a:ext uri="{FF2B5EF4-FFF2-40B4-BE49-F238E27FC236}">
                  <a16:creationId xmlns:a16="http://schemas.microsoft.com/office/drawing/2014/main" id="{00000000-0008-0000-0A00-000084000000}"/>
                </a:ext>
              </a:extLst>
            </xdr:cNvPr>
            <xdr:cNvPicPr>
              <a:picLocks noChangeAspect="1"/>
            </xdr:cNvPicPr>
          </xdr:nvPicPr>
          <xdr:blipFill>
            <a:blip xmlns:r="http://schemas.openxmlformats.org/officeDocument/2006/relationships" r:embed="rId22"/>
            <a:stretch>
              <a:fillRect/>
            </a:stretch>
          </xdr:blipFill>
          <xdr:spPr>
            <a:xfrm>
              <a:off x="1487368" y="15765340"/>
              <a:ext cx="472896" cy="411773"/>
            </a:xfrm>
            <a:prstGeom prst="rect">
              <a:avLst/>
            </a:prstGeom>
          </xdr:spPr>
        </xdr:pic>
        <xdr:pic>
          <xdr:nvPicPr>
            <xdr:cNvPr id="133" name="Picture 132">
              <a:extLst>
                <a:ext uri="{FF2B5EF4-FFF2-40B4-BE49-F238E27FC236}">
                  <a16:creationId xmlns:a16="http://schemas.microsoft.com/office/drawing/2014/main" id="{00000000-0008-0000-0A00-000085000000}"/>
                </a:ext>
              </a:extLst>
            </xdr:cNvPr>
            <xdr:cNvPicPr>
              <a:picLocks noChangeAspect="1"/>
            </xdr:cNvPicPr>
          </xdr:nvPicPr>
          <xdr:blipFill>
            <a:blip xmlns:r="http://schemas.openxmlformats.org/officeDocument/2006/relationships" r:embed="rId23"/>
            <a:stretch>
              <a:fillRect/>
            </a:stretch>
          </xdr:blipFill>
          <xdr:spPr>
            <a:xfrm>
              <a:off x="3550628" y="15758013"/>
              <a:ext cx="473319" cy="412773"/>
            </a:xfrm>
            <a:prstGeom prst="rect">
              <a:avLst/>
            </a:prstGeom>
          </xdr:spPr>
        </xdr:pic>
        <xdr:pic>
          <xdr:nvPicPr>
            <xdr:cNvPr id="134" name="Picture 133">
              <a:extLst>
                <a:ext uri="{FF2B5EF4-FFF2-40B4-BE49-F238E27FC236}">
                  <a16:creationId xmlns:a16="http://schemas.microsoft.com/office/drawing/2014/main" id="{00000000-0008-0000-0A00-000086000000}"/>
                </a:ext>
              </a:extLst>
            </xdr:cNvPr>
            <xdr:cNvPicPr>
              <a:picLocks noChangeAspect="1"/>
            </xdr:cNvPicPr>
          </xdr:nvPicPr>
          <xdr:blipFill>
            <a:blip xmlns:r="http://schemas.openxmlformats.org/officeDocument/2006/relationships" r:embed="rId24"/>
            <a:stretch>
              <a:fillRect/>
            </a:stretch>
          </xdr:blipFill>
          <xdr:spPr>
            <a:xfrm>
              <a:off x="1399442" y="15301546"/>
              <a:ext cx="574971" cy="154598"/>
            </a:xfrm>
            <a:prstGeom prst="rect">
              <a:avLst/>
            </a:prstGeom>
          </xdr:spPr>
        </xdr:pic>
        <xdr:pic>
          <xdr:nvPicPr>
            <xdr:cNvPr id="135" name="Picture 134">
              <a:extLst>
                <a:ext uri="{FF2B5EF4-FFF2-40B4-BE49-F238E27FC236}">
                  <a16:creationId xmlns:a16="http://schemas.microsoft.com/office/drawing/2014/main" id="{00000000-0008-0000-0A00-000087000000}"/>
                </a:ext>
              </a:extLst>
            </xdr:cNvPr>
            <xdr:cNvPicPr>
              <a:picLocks noChangeAspect="1"/>
            </xdr:cNvPicPr>
          </xdr:nvPicPr>
          <xdr:blipFill>
            <a:blip xmlns:r="http://schemas.openxmlformats.org/officeDocument/2006/relationships" r:embed="rId25"/>
            <a:stretch>
              <a:fillRect/>
            </a:stretch>
          </xdr:blipFill>
          <xdr:spPr>
            <a:xfrm>
              <a:off x="3527963" y="15294219"/>
              <a:ext cx="509092" cy="132618"/>
            </a:xfrm>
            <a:prstGeom prst="rect">
              <a:avLst/>
            </a:prstGeom>
          </xdr:spPr>
        </xdr:pic>
      </xdr:grpSp>
      <xdr:pic>
        <xdr:nvPicPr>
          <xdr:cNvPr id="123" name="Picture 122">
            <a:extLst>
              <a:ext uri="{FF2B5EF4-FFF2-40B4-BE49-F238E27FC236}">
                <a16:creationId xmlns:a16="http://schemas.microsoft.com/office/drawing/2014/main" id="{00000000-0008-0000-0A00-00007B000000}"/>
              </a:ext>
            </a:extLst>
          </xdr:cNvPr>
          <xdr:cNvPicPr>
            <a:picLocks noChangeAspect="1"/>
          </xdr:cNvPicPr>
        </xdr:nvPicPr>
        <xdr:blipFill>
          <a:blip xmlns:r="http://schemas.openxmlformats.org/officeDocument/2006/relationships" r:embed="rId19"/>
          <a:stretch>
            <a:fillRect/>
          </a:stretch>
        </xdr:blipFill>
        <xdr:spPr>
          <a:xfrm>
            <a:off x="259283" y="15312538"/>
            <a:ext cx="1450608" cy="127186"/>
          </a:xfrm>
          <a:prstGeom prst="rect">
            <a:avLst/>
          </a:prstGeom>
        </xdr:spPr>
      </xdr:pic>
    </xdr:grpSp>
    <xdr:clientData/>
  </xdr:twoCellAnchor>
  <xdr:oneCellAnchor>
    <xdr:from>
      <xdr:col>13</xdr:col>
      <xdr:colOff>857250</xdr:colOff>
      <xdr:row>0</xdr:row>
      <xdr:rowOff>142875</xdr:rowOff>
    </xdr:from>
    <xdr:ext cx="4179670" cy="264560"/>
    <xdr:sp macro="" textlink="">
      <xdr:nvSpPr>
        <xdr:cNvPr id="44" name="TextBox 43">
          <a:hlinkClick xmlns:r="http://schemas.openxmlformats.org/officeDocument/2006/relationships" r:id="rId26"/>
          <a:extLst>
            <a:ext uri="{FF2B5EF4-FFF2-40B4-BE49-F238E27FC236}">
              <a16:creationId xmlns:a16="http://schemas.microsoft.com/office/drawing/2014/main" id="{00000000-0008-0000-0A00-00002C000000}"/>
            </a:ext>
          </a:extLst>
        </xdr:cNvPr>
        <xdr:cNvSpPr txBox="1"/>
      </xdr:nvSpPr>
      <xdr:spPr>
        <a:xfrm>
          <a:off x="1022985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140494</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75949"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365311"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Firmware based Low pass filter</a:t>
          </a:r>
        </a:p>
      </xdr:txBody>
    </xdr:sp>
    <xdr:clientData/>
  </xdr:oneCellAnchor>
  <xdr:twoCellAnchor>
    <xdr:from>
      <xdr:col>3</xdr:col>
      <xdr:colOff>1184909</xdr:colOff>
      <xdr:row>58</xdr:row>
      <xdr:rowOff>137160</xdr:rowOff>
    </xdr:from>
    <xdr:to>
      <xdr:col>13</xdr:col>
      <xdr:colOff>704849</xdr:colOff>
      <xdr:row>85</xdr:row>
      <xdr:rowOff>76200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180975</xdr:colOff>
      <xdr:row>86</xdr:row>
      <xdr:rowOff>133350</xdr:rowOff>
    </xdr:from>
    <xdr:to>
      <xdr:col>9</xdr:col>
      <xdr:colOff>335756</xdr:colOff>
      <xdr:row>93</xdr:row>
      <xdr:rowOff>19048</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8810625" y="11687175"/>
          <a:ext cx="3126581" cy="1085848"/>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oneCellAnchor>
    <xdr:from>
      <xdr:col>10</xdr:col>
      <xdr:colOff>85725</xdr:colOff>
      <xdr:row>0</xdr:row>
      <xdr:rowOff>152400</xdr:rowOff>
    </xdr:from>
    <xdr:ext cx="4179670" cy="264560"/>
    <xdr:sp macro="" textlink="">
      <xdr:nvSpPr>
        <xdr:cNvPr id="8" name="TextBox 7">
          <a:hlinkClick xmlns:r="http://schemas.openxmlformats.org/officeDocument/2006/relationships" r:id="rId4"/>
          <a:extLst>
            <a:ext uri="{FF2B5EF4-FFF2-40B4-BE49-F238E27FC236}">
              <a16:creationId xmlns:a16="http://schemas.microsoft.com/office/drawing/2014/main" id="{00000000-0008-0000-0B00-000008000000}"/>
            </a:ext>
          </a:extLst>
        </xdr:cNvPr>
        <xdr:cNvSpPr txBox="1"/>
      </xdr:nvSpPr>
      <xdr:spPr>
        <a:xfrm>
          <a:off x="12992100"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twoCellAnchor>
    <xdr:from>
      <xdr:col>0</xdr:col>
      <xdr:colOff>190500</xdr:colOff>
      <xdr:row>5</xdr:row>
      <xdr:rowOff>152401</xdr:rowOff>
    </xdr:from>
    <xdr:to>
      <xdr:col>16</xdr:col>
      <xdr:colOff>57150</xdr:colOff>
      <xdr:row>45</xdr:row>
      <xdr:rowOff>85726</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190500" y="1000126"/>
              <a:ext cx="17306925" cy="6819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the equation necessary to implement a firmware-based low pass filter with our linear thermistors to filter out noise.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Benefits:</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Noise can cause erroneous temperature measurements which is why many designers choose to add an RC filter in hardware to filter out noise coming from the system. But instead of filtering in hardware, you can use this method to eliminate the need for the extra resistor and capacitor, enabling greater board and cost savings. Implementing your filter in software gives you more control over the filter's response by changing the alpha value in real time. Additionally, having the ability to set the filtered temperature minimizes your start up 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To demonstrate how this works, we have collected 180 temperature measurements as sample data. Feel free to substitute this data with your own in cells B62 to B241.</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controls how much noise is filtered out. By changing the alpha value in cell B53, you can alter the filter's response and the equation will calculate new filtered temperature values. With an alpha value of 0.99 most of the noise will be passed through. On the other hand, an alpha value of 0.1 eliminates a lot of noise. Try inputting different alpha values between 0.001 and 1 to see how the filter response changes.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Measured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is stores your calculated, pre-filtered temperature reading. If you would like to oversample your temperature readings (as seen in the Averaging tab of this tool) and do this low pass filtering technique in software, we recommend doing the oversampling first and then the filtering. The reason for this is because you need a little bit of noise to oversample, and if you were to filter out the noise first then your oversampling won't work. </a:t>
              </a: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stores the resulting temperature after having passed the measured temperature value through the filter. As seen in the equation below, the new filtered temperature is a function of the previous filtered temperature. To minimize the start up time it takes to settle at the actual temperature, we recommend initializing filtered temp to the first temperature value measured (you can edit this in cell B53). Initializing this variable at 0 still works, it would just take a little longer to settle to the correct temperature initially. Try it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Low pass filter equation: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 </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Cambria Math" panose="02040503050406030204" pitchFamily="18" charset="0"/>
                          <a:cs typeface="+mn-cs"/>
                        </a:rPr>
                        <m:t>𝛼</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𝛼</m:t>
                      </m:r>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𝑋</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e>
                      </m:d>
                    </m:e>
                  </m:d>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 Filtered_Temp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l-GR"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α =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X = Meas_Temp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𝛼</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𝑌</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r>
                                <a:rPr lang="en-US" sz="1200" b="0" i="1" baseline="0">
                                  <a:solidFill>
                                    <a:schemeClr val="dk1"/>
                                  </a:solidFill>
                                  <a:effectLst/>
                                  <a:latin typeface="Cambria Math" panose="02040503050406030204" pitchFamily="18" charset="0"/>
                                  <a:ea typeface="+mn-ea"/>
                                  <a:cs typeface="+mn-cs"/>
                                </a:rPr>
                                <m:t>−1</m:t>
                              </m:r>
                            </m:e>
                          </m:d>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𝑋</m:t>
                          </m:r>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𝑛</m:t>
                          </m:r>
                          <m:r>
                            <a:rPr lang="en-US" sz="1200" b="0" i="1" baseline="0">
                              <a:solidFill>
                                <a:schemeClr val="dk1"/>
                              </a:solidFill>
                              <a:effectLst/>
                              <a:latin typeface="Cambria Math" panose="02040503050406030204" pitchFamily="18" charset="0"/>
                              <a:ea typeface="+mn-ea"/>
                              <a:cs typeface="+mn-cs"/>
                            </a:rPr>
                            <m:t>)</m:t>
                          </m:r>
                        </m:e>
                      </m:d>
                    </m:e>
                  </m:d>
                </m:oMath>
              </a14:m>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further...</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Arial" panose="020B0604020202020204" pitchFamily="34" charset="0"/>
                  <a:ea typeface="+mn-ea"/>
                  <a:cs typeface="Arial" panose="020B0604020202020204" pitchFamily="34" charset="0"/>
                </a:rPr>
                <a:t>		</a:t>
              </a:r>
              <a14:m>
                <m:oMath xmlns:m="http://schemas.openxmlformats.org/officeDocument/2006/math">
                  <m:r>
                    <a:rPr lang="en-US" sz="1200" b="0" i="1" baseline="0">
                      <a:solidFill>
                        <a:schemeClr val="dk1"/>
                      </a:solidFill>
                      <a:effectLst/>
                      <a:latin typeface="Cambria Math" panose="02040503050406030204" pitchFamily="18" charset="0"/>
                      <a:ea typeface="+mn-ea"/>
                      <a:cs typeface="+mn-cs"/>
                    </a:rPr>
                    <m:t>𝑌</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e>
                  </m:d>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𝑌</m:t>
                  </m:r>
                  <m:r>
                    <a:rPr lang="en-US" sz="1200" b="0" i="1" baseline="0">
                      <a:solidFill>
                        <a:schemeClr val="dk1"/>
                      </a:solidFill>
                      <a:effectLst/>
                      <a:latin typeface="Cambria Math" panose="02040503050406030204" pitchFamily="18" charset="0"/>
                      <a:ea typeface="+mn-ea"/>
                      <a:cs typeface="+mn-cs"/>
                    </a:rPr>
                    <m:t>−</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Cambria Math" panose="02040503050406030204" pitchFamily="18" charset="0"/>
                          <a:cs typeface="+mn-cs"/>
                        </a:rPr>
                        <m:t>𝛼</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r>
                        <a:rPr lang="en-US" sz="1200" b="0" i="1" baseline="0">
                          <a:solidFill>
                            <a:schemeClr val="dk1"/>
                          </a:solidFill>
                          <a:effectLst/>
                          <a:latin typeface="Cambria Math" panose="02040503050406030204" pitchFamily="18" charset="0"/>
                          <a:ea typeface="Cambria Math" panose="02040503050406030204" pitchFamily="18" charset="0"/>
                          <a:cs typeface="+mn-cs"/>
                        </a:rPr>
                        <m:t>𝑌</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r>
                        <a:rPr lang="en-US" sz="1200" b="0" i="1" baseline="0">
                          <a:solidFill>
                            <a:schemeClr val="dk1"/>
                          </a:solidFill>
                          <a:effectLst/>
                          <a:latin typeface="Cambria Math" panose="02040503050406030204" pitchFamily="18" charset="0"/>
                          <a:ea typeface="Cambria Math" panose="02040503050406030204" pitchFamily="18" charset="0"/>
                          <a:cs typeface="+mn-cs"/>
                        </a:rPr>
                        <m:t>𝑋</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e>
                  </m:d>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meaning: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Filtered_Temp = Previous_Filtered_Temp - ( Alpha * (Previous_Filtered_Temp - Meas_Temp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mlns="">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190500" y="1000126"/>
              <a:ext cx="17306925" cy="6819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the equation necessary to implement a firmware-based low pass filter with our linear thermistors to filter out noise.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Benefits:</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Noise can cause erroneous temperature measurements which is why many designers choose to add an RC filter in hardware to filter out noise coming from the system. But instead of filtering in hardware, you can use this method to eliminate the need for the extra resistor and capacitor, enabling greater board and cost savings. Implementing your filter in software gives you more control over the filter's response by changing the alpha value in real time. Additionally, having the ability to set the filtered temperature minimizes your start up 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To demonstrate how this works, we have collected 180 temperature measurements as sample data. Feel free to substitute this data with your own in cells B62 to B241.</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controls how much noise is filtered out. By changing the alpha value in cell B53, you can alter the filter's response and the equation will calculate new filtered temperature values. With an alpha value of 0.99 most of the noise will be passed through. On the other hand, an alpha value of 0.1 eliminates a lot of noise. Try inputting different alpha values between 0.001 and 1 to see how the filter response changes.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Measured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is stores your calculated, pre-filtered temperature reading. If you would like to oversample your temperature readings (as seen in the Averaging tab of this tool) and do this low pass filtering technique in software, we recommend doing the oversampling first and then the filtering. The reason for this is because you need a little bit of noise to oversample, and if you were to filter out the noise first then your oversampling won't work. </a:t>
              </a: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stores the resulting temperature after having passed the measured temperature value through the filter. As seen in the equation below, the new filtered temperature is a function of the previous filtered temperature. To minimize the start up time it takes to settle at the actual temperature, we recommend initializing filtered temp to the first temperature value measured (you can edit this in cell B53). Initializing this variable at 0 still works, it would just take a little longer to settle to the correct temperature initially. Try it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Low pass filter equation: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Cambria Math" panose="02040503050406030204" pitchFamily="18" charset="0"/>
                  <a:cs typeface="+mn-cs"/>
                </a:rPr>
                <a:t>𝛼)</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∗𝑌(𝑛−1)+(</a:t>
              </a:r>
              <a:r>
                <a:rPr lang="en-US" sz="1200" b="0" i="0" baseline="0">
                  <a:solidFill>
                    <a:schemeClr val="dk1"/>
                  </a:solidFill>
                  <a:effectLst/>
                  <a:latin typeface="Cambria Math" panose="02040503050406030204" pitchFamily="18" charset="0"/>
                  <a:ea typeface="+mn-ea"/>
                  <a:cs typeface="+mn-cs"/>
                </a:rPr>
                <a:t>𝛼∗𝑋(𝑛))</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 Filtered_Temp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l-GR"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α =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X = Meas_Temp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𝑌(𝑛)=𝑌(𝑛−1)−(𝛼∗(</a:t>
              </a:r>
              <a:r>
                <a:rPr lang="en-US" sz="1200" b="0" i="0" baseline="0">
                  <a:solidFill>
                    <a:schemeClr val="dk1"/>
                  </a:solidFill>
                  <a:effectLst/>
                  <a:latin typeface="Cambria Math" panose="02040503050406030204" pitchFamily="18" charset="0"/>
                  <a:ea typeface="+mn-ea"/>
                  <a:cs typeface="+mn-cs"/>
                </a:rPr>
                <a:t>𝑌(𝑛−1)−𝑋(𝑛)))</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further...</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Arial" panose="020B0604020202020204" pitchFamily="34" charset="0"/>
                  <a:ea typeface="+mn-ea"/>
                  <a:cs typeface="Arial" panose="020B0604020202020204" pitchFamily="34" charset="0"/>
                </a:rPr>
                <a:t>		</a:t>
              </a:r>
              <a:r>
                <a:rPr lang="en-US" sz="1200" b="0" i="0" baseline="0">
                  <a:solidFill>
                    <a:schemeClr val="dk1"/>
                  </a:solidFill>
                  <a:effectLst/>
                  <a:latin typeface="Cambria Math" panose="02040503050406030204" pitchFamily="18" charset="0"/>
                  <a:ea typeface="+mn-ea"/>
                  <a:cs typeface="+mn-cs"/>
                </a:rPr>
                <a:t>𝑌(𝑛)=𝑌−(</a:t>
              </a:r>
              <a:r>
                <a:rPr lang="en-US" sz="1200" b="0" i="0" baseline="0">
                  <a:solidFill>
                    <a:schemeClr val="dk1"/>
                  </a:solidFill>
                  <a:effectLst/>
                  <a:latin typeface="Cambria Math" panose="02040503050406030204" pitchFamily="18" charset="0"/>
                  <a:ea typeface="Cambria Math" panose="02040503050406030204" pitchFamily="18" charset="0"/>
                  <a:cs typeface="+mn-cs"/>
                </a:rPr>
                <a:t>𝛼∗(𝑌−𝑋))</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meaning: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Filtered_Temp = Previous_Filtered_Temp - ( Alpha * (Previous_Filtered_Temp - Meas_Temp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140494</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41767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Basic Formulas</a:t>
          </a:r>
        </a:p>
      </xdr:txBody>
    </xdr:sp>
    <xdr:clientData/>
  </xdr:oneCellAnchor>
  <xdr:twoCellAnchor>
    <xdr:from>
      <xdr:col>0</xdr:col>
      <xdr:colOff>214313</xdr:colOff>
      <xdr:row>5</xdr:row>
      <xdr:rowOff>142874</xdr:rowOff>
    </xdr:from>
    <xdr:to>
      <xdr:col>18</xdr:col>
      <xdr:colOff>511969</xdr:colOff>
      <xdr:row>15</xdr:row>
      <xdr:rowOff>11907</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214313" y="976312"/>
          <a:ext cx="17752219" cy="1571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some basic formulas that are helpful when designing our thermistors into your system.  Input your parameters in the red outlined cells below.</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xdr:clientData/>
  </xdr:twoCellAnchor>
  <xdr:oneCellAnchor>
    <xdr:from>
      <xdr:col>11</xdr:col>
      <xdr:colOff>704850</xdr:colOff>
      <xdr:row>0</xdr:row>
      <xdr:rowOff>152400</xdr:rowOff>
    </xdr:from>
    <xdr:ext cx="4179670" cy="264560"/>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C00-000006000000}"/>
            </a:ext>
          </a:extLst>
        </xdr:cNvPr>
        <xdr:cNvSpPr txBox="1"/>
      </xdr:nvSpPr>
      <xdr:spPr>
        <a:xfrm>
          <a:off x="1448752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3.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842962</xdr:colOff>
      <xdr:row>2</xdr:row>
      <xdr:rowOff>93344</xdr:rowOff>
    </xdr:to>
    <xdr:pic>
      <xdr:nvPicPr>
        <xdr:cNvPr id="3" name="Picture 2" descr="ti logo">
          <a:hlinkClick xmlns:r="http://schemas.openxmlformats.org/officeDocument/2006/relationships" r:id="rId1"/>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385286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RBias TCR_PPM</a:t>
          </a:r>
        </a:p>
      </xdr:txBody>
    </xdr:sp>
    <xdr:clientData/>
  </xdr:oneCellAnchor>
  <xdr:twoCellAnchor>
    <xdr:from>
      <xdr:col>0</xdr:col>
      <xdr:colOff>214312</xdr:colOff>
      <xdr:row>6</xdr:row>
      <xdr:rowOff>2</xdr:rowOff>
    </xdr:from>
    <xdr:to>
      <xdr:col>22</xdr:col>
      <xdr:colOff>416719</xdr:colOff>
      <xdr:row>21</xdr:row>
      <xdr:rowOff>95251</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214312" y="1035846"/>
              <a:ext cx="20585907" cy="3095624"/>
            </a:xfrm>
            <a:prstGeom prst="rect">
              <a:avLst/>
            </a:prstGeom>
            <a:solidFill>
              <a:sysClr val="window" lastClr="FFFFFF"/>
            </a:solid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 RBias resistor is perfect, that's why this sheet helps to provides  you a quick explanation as to  how the bias resistor tolerance and TCR can influence the  bias resistor's actual value. You can input the characteristics of the bias resistor in the red outlined cells.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 resistor's Temperature Coefficient of Resistance (TCR) tells how much its value changes with temperature. It is usually expressed in units of ppm/°C (parts per million per degree Centigrade).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For example,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a 50 ohm precision resistor has a (standard) TCR of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20</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𝑃𝑃𝑀</m:t>
                      </m:r>
                    </m:num>
                    <m:den>
                      <m:r>
                        <a:rPr kumimoji="0" lang="en-US" sz="1200" b="0" i="1" u="none" strike="noStrike" kern="0" cap="none" spc="0" normalizeH="0" baseline="0" noProof="0">
                          <a:ln>
                            <a:noFill/>
                          </a:ln>
                          <a:solidFill>
                            <a:prstClr val="black"/>
                          </a:solidFill>
                          <a:effectLst/>
                          <a:uLnTx/>
                          <a:uFillTx/>
                          <a:latin typeface="Cambria Math"/>
                          <a:ea typeface="Cambria Math"/>
                          <a:cs typeface="+mn-cs"/>
                        </a:rPr>
                        <m:t>°</m:t>
                      </m:r>
                      <m:r>
                        <a:rPr kumimoji="0" lang="en-US" sz="1200" b="0" i="1" u="none" strike="noStrike" kern="0" cap="none" spc="0" normalizeH="0" baseline="0" noProof="0">
                          <a:ln>
                            <a:noFill/>
                          </a:ln>
                          <a:solidFill>
                            <a:prstClr val="black"/>
                          </a:solidFill>
                          <a:effectLst/>
                          <a:uLnTx/>
                          <a:uFillTx/>
                          <a:latin typeface="Cambria Math"/>
                          <a:ea typeface="Cambria Math"/>
                          <a:cs typeface="+mn-cs"/>
                        </a:rPr>
                        <m:t>𝐶</m:t>
                      </m:r>
                    </m:den>
                  </m:f>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its resistance will not change more than 0.000020 ohms (20.1,000,000) per degree Centigrade temperature change (within the rated temperature range of -55 to +145°C, measured from 25°C room temperature). Let's say that the resistor is in a product that heats up from 25°C to 50°C. To find the maximum change in resistance caused by that 25°C increase, multiply 0.000020 times 50 ohms (the resistor value) times 25 (the temperature change.) The resistor's value would change no more than 0.025 ohms. (0.000020 X 50 X 25 = 0.025 ohms.)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mlns="">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214312" y="1035846"/>
              <a:ext cx="20585907" cy="3095624"/>
            </a:xfrm>
            <a:prstGeom prst="rect">
              <a:avLst/>
            </a:prstGeom>
            <a:solidFill>
              <a:sysClr val="window" lastClr="FFFFFF"/>
            </a:solid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 RBias resistor is perfect, that's why this sheet helps to provides  you a quick explanation as to  how the bias resistor tolerance and TCR can influence the  bias resistor's actual value. You can input the characteristics of the bias resistor in the red outlined cells.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 resistor's Temperature Coefficient of Resistance (TCR) tells how much its value changes with temperature. It is usually expressed in units of ppm/°C (parts per million per degree Centigrade).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For example,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a 50 ohm precision resistor has a (standard) TCR of </a:t>
              </a:r>
              <a:r>
                <a:rPr kumimoji="0" lang="en-US" sz="1200" b="0" i="0" u="none" strike="noStrike" kern="0" cap="none" spc="0" normalizeH="0" baseline="0" noProof="0">
                  <a:ln>
                    <a:noFill/>
                  </a:ln>
                  <a:solidFill>
                    <a:prstClr val="black"/>
                  </a:solidFill>
                  <a:effectLst/>
                  <a:uLnTx/>
                  <a:uFillTx/>
                  <a:latin typeface="Cambria Math"/>
                  <a:ea typeface="+mn-ea"/>
                  <a:cs typeface="+mn-cs"/>
                </a:rPr>
                <a:t>20 𝑃𝑃𝑀</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Cambria Math"/>
                  <a:cs typeface="+mn-cs"/>
                </a:rPr>
                <a:t>°𝐶</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its resistance will not change more than 0.000020 ohms (20.1,000,000) per degree Centigrade temperature change (within the rated temperature range of -55 to +145°C, measured from 25°C room temperature). Let's say that the resistor is in a product that heats up from 25°C to 50°C. To find the maximum change in resistance caused by that 25°C increase, multiply 0.000020 times 50 ohms (the resistor value) times 25 (the temperature change.) The resistor's value would change no more than 0.025 ohms. (0.000020 X 50 X 25 = 0.025 ohms.)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oneCellAnchor>
    <xdr:from>
      <xdr:col>12</xdr:col>
      <xdr:colOff>914400</xdr:colOff>
      <xdr:row>0</xdr:row>
      <xdr:rowOff>133350</xdr:rowOff>
    </xdr:from>
    <xdr:ext cx="4179670" cy="264560"/>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D00-000006000000}"/>
            </a:ext>
          </a:extLst>
        </xdr:cNvPr>
        <xdr:cNvSpPr txBox="1"/>
      </xdr:nvSpPr>
      <xdr:spPr>
        <a:xfrm>
          <a:off x="13049250" y="13335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image" Target="../media/image1.emf"/><Relationship Id="rId2" Type="http://schemas.openxmlformats.org/officeDocument/2006/relationships/printerSettings" Target="../printerSettings/printerSettings1.bin"/><Relationship Id="rId1" Type="http://schemas.openxmlformats.org/officeDocument/2006/relationships/hyperlink" Target="https://e2e.ti.com/search?q=faq%20TMP61&amp;category=forum&amp;faq=true" TargetMode="External"/><Relationship Id="rId6" Type="http://schemas.openxmlformats.org/officeDocument/2006/relationships/package" Target="../embeddings/Microsoft_Visio_Drawing.vsdx"/><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J73"/>
  <sheetViews>
    <sheetView showGridLines="0" tabSelected="1" zoomScale="80" zoomScaleNormal="80" workbookViewId="0">
      <selection activeCell="N31" sqref="N31:O31"/>
    </sheetView>
  </sheetViews>
  <sheetFormatPr defaultColWidth="0" defaultRowHeight="12.75" zeroHeight="1" x14ac:dyDescent="0.2"/>
  <cols>
    <col min="1" max="14" width="13.7109375" style="108" customWidth="1"/>
    <col min="15" max="15" width="16.42578125" style="108" customWidth="1"/>
    <col min="16" max="16" width="3.28515625" style="108" customWidth="1"/>
    <col min="17" max="17" width="16" style="108" customWidth="1"/>
    <col min="18" max="18" width="15.42578125" style="108" customWidth="1"/>
    <col min="19" max="19" width="15" style="108" customWidth="1"/>
    <col min="20" max="25" width="10.7109375" style="108" customWidth="1"/>
    <col min="26" max="36" width="0" style="108" hidden="1" customWidth="1"/>
    <col min="37" max="16384" width="9.140625" style="108" hidden="1"/>
  </cols>
  <sheetData>
    <row r="1" spans="1:36" s="2" customFormat="1" x14ac:dyDescent="0.2">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thickBot="1" x14ac:dyDescent="0.25">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s="1" customFormat="1" ht="18" x14ac:dyDescent="0.25">
      <c r="A5" s="326"/>
      <c r="B5" s="327" t="s">
        <v>70</v>
      </c>
      <c r="C5" s="328"/>
      <c r="D5" s="328"/>
      <c r="E5" s="329" t="s">
        <v>709</v>
      </c>
      <c r="F5" s="416"/>
      <c r="G5" s="281"/>
      <c r="H5" s="247"/>
      <c r="I5" s="247"/>
      <c r="J5" s="247"/>
      <c r="K5" s="247"/>
      <c r="L5" s="247"/>
      <c r="M5" s="247"/>
      <c r="N5" s="247"/>
      <c r="O5" s="247"/>
      <c r="P5" s="247"/>
      <c r="Q5" s="240"/>
    </row>
    <row r="6" spans="1:36" s="1" customFormat="1" ht="15" x14ac:dyDescent="0.2">
      <c r="A6" s="247"/>
      <c r="B6" s="325"/>
      <c r="C6" s="325"/>
      <c r="D6" s="325"/>
      <c r="E6" s="325"/>
      <c r="F6" s="247"/>
      <c r="G6" s="126"/>
      <c r="H6" s="127"/>
      <c r="I6" s="128"/>
      <c r="J6" s="126"/>
      <c r="K6" s="126"/>
      <c r="L6" s="126"/>
      <c r="M6" s="414" t="s">
        <v>713</v>
      </c>
      <c r="N6" s="415" t="s">
        <v>714</v>
      </c>
      <c r="O6" s="415"/>
      <c r="P6" s="415"/>
      <c r="Q6" s="248"/>
      <c r="R6" s="108"/>
      <c r="S6" s="108"/>
      <c r="T6" s="108"/>
      <c r="U6" s="108"/>
      <c r="V6" s="108"/>
      <c r="W6" s="108"/>
      <c r="X6" s="108"/>
      <c r="Y6" s="108"/>
    </row>
    <row r="7" spans="1:36" s="1" customFormat="1" x14ac:dyDescent="0.2">
      <c r="A7" s="108"/>
      <c r="B7" s="108"/>
      <c r="C7" s="108"/>
      <c r="D7" s="108"/>
      <c r="E7" s="108"/>
      <c r="F7" s="126"/>
      <c r="G7" s="126"/>
      <c r="H7" s="129"/>
      <c r="I7" s="133"/>
      <c r="J7" s="133"/>
      <c r="K7" s="133"/>
      <c r="L7" s="133"/>
      <c r="M7" s="133"/>
      <c r="N7" s="133"/>
      <c r="O7" s="133"/>
      <c r="P7" s="126"/>
      <c r="Q7" s="108"/>
      <c r="R7" s="108"/>
      <c r="S7" s="108"/>
      <c r="T7" s="108"/>
      <c r="U7" s="108"/>
      <c r="V7" s="108"/>
      <c r="W7" s="108"/>
      <c r="X7" s="108"/>
      <c r="Y7" s="108"/>
    </row>
    <row r="8" spans="1:36" s="1" customFormat="1" x14ac:dyDescent="0.2">
      <c r="A8" s="108"/>
      <c r="B8" s="108"/>
      <c r="C8" s="108"/>
      <c r="D8" s="108"/>
      <c r="E8" s="108"/>
      <c r="F8" s="126"/>
      <c r="G8" s="126"/>
      <c r="H8" s="130"/>
      <c r="I8" s="134"/>
      <c r="J8" s="134"/>
      <c r="K8" s="134"/>
      <c r="L8" s="134"/>
      <c r="M8" s="134"/>
      <c r="N8" s="134"/>
      <c r="O8" s="134"/>
      <c r="P8" s="126"/>
      <c r="Q8" s="108"/>
      <c r="R8" s="108"/>
      <c r="S8" s="108"/>
      <c r="T8" s="108"/>
      <c r="U8" s="108"/>
      <c r="V8" s="108"/>
      <c r="W8" s="108"/>
      <c r="X8" s="108"/>
      <c r="Y8" s="108"/>
    </row>
    <row r="9" spans="1:36" s="1" customFormat="1" x14ac:dyDescent="0.2">
      <c r="A9" s="108"/>
      <c r="B9" s="108"/>
      <c r="C9" s="108"/>
      <c r="D9" s="108"/>
      <c r="E9" s="108"/>
      <c r="F9" s="126"/>
      <c r="G9" s="126"/>
      <c r="H9" s="126"/>
      <c r="I9" s="126"/>
      <c r="J9" s="126"/>
      <c r="K9" s="126"/>
      <c r="L9" s="126"/>
      <c r="M9" s="126"/>
      <c r="N9" s="126"/>
      <c r="O9" s="126"/>
      <c r="P9" s="126"/>
      <c r="Q9" s="108"/>
      <c r="R9" s="108"/>
      <c r="S9" s="108"/>
      <c r="T9" s="108"/>
      <c r="U9" s="108"/>
      <c r="V9" s="108"/>
      <c r="W9" s="108"/>
      <c r="X9" s="108"/>
      <c r="Y9" s="108"/>
    </row>
    <row r="10" spans="1:36" s="1" customFormat="1" x14ac:dyDescent="0.2">
      <c r="A10" s="108"/>
      <c r="B10" s="108"/>
      <c r="C10" s="108"/>
      <c r="D10" s="108"/>
      <c r="E10" s="108"/>
      <c r="F10" s="126"/>
      <c r="G10" s="126"/>
      <c r="H10" s="126"/>
      <c r="I10" s="126"/>
      <c r="J10" s="126"/>
      <c r="K10" s="126"/>
      <c r="L10" s="126"/>
      <c r="M10" s="126"/>
      <c r="N10" s="126"/>
      <c r="O10" s="126"/>
      <c r="P10" s="108"/>
      <c r="Q10" s="108"/>
      <c r="R10" s="108"/>
      <c r="S10" s="108"/>
      <c r="T10" s="108"/>
      <c r="U10" s="108"/>
      <c r="V10" s="108"/>
      <c r="W10" s="108"/>
      <c r="X10" s="108"/>
      <c r="Y10" s="108"/>
    </row>
    <row r="11" spans="1:36" s="1" customFormat="1" x14ac:dyDescent="0.2">
      <c r="A11" s="108"/>
      <c r="B11" s="108"/>
      <c r="C11" s="108"/>
      <c r="D11" s="108"/>
      <c r="E11" s="108"/>
      <c r="F11" s="108"/>
      <c r="G11" s="108"/>
      <c r="H11" s="108"/>
      <c r="I11" s="108"/>
      <c r="J11" s="108"/>
      <c r="K11" s="108"/>
      <c r="L11" s="108"/>
      <c r="M11" s="108"/>
      <c r="N11" s="108"/>
      <c r="O11" s="108"/>
      <c r="P11" s="108"/>
      <c r="Q11" s="108"/>
      <c r="R11" s="108"/>
      <c r="S11" s="108"/>
      <c r="T11" s="108"/>
      <c r="U11" s="108"/>
      <c r="V11" s="108"/>
      <c r="W11" s="108"/>
      <c r="X11" s="108"/>
      <c r="Y11" s="108"/>
    </row>
    <row r="12" spans="1:36" s="1" customFormat="1" ht="24.75" x14ac:dyDescent="0.2">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AE12" s="8"/>
      <c r="AF12" s="9"/>
    </row>
    <row r="13" spans="1:36" s="1" customFormat="1" x14ac:dyDescent="0.2">
      <c r="A13" s="108"/>
      <c r="B13" s="108"/>
      <c r="C13" s="108"/>
      <c r="D13" s="108"/>
      <c r="E13" s="108"/>
      <c r="F13" s="108"/>
      <c r="G13" s="108"/>
      <c r="H13" s="108"/>
      <c r="I13" s="108"/>
      <c r="J13" s="108"/>
      <c r="K13" s="108"/>
      <c r="L13" s="108"/>
      <c r="M13" s="108"/>
      <c r="N13" s="108"/>
      <c r="O13" s="108"/>
      <c r="P13" s="108"/>
      <c r="Q13" s="108"/>
      <c r="R13" s="108"/>
      <c r="S13" s="108"/>
      <c r="T13" s="108"/>
      <c r="U13" s="108"/>
      <c r="V13" s="108"/>
      <c r="W13" s="108"/>
      <c r="X13" s="108"/>
      <c r="Y13" s="108"/>
    </row>
    <row r="14" spans="1:36" s="1" customFormat="1" x14ac:dyDescent="0.2">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row>
    <row r="15" spans="1:36" s="1" customFormat="1" x14ac:dyDescent="0.2">
      <c r="A15" s="108"/>
      <c r="B15" s="108"/>
      <c r="C15" s="108"/>
      <c r="D15" s="108"/>
      <c r="E15" s="108"/>
      <c r="F15" s="108"/>
      <c r="G15" s="108"/>
      <c r="H15" s="108"/>
      <c r="I15" s="108"/>
      <c r="J15" s="108"/>
      <c r="K15" s="108"/>
      <c r="L15" s="108"/>
      <c r="M15" s="108"/>
      <c r="N15" s="108"/>
      <c r="O15" s="108"/>
      <c r="P15" s="108"/>
      <c r="Q15" s="108"/>
      <c r="R15" s="108"/>
      <c r="S15" s="108"/>
      <c r="T15" s="108"/>
      <c r="U15" s="108"/>
      <c r="V15" s="108"/>
      <c r="W15" s="108"/>
      <c r="X15" s="108"/>
      <c r="Y15" s="108"/>
    </row>
    <row r="16" spans="1:36" s="1" customFormat="1" x14ac:dyDescent="0.2">
      <c r="A16" s="108"/>
      <c r="B16" s="108"/>
      <c r="C16" s="108"/>
      <c r="D16" s="108"/>
      <c r="E16" s="108"/>
      <c r="F16" s="108"/>
      <c r="G16" s="108"/>
      <c r="H16" s="108"/>
      <c r="I16" s="108"/>
      <c r="J16" s="180"/>
      <c r="K16" s="180"/>
      <c r="L16" s="180"/>
      <c r="M16" s="180"/>
      <c r="N16" s="108"/>
      <c r="O16" s="108"/>
      <c r="P16" s="108"/>
      <c r="Q16" s="108"/>
      <c r="R16" s="108"/>
      <c r="S16" s="108"/>
      <c r="T16" s="108"/>
      <c r="U16" s="108"/>
      <c r="V16" s="108"/>
      <c r="W16" s="108"/>
      <c r="X16" s="108"/>
      <c r="Y16" s="108"/>
    </row>
    <row r="17" spans="1:25" s="1" customFormat="1" x14ac:dyDescent="0.2">
      <c r="A17" s="108"/>
      <c r="B17" s="108"/>
      <c r="C17" s="108"/>
      <c r="D17" s="108"/>
      <c r="E17" s="108"/>
      <c r="F17" s="108"/>
      <c r="G17" s="108"/>
      <c r="H17" s="108"/>
      <c r="I17" s="108"/>
      <c r="J17" s="180"/>
      <c r="K17" s="180"/>
      <c r="L17" s="180"/>
      <c r="M17" s="180"/>
      <c r="N17" s="108"/>
      <c r="O17" s="108"/>
      <c r="P17" s="108"/>
      <c r="Q17" s="108"/>
      <c r="R17" s="108"/>
      <c r="S17" s="108"/>
      <c r="T17" s="108"/>
      <c r="U17" s="108"/>
      <c r="V17" s="108"/>
      <c r="W17" s="108"/>
      <c r="X17" s="108"/>
      <c r="Y17" s="108"/>
    </row>
    <row r="18" spans="1:25" s="1" customFormat="1" x14ac:dyDescent="0.2">
      <c r="A18" s="108"/>
      <c r="B18" s="108"/>
      <c r="C18" s="108"/>
      <c r="D18" s="108"/>
      <c r="E18" s="108"/>
      <c r="F18" s="108"/>
      <c r="G18" s="108"/>
      <c r="H18" s="108"/>
      <c r="I18" s="108"/>
      <c r="J18" s="180"/>
      <c r="K18" s="180"/>
      <c r="L18" s="180"/>
      <c r="M18" s="180"/>
      <c r="N18" s="108"/>
      <c r="O18" s="108"/>
      <c r="P18" s="108"/>
      <c r="Q18" s="108"/>
      <c r="R18" s="240"/>
      <c r="S18" s="240"/>
      <c r="T18" s="240"/>
      <c r="U18" s="108"/>
      <c r="V18" s="108"/>
      <c r="W18" s="108"/>
      <c r="X18" s="108"/>
      <c r="Y18" s="108"/>
    </row>
    <row r="19" spans="1:25" s="1" customFormat="1" x14ac:dyDescent="0.2">
      <c r="A19" s="108"/>
      <c r="B19" s="108"/>
      <c r="C19" s="108"/>
      <c r="D19" s="108"/>
      <c r="E19" s="108"/>
      <c r="F19" s="108"/>
      <c r="G19" s="108"/>
      <c r="H19" s="108"/>
      <c r="I19" s="108"/>
      <c r="J19" s="180"/>
      <c r="K19" s="180"/>
      <c r="L19" s="180"/>
      <c r="M19" s="180"/>
      <c r="N19" s="108"/>
      <c r="O19" s="108"/>
      <c r="P19" s="108"/>
      <c r="Q19" s="108"/>
      <c r="R19" s="240"/>
      <c r="S19" s="240"/>
      <c r="T19" s="240"/>
      <c r="U19" s="108"/>
      <c r="V19" s="108"/>
      <c r="W19" s="108"/>
      <c r="X19" s="108"/>
      <c r="Y19" s="108"/>
    </row>
    <row r="20" spans="1:25" s="1" customFormat="1" x14ac:dyDescent="0.2">
      <c r="A20" s="131" t="s">
        <v>71</v>
      </c>
      <c r="B20" s="131" t="s">
        <v>72</v>
      </c>
      <c r="C20" s="131" t="s">
        <v>73</v>
      </c>
      <c r="D20" s="108"/>
      <c r="E20" s="108"/>
      <c r="F20" s="108"/>
      <c r="G20" s="108"/>
      <c r="H20" s="108"/>
      <c r="I20" s="108"/>
      <c r="J20" s="180"/>
      <c r="K20" s="180"/>
      <c r="L20" s="180"/>
      <c r="M20" s="180"/>
      <c r="N20" s="108"/>
      <c r="O20" s="108"/>
      <c r="P20" s="108"/>
      <c r="Q20" s="108"/>
      <c r="R20" s="108"/>
      <c r="S20" s="108"/>
      <c r="T20" s="108"/>
      <c r="U20" s="108"/>
      <c r="V20" s="108"/>
      <c r="W20" s="108"/>
      <c r="X20" s="108"/>
      <c r="Y20" s="108"/>
    </row>
    <row r="21" spans="1:25" s="1" customFormat="1" ht="15.75" thickBot="1" x14ac:dyDescent="0.25">
      <c r="A21" s="108"/>
      <c r="B21" s="108"/>
      <c r="C21" s="108"/>
      <c r="D21" s="108"/>
      <c r="E21" s="108"/>
      <c r="F21" s="108"/>
      <c r="G21" s="108"/>
      <c r="H21" s="108"/>
      <c r="I21" s="108"/>
      <c r="J21" s="180"/>
      <c r="K21" s="180"/>
      <c r="L21" s="180"/>
      <c r="M21" s="180"/>
      <c r="N21" s="756" t="s">
        <v>293</v>
      </c>
      <c r="O21" s="756"/>
      <c r="P21" s="240"/>
      <c r="Q21" s="764" t="s">
        <v>683</v>
      </c>
      <c r="R21" s="764"/>
      <c r="S21" s="108"/>
      <c r="T21" s="108"/>
      <c r="U21" s="108"/>
      <c r="V21" s="108"/>
      <c r="W21" s="108"/>
      <c r="X21" s="108"/>
      <c r="Y21" s="108"/>
    </row>
    <row r="22" spans="1:25" s="1" customFormat="1" ht="18.75" thickBot="1" x14ac:dyDescent="0.3">
      <c r="A22" s="108"/>
      <c r="B22" s="108"/>
      <c r="C22" s="108"/>
      <c r="D22" s="108"/>
      <c r="E22" s="108"/>
      <c r="F22" s="108"/>
      <c r="G22" s="108"/>
      <c r="H22" s="108"/>
      <c r="I22" s="108"/>
      <c r="J22" s="180"/>
      <c r="K22" s="276"/>
      <c r="L22" s="276"/>
      <c r="M22" s="276" t="s">
        <v>294</v>
      </c>
      <c r="N22" s="757" t="s">
        <v>343</v>
      </c>
      <c r="O22" s="758"/>
      <c r="P22" s="246" t="s">
        <v>242</v>
      </c>
      <c r="Q22" s="395">
        <f>VLOOKUP('NTC Thermistor Comparison'!$B$26,Coefficients!$E$2:$H$28,4,FALSE)</f>
        <v>125</v>
      </c>
      <c r="R22" s="396" t="s">
        <v>682</v>
      </c>
      <c r="S22" s="108"/>
      <c r="T22" s="108"/>
      <c r="U22" s="108"/>
      <c r="V22" s="108"/>
      <c r="W22" s="108"/>
      <c r="X22" s="108"/>
      <c r="Y22" s="108"/>
    </row>
    <row r="23" spans="1:25" s="1" customFormat="1" x14ac:dyDescent="0.2">
      <c r="A23" s="108"/>
      <c r="B23" s="108"/>
      <c r="C23" s="108"/>
      <c r="D23" s="108"/>
      <c r="E23" s="108"/>
      <c r="F23" s="108"/>
      <c r="G23" s="108"/>
      <c r="H23" s="108"/>
      <c r="I23" s="108"/>
      <c r="J23" s="180"/>
      <c r="K23" s="180"/>
      <c r="L23" s="180"/>
      <c r="M23" s="180"/>
      <c r="N23" s="240"/>
      <c r="O23" s="240"/>
      <c r="P23" s="247"/>
      <c r="Q23" s="240"/>
      <c r="R23" s="108"/>
      <c r="S23" s="108"/>
      <c r="T23" s="108"/>
      <c r="U23" s="108"/>
      <c r="V23" s="108"/>
      <c r="W23" s="108"/>
      <c r="X23" s="108"/>
      <c r="Y23" s="108"/>
    </row>
    <row r="24" spans="1:25" s="1" customFormat="1" ht="15.75" thickBot="1" x14ac:dyDescent="0.25">
      <c r="A24" s="108"/>
      <c r="B24" s="108"/>
      <c r="C24" s="108"/>
      <c r="D24" s="108"/>
      <c r="E24" s="108"/>
      <c r="F24" s="108"/>
      <c r="G24" s="108"/>
      <c r="H24" s="108"/>
      <c r="I24" s="108"/>
      <c r="J24" s="180"/>
      <c r="K24" s="180"/>
      <c r="L24" s="180"/>
      <c r="M24" s="180"/>
      <c r="N24" s="756" t="str">
        <f ca="1">Coefficients!J35</f>
        <v>VBias (0.3Vdc -  6.5Vdc)</v>
      </c>
      <c r="O24" s="756"/>
      <c r="P24" s="247"/>
      <c r="Q24" s="240"/>
      <c r="R24" s="108"/>
      <c r="S24" s="108"/>
      <c r="T24" s="108"/>
      <c r="U24" s="108"/>
      <c r="V24" s="108"/>
      <c r="W24" s="108"/>
      <c r="X24" s="108"/>
      <c r="Y24" s="108"/>
    </row>
    <row r="25" spans="1:25" s="1" customFormat="1" ht="18.75" thickBot="1" x14ac:dyDescent="0.3">
      <c r="A25" s="108"/>
      <c r="B25" s="108"/>
      <c r="C25" s="108"/>
      <c r="D25" s="108"/>
      <c r="E25" s="108"/>
      <c r="F25" s="108"/>
      <c r="G25" s="108"/>
      <c r="H25" s="108"/>
      <c r="I25" s="108"/>
      <c r="J25" s="180"/>
      <c r="K25" s="180"/>
      <c r="L25" s="250"/>
      <c r="M25" s="250" t="s">
        <v>303</v>
      </c>
      <c r="N25" s="754">
        <v>5</v>
      </c>
      <c r="O25" s="755"/>
      <c r="P25" s="249" t="s">
        <v>2</v>
      </c>
      <c r="Q25" s="240"/>
      <c r="R25" s="108"/>
      <c r="S25" s="108"/>
      <c r="T25" s="108"/>
      <c r="U25" s="108"/>
      <c r="V25" s="108"/>
      <c r="W25" s="108"/>
      <c r="X25" s="108"/>
      <c r="Y25" s="108"/>
    </row>
    <row r="26" spans="1:25" s="1" customFormat="1" x14ac:dyDescent="0.2">
      <c r="A26" s="108"/>
      <c r="B26" s="108"/>
      <c r="C26" s="108"/>
      <c r="D26" s="108"/>
      <c r="E26" s="108"/>
      <c r="F26" s="108"/>
      <c r="G26" s="108"/>
      <c r="H26" s="108"/>
      <c r="I26" s="108"/>
      <c r="J26" s="180"/>
      <c r="K26" s="180"/>
      <c r="L26" s="180"/>
      <c r="M26" s="180"/>
      <c r="N26" s="240"/>
      <c r="O26" s="240"/>
      <c r="P26" s="240"/>
      <c r="Q26" s="240"/>
      <c r="R26" s="108"/>
      <c r="S26" s="108"/>
      <c r="T26" s="108"/>
      <c r="U26" s="108"/>
      <c r="V26" s="108"/>
      <c r="W26" s="108"/>
      <c r="X26" s="108"/>
      <c r="Y26" s="108"/>
    </row>
    <row r="27" spans="1:25" s="1" customFormat="1" ht="15.75" thickBot="1" x14ac:dyDescent="0.25">
      <c r="A27" s="108"/>
      <c r="B27" s="108"/>
      <c r="C27" s="108"/>
      <c r="D27" s="108"/>
      <c r="E27" s="108"/>
      <c r="F27" s="108"/>
      <c r="G27" s="108"/>
      <c r="H27" s="108"/>
      <c r="I27" s="108"/>
      <c r="J27" s="180"/>
      <c r="K27" s="180"/>
      <c r="L27" s="180"/>
      <c r="M27" s="180"/>
      <c r="N27" s="756" t="s">
        <v>292</v>
      </c>
      <c r="O27" s="756"/>
      <c r="P27" s="247"/>
      <c r="Q27" s="240"/>
      <c r="R27" s="108"/>
      <c r="S27" s="108"/>
      <c r="T27" s="108"/>
      <c r="U27" s="108"/>
      <c r="V27" s="108"/>
      <c r="W27" s="108"/>
      <c r="X27" s="108"/>
      <c r="Y27" s="108"/>
    </row>
    <row r="28" spans="1:25" s="1" customFormat="1" ht="18.75" thickBot="1" x14ac:dyDescent="0.3">
      <c r="A28" s="108"/>
      <c r="B28" s="108"/>
      <c r="C28" s="108"/>
      <c r="D28" s="108"/>
      <c r="E28" s="108"/>
      <c r="F28" s="108"/>
      <c r="G28" s="108"/>
      <c r="H28" s="108"/>
      <c r="I28" s="108"/>
      <c r="J28" s="180"/>
      <c r="K28" s="180"/>
      <c r="L28" s="250"/>
      <c r="M28" s="250" t="s">
        <v>302</v>
      </c>
      <c r="N28" s="759">
        <v>16</v>
      </c>
      <c r="O28" s="760"/>
      <c r="P28" s="249" t="s">
        <v>284</v>
      </c>
      <c r="Q28" s="240"/>
      <c r="R28" s="108"/>
      <c r="S28" s="149"/>
      <c r="T28" s="108"/>
      <c r="U28" s="108"/>
      <c r="V28" s="108"/>
      <c r="W28" s="108"/>
      <c r="X28" s="108"/>
      <c r="Y28" s="108"/>
    </row>
    <row r="29" spans="1:25" s="1" customFormat="1" x14ac:dyDescent="0.2">
      <c r="A29" s="108"/>
      <c r="B29" s="108"/>
      <c r="C29" s="108"/>
      <c r="D29" s="108"/>
      <c r="E29" s="108"/>
      <c r="F29" s="108"/>
      <c r="G29" s="108"/>
      <c r="H29" s="108"/>
      <c r="I29" s="108"/>
      <c r="J29" s="180"/>
      <c r="K29" s="180"/>
      <c r="L29" s="180"/>
      <c r="M29" s="275"/>
      <c r="S29" s="108"/>
      <c r="T29" s="108"/>
      <c r="U29" s="108"/>
      <c r="V29" s="108"/>
      <c r="W29" s="108"/>
      <c r="X29" s="108"/>
      <c r="Y29" s="108"/>
    </row>
    <row r="30" spans="1:25" s="1" customFormat="1" ht="15.75" thickBot="1" x14ac:dyDescent="0.25">
      <c r="A30" s="108"/>
      <c r="B30" s="108"/>
      <c r="C30" s="108"/>
      <c r="D30" s="108"/>
      <c r="E30" s="108"/>
      <c r="F30" s="108"/>
      <c r="G30" s="108"/>
      <c r="H30" s="108"/>
      <c r="I30" s="108"/>
      <c r="J30" s="180"/>
      <c r="K30" s="180"/>
      <c r="L30" s="275"/>
      <c r="M30" s="180"/>
      <c r="N30" s="761" t="s">
        <v>251</v>
      </c>
      <c r="O30" s="761"/>
      <c r="P30" s="180"/>
      <c r="Q30" s="180"/>
      <c r="R30" s="180"/>
      <c r="S30" s="108"/>
      <c r="T30" s="108"/>
      <c r="U30" s="108"/>
      <c r="V30" s="108"/>
      <c r="W30" s="108"/>
      <c r="X30" s="108"/>
      <c r="Y30" s="108"/>
    </row>
    <row r="31" spans="1:25" s="1" customFormat="1" ht="18.75" thickBot="1" x14ac:dyDescent="0.3">
      <c r="A31" s="108"/>
      <c r="B31" s="108"/>
      <c r="C31" s="108"/>
      <c r="D31" s="108"/>
      <c r="E31" s="108"/>
      <c r="F31" s="108"/>
      <c r="G31" s="108"/>
      <c r="H31" s="108"/>
      <c r="I31" s="108"/>
      <c r="J31" s="223"/>
      <c r="K31" s="275"/>
      <c r="L31" s="275"/>
      <c r="M31" s="137" t="s">
        <v>279</v>
      </c>
      <c r="N31" s="762">
        <f>VLOOKUP('NTC Thermistor Comparison'!$B$26,Coefficients!$E$2:$F$28,2,FALSE)</f>
        <v>10000</v>
      </c>
      <c r="O31" s="763"/>
      <c r="P31" s="206" t="s">
        <v>1</v>
      </c>
      <c r="Q31" s="141"/>
      <c r="R31" s="180"/>
      <c r="S31" s="108"/>
      <c r="T31" s="108"/>
      <c r="U31" s="108"/>
      <c r="V31" s="108"/>
      <c r="W31" s="108"/>
      <c r="X31" s="108"/>
      <c r="Y31" s="108"/>
    </row>
    <row r="32" spans="1:25" s="1" customFormat="1" ht="18" x14ac:dyDescent="0.25">
      <c r="A32" s="108"/>
      <c r="B32" s="108"/>
      <c r="C32" s="108"/>
      <c r="D32" s="108"/>
      <c r="E32" s="108"/>
      <c r="F32" s="108"/>
      <c r="G32" s="108"/>
      <c r="H32" s="108"/>
      <c r="I32" s="108"/>
      <c r="J32" s="180"/>
      <c r="K32" s="180"/>
      <c r="L32" s="275"/>
      <c r="M32" s="180"/>
      <c r="N32" s="174" t="s">
        <v>257</v>
      </c>
      <c r="O32" s="180"/>
      <c r="P32" s="180"/>
      <c r="Q32" s="180"/>
      <c r="R32" s="180"/>
      <c r="S32" s="136"/>
      <c r="T32" s="108"/>
      <c r="U32" s="108"/>
      <c r="V32" s="108"/>
      <c r="W32" s="108"/>
      <c r="X32" s="108"/>
      <c r="Y32" s="108"/>
    </row>
    <row r="33" spans="1:25" s="1" customFormat="1" x14ac:dyDescent="0.2">
      <c r="A33" s="108"/>
      <c r="B33" s="108"/>
      <c r="C33" s="108"/>
      <c r="D33" s="108"/>
      <c r="E33" s="108"/>
      <c r="F33" s="108"/>
      <c r="G33" s="108"/>
      <c r="H33" s="108"/>
      <c r="I33" s="108"/>
      <c r="J33" s="180"/>
      <c r="K33" s="180"/>
      <c r="L33" s="275"/>
      <c r="M33" s="180"/>
      <c r="N33" s="180" t="s">
        <v>420</v>
      </c>
      <c r="O33" s="180"/>
      <c r="P33" s="180"/>
      <c r="Q33" s="180"/>
      <c r="R33" s="180"/>
      <c r="S33" s="108"/>
      <c r="T33" s="108"/>
      <c r="U33" s="108"/>
      <c r="V33" s="108"/>
      <c r="W33" s="108"/>
      <c r="X33" s="108"/>
      <c r="Y33" s="108"/>
    </row>
    <row r="34" spans="1:25" s="1" customFormat="1" x14ac:dyDescent="0.2">
      <c r="A34" s="108"/>
      <c r="B34" s="108"/>
      <c r="C34" s="108"/>
      <c r="D34" s="108"/>
      <c r="E34" s="108"/>
      <c r="F34" s="108"/>
      <c r="G34" s="108"/>
      <c r="H34" s="108"/>
      <c r="I34" s="108"/>
      <c r="J34" s="108"/>
      <c r="M34" s="108"/>
      <c r="N34" s="108"/>
      <c r="O34" s="108"/>
      <c r="P34" s="108"/>
      <c r="Q34" s="108"/>
      <c r="R34" s="108"/>
      <c r="S34" s="108"/>
      <c r="T34" s="108"/>
      <c r="U34" s="108"/>
      <c r="V34" s="108"/>
      <c r="W34" s="108"/>
      <c r="X34" s="108"/>
      <c r="Y34" s="108"/>
    </row>
    <row r="35" spans="1:25" s="1" customFormat="1" x14ac:dyDescent="0.2">
      <c r="A35" s="108"/>
      <c r="B35" s="108"/>
      <c r="C35" s="108"/>
      <c r="D35" s="108"/>
      <c r="E35" s="108"/>
      <c r="F35" s="108"/>
      <c r="G35" s="108"/>
      <c r="H35" s="108"/>
      <c r="I35" s="108"/>
      <c r="J35" s="108"/>
      <c r="K35" s="108"/>
      <c r="L35" s="108"/>
      <c r="M35" s="108"/>
      <c r="N35" s="108"/>
      <c r="O35" s="108"/>
      <c r="P35" s="108"/>
      <c r="Q35" s="108"/>
      <c r="R35" s="108"/>
      <c r="S35" s="108"/>
      <c r="T35" s="108"/>
      <c r="U35" s="108"/>
      <c r="V35" s="108"/>
      <c r="W35" s="108"/>
      <c r="X35" s="108"/>
      <c r="Y35" s="108"/>
    </row>
    <row r="36" spans="1:25" s="1" customFormat="1" ht="15.75" x14ac:dyDescent="0.25">
      <c r="A36" s="108"/>
      <c r="B36" s="108"/>
      <c r="C36" s="108"/>
      <c r="D36" s="108"/>
      <c r="E36" s="108"/>
      <c r="F36" s="108"/>
      <c r="G36" s="108"/>
      <c r="H36" s="108"/>
      <c r="I36" s="108"/>
      <c r="J36" s="108"/>
      <c r="K36" s="144" t="s">
        <v>250</v>
      </c>
      <c r="L36" s="108"/>
      <c r="M36" s="108"/>
      <c r="N36" s="126"/>
      <c r="O36" s="108"/>
      <c r="P36" s="108"/>
      <c r="Q36" s="108"/>
      <c r="R36" s="108"/>
      <c r="S36" s="108"/>
      <c r="T36" s="108"/>
      <c r="U36" s="108"/>
      <c r="V36" s="108"/>
      <c r="W36" s="108"/>
      <c r="X36" s="108"/>
      <c r="Y36" s="108"/>
    </row>
    <row r="37" spans="1:25" s="1" customFormat="1" ht="15.75" x14ac:dyDescent="0.25">
      <c r="A37" s="108"/>
      <c r="B37" s="108"/>
      <c r="C37" s="108"/>
      <c r="D37" s="108"/>
      <c r="E37" s="108"/>
      <c r="F37" s="108"/>
      <c r="G37" s="108"/>
      <c r="H37" s="108"/>
      <c r="I37" s="108"/>
      <c r="J37" s="144"/>
      <c r="K37" s="751" t="s">
        <v>245</v>
      </c>
      <c r="L37" s="752"/>
      <c r="M37" s="753"/>
      <c r="N37" s="182" t="s">
        <v>260</v>
      </c>
      <c r="O37" s="108"/>
      <c r="P37" s="108"/>
      <c r="Q37" s="108"/>
      <c r="R37" s="108"/>
      <c r="S37" s="108"/>
      <c r="T37" s="108"/>
      <c r="U37" s="108"/>
      <c r="V37" s="108"/>
      <c r="W37" s="108"/>
      <c r="X37" s="108"/>
      <c r="Y37" s="108"/>
    </row>
    <row r="38" spans="1:25" s="1" customFormat="1" ht="15.75" x14ac:dyDescent="0.25">
      <c r="A38" s="108"/>
      <c r="B38" s="108"/>
      <c r="C38" s="108"/>
      <c r="D38" s="108"/>
      <c r="E38" s="108"/>
      <c r="F38" s="108"/>
      <c r="G38" s="108"/>
      <c r="H38" s="108"/>
      <c r="I38" s="108"/>
      <c r="J38" s="144"/>
      <c r="K38" s="751" t="s">
        <v>244</v>
      </c>
      <c r="L38" s="752"/>
      <c r="M38" s="753"/>
      <c r="N38" s="182" t="s">
        <v>261</v>
      </c>
      <c r="O38" s="108"/>
      <c r="P38" s="108"/>
      <c r="Q38" s="108"/>
      <c r="R38" s="108"/>
      <c r="S38" s="108"/>
      <c r="T38" s="108"/>
      <c r="U38" s="108"/>
      <c r="V38" s="108"/>
      <c r="W38" s="108"/>
      <c r="X38" s="108"/>
      <c r="Y38" s="108"/>
    </row>
    <row r="39" spans="1:25" s="1" customFormat="1" ht="15" x14ac:dyDescent="0.2">
      <c r="A39" s="108"/>
      <c r="B39" s="108"/>
      <c r="C39" s="108"/>
      <c r="D39" s="108"/>
      <c r="E39" s="108"/>
      <c r="F39" s="108"/>
      <c r="G39" s="108"/>
      <c r="H39" s="108"/>
      <c r="I39" s="108"/>
      <c r="J39" s="125"/>
      <c r="K39" s="125"/>
      <c r="L39" s="125"/>
      <c r="M39" s="125"/>
      <c r="N39" s="108"/>
      <c r="O39" s="108"/>
      <c r="P39" s="108"/>
      <c r="Q39" s="108"/>
      <c r="R39" s="108"/>
      <c r="S39" s="108"/>
      <c r="T39" s="108"/>
      <c r="U39" s="108"/>
      <c r="V39" s="108"/>
      <c r="W39" s="108"/>
      <c r="X39" s="108"/>
      <c r="Y39" s="108"/>
    </row>
    <row r="40" spans="1:25" s="1" customFormat="1" ht="15.75" x14ac:dyDescent="0.25">
      <c r="A40" s="108"/>
      <c r="B40" s="108"/>
      <c r="C40" s="108"/>
      <c r="D40" s="108"/>
      <c r="E40" s="108"/>
      <c r="F40" s="108"/>
      <c r="G40" s="108"/>
      <c r="H40" s="108"/>
      <c r="I40" s="108"/>
      <c r="J40" s="125"/>
      <c r="K40" s="144" t="s">
        <v>295</v>
      </c>
      <c r="L40" s="125"/>
      <c r="M40" s="125"/>
      <c r="N40" s="108"/>
      <c r="O40" s="108"/>
      <c r="P40" s="108"/>
      <c r="Q40" s="108"/>
      <c r="R40" s="108"/>
      <c r="S40" s="108"/>
      <c r="T40" s="108"/>
      <c r="U40" s="108"/>
      <c r="V40" s="108"/>
      <c r="W40" s="108"/>
      <c r="X40" s="108"/>
      <c r="Y40" s="108"/>
    </row>
    <row r="41" spans="1:25" s="1" customFormat="1" ht="15.75" x14ac:dyDescent="0.25">
      <c r="A41" s="108"/>
      <c r="B41" s="108"/>
      <c r="C41" s="108"/>
      <c r="D41" s="108"/>
      <c r="E41" s="108"/>
      <c r="F41" s="108"/>
      <c r="G41" s="108"/>
      <c r="H41" s="108"/>
      <c r="I41" s="108"/>
      <c r="J41" s="144"/>
      <c r="K41" s="751" t="s">
        <v>635</v>
      </c>
      <c r="L41" s="752"/>
      <c r="M41" s="753"/>
      <c r="N41" s="170" t="s">
        <v>637</v>
      </c>
      <c r="O41" s="108"/>
      <c r="P41" s="108"/>
      <c r="Q41" s="108"/>
      <c r="R41" s="108"/>
      <c r="S41" s="108"/>
      <c r="T41" s="108"/>
      <c r="U41" s="108"/>
      <c r="V41" s="108"/>
      <c r="W41" s="108"/>
      <c r="X41" s="108"/>
      <c r="Y41" s="108"/>
    </row>
    <row r="42" spans="1:25" s="1" customFormat="1" ht="15.75" x14ac:dyDescent="0.25">
      <c r="A42" s="240"/>
      <c r="B42" s="240"/>
      <c r="C42" s="240"/>
      <c r="D42" s="240"/>
      <c r="E42" s="240"/>
      <c r="F42" s="240"/>
      <c r="G42" s="240"/>
      <c r="H42" s="240"/>
      <c r="I42" s="240"/>
      <c r="J42" s="144"/>
      <c r="K42" s="751" t="s">
        <v>636</v>
      </c>
      <c r="L42" s="752"/>
      <c r="M42" s="753"/>
      <c r="N42" s="240" t="s">
        <v>638</v>
      </c>
      <c r="O42" s="240"/>
      <c r="P42" s="240"/>
      <c r="Q42" s="240"/>
      <c r="R42" s="240"/>
      <c r="S42" s="240"/>
      <c r="T42" s="240"/>
      <c r="U42" s="240"/>
      <c r="V42" s="240"/>
      <c r="W42" s="240"/>
      <c r="X42" s="240"/>
      <c r="Y42" s="240"/>
    </row>
    <row r="43" spans="1:25" s="1" customFormat="1" ht="15.75" x14ac:dyDescent="0.25">
      <c r="A43" s="108"/>
      <c r="B43" s="108"/>
      <c r="C43" s="108"/>
      <c r="D43" s="108"/>
      <c r="E43" s="108"/>
      <c r="F43" s="108"/>
      <c r="G43" s="108"/>
      <c r="H43" s="108"/>
      <c r="I43" s="108"/>
      <c r="J43" s="144"/>
      <c r="K43" s="751" t="s">
        <v>296</v>
      </c>
      <c r="L43" s="752"/>
      <c r="M43" s="753"/>
      <c r="N43" s="170" t="s">
        <v>258</v>
      </c>
      <c r="O43" s="108"/>
      <c r="P43" s="108"/>
      <c r="Q43" s="108"/>
      <c r="R43" s="108"/>
      <c r="S43" s="108"/>
    </row>
    <row r="44" spans="1:25" s="1" customFormat="1" ht="15.75" x14ac:dyDescent="0.25">
      <c r="A44" s="108"/>
      <c r="B44" s="108"/>
      <c r="C44" s="108"/>
      <c r="D44" s="108"/>
      <c r="E44" s="108"/>
      <c r="F44" s="108"/>
      <c r="G44" s="108"/>
      <c r="H44" s="108"/>
      <c r="I44" s="108"/>
      <c r="J44" s="144"/>
      <c r="K44" s="751" t="s">
        <v>523</v>
      </c>
      <c r="L44" s="752"/>
      <c r="M44" s="753"/>
      <c r="N44" s="170" t="s">
        <v>421</v>
      </c>
      <c r="O44" s="108"/>
      <c r="P44" s="108"/>
      <c r="Q44" s="108"/>
      <c r="R44" s="108"/>
      <c r="S44" s="108"/>
    </row>
    <row r="45" spans="1:25" s="1" customFormat="1" ht="15.75" x14ac:dyDescent="0.25">
      <c r="A45" s="108"/>
      <c r="B45" s="108"/>
      <c r="C45" s="108"/>
      <c r="D45" s="108"/>
      <c r="E45" s="108"/>
      <c r="F45" s="108"/>
      <c r="G45" s="108"/>
      <c r="H45" s="108"/>
      <c r="I45" s="108"/>
      <c r="J45" s="144"/>
      <c r="K45" s="751" t="s">
        <v>524</v>
      </c>
      <c r="L45" s="752"/>
      <c r="M45" s="753"/>
      <c r="N45" s="170" t="s">
        <v>259</v>
      </c>
      <c r="O45" s="108"/>
      <c r="P45" s="108"/>
      <c r="Q45" s="108"/>
      <c r="R45" s="108"/>
      <c r="S45" s="108"/>
    </row>
    <row r="46" spans="1:25" s="1" customFormat="1" ht="15.75" x14ac:dyDescent="0.25">
      <c r="A46" s="108"/>
      <c r="B46" s="108"/>
      <c r="C46" s="108"/>
      <c r="D46" s="108"/>
      <c r="E46" s="108"/>
      <c r="F46" s="108"/>
      <c r="G46" s="108"/>
      <c r="H46" s="108"/>
      <c r="I46" s="108"/>
      <c r="J46" s="144"/>
      <c r="K46" s="751" t="s">
        <v>291</v>
      </c>
      <c r="L46" s="752"/>
      <c r="M46" s="753"/>
      <c r="N46" s="240" t="s">
        <v>297</v>
      </c>
      <c r="O46" s="108"/>
      <c r="P46" s="108"/>
      <c r="Q46" s="108"/>
      <c r="R46" s="108"/>
      <c r="S46" s="108"/>
    </row>
    <row r="47" spans="1:25" s="1" customFormat="1" ht="15" x14ac:dyDescent="0.2">
      <c r="A47" s="108"/>
      <c r="B47" s="108"/>
      <c r="C47" s="108"/>
      <c r="D47" s="108"/>
      <c r="E47" s="108"/>
      <c r="F47" s="108"/>
      <c r="G47" s="108"/>
      <c r="H47" s="108"/>
      <c r="I47" s="108"/>
      <c r="J47" s="125"/>
      <c r="K47" s="102"/>
      <c r="L47" s="125"/>
      <c r="M47" s="125"/>
      <c r="N47" s="108"/>
      <c r="O47" s="108"/>
      <c r="P47" s="108"/>
      <c r="Q47" s="108"/>
      <c r="R47" s="108"/>
      <c r="S47" s="108"/>
    </row>
    <row r="48" spans="1:25" s="1" customFormat="1" ht="15.75" x14ac:dyDescent="0.25">
      <c r="A48" s="108"/>
      <c r="B48" s="108"/>
      <c r="C48" s="108"/>
      <c r="D48" s="108"/>
      <c r="E48" s="108"/>
      <c r="F48" s="108"/>
      <c r="G48" s="108"/>
      <c r="H48" s="108"/>
      <c r="I48" s="108"/>
      <c r="J48" s="102"/>
      <c r="K48" s="144" t="s">
        <v>124</v>
      </c>
      <c r="L48" s="102"/>
      <c r="M48" s="102"/>
      <c r="S48" s="108"/>
      <c r="T48" s="108"/>
      <c r="U48" s="108"/>
      <c r="V48" s="108"/>
      <c r="W48" s="108"/>
      <c r="X48" s="108"/>
      <c r="Y48" s="108"/>
    </row>
    <row r="49" spans="1:25" s="1" customFormat="1" ht="15" x14ac:dyDescent="0.2">
      <c r="A49" s="108"/>
      <c r="B49" s="108"/>
      <c r="C49" s="108"/>
      <c r="D49" s="108"/>
      <c r="E49" s="108"/>
      <c r="F49" s="108"/>
      <c r="G49" s="108"/>
      <c r="H49" s="108"/>
      <c r="I49" s="108"/>
      <c r="J49" s="102"/>
      <c r="K49" s="765" t="s">
        <v>428</v>
      </c>
      <c r="L49" s="766"/>
      <c r="M49" s="767"/>
      <c r="N49" s="1" t="s">
        <v>429</v>
      </c>
      <c r="S49" s="108"/>
      <c r="T49" s="108"/>
      <c r="U49" s="108"/>
      <c r="V49" s="108"/>
      <c r="W49" s="108"/>
      <c r="X49" s="108"/>
      <c r="Y49" s="108"/>
    </row>
    <row r="50" spans="1:25" s="1" customFormat="1" ht="15.75" x14ac:dyDescent="0.25">
      <c r="A50" s="108"/>
      <c r="B50" s="108"/>
      <c r="C50" s="108"/>
      <c r="D50" s="108"/>
      <c r="E50" s="108"/>
      <c r="F50" s="108"/>
      <c r="G50" s="108"/>
      <c r="H50" s="108"/>
      <c r="I50" s="108"/>
      <c r="J50" s="144"/>
      <c r="K50" s="751" t="s">
        <v>666</v>
      </c>
      <c r="L50" s="752"/>
      <c r="M50" s="753"/>
      <c r="N50" s="240" t="s">
        <v>689</v>
      </c>
      <c r="O50" s="240"/>
      <c r="P50" s="240"/>
      <c r="Q50" s="240"/>
      <c r="R50" s="108"/>
      <c r="S50" s="108"/>
      <c r="T50" s="108"/>
      <c r="U50" s="108"/>
      <c r="V50" s="108"/>
      <c r="W50" s="108"/>
      <c r="X50" s="108"/>
      <c r="Y50" s="108"/>
    </row>
    <row r="51" spans="1:25" s="1" customFormat="1" ht="15.75" x14ac:dyDescent="0.25">
      <c r="A51" s="108"/>
      <c r="B51" s="108"/>
      <c r="C51" s="108"/>
      <c r="D51" s="108"/>
      <c r="E51" s="108"/>
      <c r="F51" s="108"/>
      <c r="G51" s="108"/>
      <c r="H51" s="108"/>
      <c r="I51" s="108"/>
      <c r="J51" s="144"/>
      <c r="K51" s="751" t="s">
        <v>285</v>
      </c>
      <c r="L51" s="752"/>
      <c r="M51" s="753"/>
      <c r="N51" s="240" t="s">
        <v>298</v>
      </c>
      <c r="O51" s="108"/>
      <c r="P51" s="108"/>
      <c r="Q51" s="108"/>
      <c r="R51" s="240"/>
      <c r="X51" s="108"/>
      <c r="Y51" s="108"/>
    </row>
    <row r="52" spans="1:25" s="1" customFormat="1" ht="15" x14ac:dyDescent="0.2">
      <c r="A52" s="108"/>
      <c r="B52" s="108"/>
      <c r="C52" s="108"/>
      <c r="D52" s="108"/>
      <c r="E52" s="108"/>
      <c r="F52" s="108"/>
      <c r="G52" s="108"/>
      <c r="H52" s="108"/>
      <c r="I52" s="108"/>
      <c r="J52" s="102"/>
      <c r="K52" s="751" t="s">
        <v>290</v>
      </c>
      <c r="L52" s="752"/>
      <c r="M52" s="753"/>
      <c r="N52" s="240" t="s">
        <v>299</v>
      </c>
      <c r="O52" s="240"/>
      <c r="P52" s="240"/>
      <c r="Q52" s="240"/>
      <c r="X52" s="108"/>
      <c r="Y52" s="108"/>
    </row>
    <row r="53" spans="1:25" s="1" customFormat="1" ht="15" x14ac:dyDescent="0.2">
      <c r="A53" s="108"/>
      <c r="B53" s="108"/>
      <c r="C53" s="108"/>
      <c r="D53" s="108"/>
      <c r="E53" s="108"/>
      <c r="F53" s="108"/>
      <c r="G53" s="108"/>
      <c r="H53" s="108"/>
      <c r="I53" s="108"/>
      <c r="J53" s="108"/>
      <c r="K53" s="102"/>
      <c r="L53" s="102"/>
      <c r="M53" s="102"/>
      <c r="R53" s="108"/>
      <c r="S53" s="108"/>
      <c r="T53" s="108"/>
      <c r="U53" s="108"/>
      <c r="V53" s="108"/>
      <c r="W53" s="108"/>
      <c r="X53" s="108"/>
      <c r="Y53" s="108"/>
    </row>
    <row r="54" spans="1:25" s="1" customFormat="1" x14ac:dyDescent="0.2">
      <c r="A54" s="108"/>
      <c r="B54" s="108"/>
      <c r="C54" s="108"/>
      <c r="D54" s="108"/>
      <c r="E54" s="108"/>
      <c r="F54" s="108"/>
      <c r="G54" s="108"/>
      <c r="H54" s="108"/>
      <c r="I54" s="108"/>
      <c r="J54" s="108"/>
      <c r="K54" s="108"/>
      <c r="L54" s="108"/>
      <c r="M54" s="108"/>
      <c r="N54" s="108"/>
      <c r="O54" s="108"/>
      <c r="P54" s="108"/>
      <c r="Q54" s="108"/>
      <c r="S54" s="108"/>
      <c r="T54" s="108"/>
      <c r="U54" s="108"/>
      <c r="V54" s="108"/>
      <c r="W54" s="108"/>
      <c r="X54" s="108"/>
      <c r="Y54" s="108"/>
    </row>
    <row r="55" spans="1:25" s="1" customFormat="1" x14ac:dyDescent="0.2">
      <c r="A55" s="108"/>
      <c r="B55" s="108"/>
      <c r="C55" s="108"/>
      <c r="D55" s="108"/>
      <c r="E55" s="108"/>
      <c r="F55" s="108"/>
      <c r="G55" s="108"/>
      <c r="H55" s="108"/>
      <c r="I55" s="108"/>
      <c r="J55" s="108"/>
      <c r="K55" s="132" t="s">
        <v>255</v>
      </c>
      <c r="L55" s="108"/>
      <c r="M55" s="108"/>
      <c r="N55" s="108"/>
      <c r="O55" s="108"/>
      <c r="P55" s="108"/>
      <c r="Q55" s="108"/>
      <c r="R55" s="132" t="s">
        <v>256</v>
      </c>
      <c r="S55" s="108"/>
      <c r="T55" s="108"/>
      <c r="U55" s="108"/>
      <c r="V55" s="108"/>
      <c r="W55" s="108"/>
      <c r="X55" s="108"/>
      <c r="Y55" s="108"/>
    </row>
    <row r="56" spans="1:25" s="1" customFormat="1" x14ac:dyDescent="0.2">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row>
    <row r="57" spans="1:25" s="1" customFormat="1" x14ac:dyDescent="0.2">
      <c r="A57" s="108"/>
      <c r="B57" s="108"/>
      <c r="C57" s="108"/>
      <c r="D57" s="108"/>
      <c r="E57" s="108"/>
      <c r="F57" s="108"/>
      <c r="G57" s="108"/>
      <c r="H57" s="108"/>
      <c r="I57" s="108"/>
      <c r="J57" s="108"/>
      <c r="L57" s="108"/>
      <c r="M57" s="108"/>
      <c r="N57" s="108"/>
      <c r="O57" s="108"/>
      <c r="P57" s="108"/>
      <c r="Q57" s="108"/>
      <c r="R57" s="108"/>
      <c r="S57" s="108"/>
      <c r="T57" s="108"/>
      <c r="U57" s="108"/>
      <c r="V57" s="108"/>
      <c r="W57" s="108"/>
      <c r="X57" s="108"/>
      <c r="Y57" s="108"/>
    </row>
    <row r="58" spans="1:25" s="1" customFormat="1" x14ac:dyDescent="0.2">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row>
    <row r="59" spans="1:25" x14ac:dyDescent="0.2"/>
    <row r="60" spans="1:25" x14ac:dyDescent="0.2"/>
    <row r="61" spans="1:25" x14ac:dyDescent="0.2"/>
    <row r="62" spans="1:25" x14ac:dyDescent="0.2"/>
    <row r="63" spans="1:25" x14ac:dyDescent="0.2"/>
    <row r="64" spans="1:25" x14ac:dyDescent="0.2"/>
    <row r="65" spans="11:17" x14ac:dyDescent="0.2"/>
    <row r="66" spans="11:17" s="240" customFormat="1" x14ac:dyDescent="0.2">
      <c r="K66" s="108"/>
      <c r="L66" s="108"/>
      <c r="M66" s="108"/>
      <c r="N66" s="108"/>
      <c r="O66" s="108"/>
      <c r="P66" s="108"/>
      <c r="Q66" s="108"/>
    </row>
    <row r="67" spans="11:17" s="240" customFormat="1" x14ac:dyDescent="0.2"/>
    <row r="68" spans="11:17" s="240" customFormat="1" x14ac:dyDescent="0.2"/>
    <row r="69" spans="11:17" x14ac:dyDescent="0.2">
      <c r="K69" s="240"/>
      <c r="L69" s="240"/>
      <c r="M69" s="240"/>
      <c r="N69" s="240"/>
      <c r="O69" s="240"/>
      <c r="P69" s="240"/>
      <c r="Q69" s="240"/>
    </row>
    <row r="70" spans="11:17" x14ac:dyDescent="0.2"/>
    <row r="71" spans="11:17" x14ac:dyDescent="0.2"/>
    <row r="72" spans="11:17" x14ac:dyDescent="0.2"/>
    <row r="73" spans="11:17" x14ac:dyDescent="0.2"/>
  </sheetData>
  <sheetProtection algorithmName="SHA-512" hashValue="EoNlnbUQ+9eD1Tllhi376HViOaDHlMAqieT6KUSXIoolIhHB9YfRcppsz4YW7M50umm8BOt9200z9zq+0t60SA==" saltValue="/EIhZil7xQZ4P+trnLAPkQ==" spinCount="100000" sheet="1" objects="1" scenarios="1"/>
  <mergeCells count="23">
    <mergeCell ref="K52:M52"/>
    <mergeCell ref="K45:M45"/>
    <mergeCell ref="K46:M46"/>
    <mergeCell ref="K51:M51"/>
    <mergeCell ref="K41:M41"/>
    <mergeCell ref="K43:M43"/>
    <mergeCell ref="K44:M44"/>
    <mergeCell ref="K49:M49"/>
    <mergeCell ref="K42:M42"/>
    <mergeCell ref="K50:M50"/>
    <mergeCell ref="A1:U3"/>
    <mergeCell ref="A4:Y4"/>
    <mergeCell ref="K37:M37"/>
    <mergeCell ref="K38:M38"/>
    <mergeCell ref="N25:O25"/>
    <mergeCell ref="N21:O21"/>
    <mergeCell ref="N22:O22"/>
    <mergeCell ref="N24:O24"/>
    <mergeCell ref="N27:O27"/>
    <mergeCell ref="N28:O28"/>
    <mergeCell ref="N30:O30"/>
    <mergeCell ref="N31:O31"/>
    <mergeCell ref="Q21:R21"/>
  </mergeCells>
  <dataValidations count="1">
    <dataValidation type="whole" allowBlank="1" showInputMessage="1" showErrorMessage="1" errorTitle="ADC" error="Enter the ADC Bit value between 8 bits and 32 bits." promptTitle="ADC" prompt="Enter the ADC Bit value between 8 bits and 32 bits" sqref="N28:O28" xr:uid="{00000000-0002-0000-0000-000001000000}">
      <formula1>8</formula1>
      <formula2>32</formula2>
    </dataValidation>
  </dataValidations>
  <hyperlinks>
    <hyperlink ref="K51:L51" location="'Misc Formulas'!A1" display="Misc Formulas" xr:uid="{00000000-0004-0000-0000-000000000000}"/>
    <hyperlink ref="K37" location="'Device Resistance Tables'!A1" display="Device Resistance Tables" xr:uid="{00000000-0004-0000-0000-000001000000}"/>
    <hyperlink ref="K41" location="'4th order poly regression'!A1" display="4th order poly regression" xr:uid="{00000000-0004-0000-0000-000002000000}"/>
    <hyperlink ref="K43" location="'Steinhart-Hart (PTC)'!A1" display="Steinhart-Hart (PTC)" xr:uid="{00000000-0004-0000-0000-000003000000}"/>
    <hyperlink ref="K44" location="'Lookup table'!A1" display="Lookup table" xr:uid="{00000000-0004-0000-0000-000004000000}"/>
    <hyperlink ref="K46" location="'2 point temperture calcs'!A1" display="2 point temperature calcs" xr:uid="{00000000-0004-0000-0000-000005000000}"/>
    <hyperlink ref="K38" location="'NTC Thermistor Comparison'!A1" display="NTC Thermistor Comparison" xr:uid="{00000000-0004-0000-0000-000006000000}"/>
    <hyperlink ref="K45:M45" location="'Interpolation from Lookup Table'!A5" display="Interpolation from Lookup Table" xr:uid="{00000000-0004-0000-0000-000007000000}"/>
    <hyperlink ref="K51:M51" location="'Basic Formulas'!A5" display="Basic Formulas" xr:uid="{00000000-0004-0000-0000-000008000000}"/>
    <hyperlink ref="K46:M46" location="'Threshold Detection'!A5" display="Threshold Detection" xr:uid="{00000000-0004-0000-0000-000009000000}"/>
    <hyperlink ref="K43:M43" location="'Steinhart-Hart'!A5" display="Steinhart-Hart" xr:uid="{00000000-0004-0000-0000-00000A000000}"/>
    <hyperlink ref="K41:M41" location="'4th Order Polynomial TMP vs Res'!A1" display="4th Order Polynomial TMP vs Res" xr:uid="{00000000-0004-0000-0000-00000B000000}"/>
    <hyperlink ref="K49:M49" location="Averaging!A5" display="Averaging" xr:uid="{00000000-0004-0000-0000-00000C000000}"/>
    <hyperlink ref="K52:M52" location="'RBias TCR_PPM'!A5" display="RBias TCR_PPM" xr:uid="{00000000-0004-0000-0000-00000D000000}"/>
    <hyperlink ref="K44:M44" location="'Lookup Table'!A5" display="Lookup Table" xr:uid="{00000000-0004-0000-0000-00000E000000}"/>
    <hyperlink ref="K38:M38" location="'NTC Thermistor Comparison'!A5" display="NTC Thermistor Comparison" xr:uid="{00000000-0004-0000-0000-00000F000000}"/>
    <hyperlink ref="K37:M37" location="'Device Resistance Tables'!A5" display="Device Resistance Tables" xr:uid="{00000000-0004-0000-0000-000010000000}"/>
    <hyperlink ref="K42" location="'4th order poly regression'!A1" display="4th order poly regression" xr:uid="{00000000-0004-0000-0000-000011000000}"/>
    <hyperlink ref="K42:M42" location="'4th Order Polynomial TMP vs Vdc'!A1" display="4th Order Polynomial TMP vs Vdc" xr:uid="{00000000-0004-0000-0000-000012000000}"/>
    <hyperlink ref="K50:L50" location="'Misc Formulas'!A1" display="Misc Formulas" xr:uid="{00000000-0004-0000-0000-000013000000}"/>
    <hyperlink ref="K50:M50" location="'Low Pass Filter'!A1" display="Low Pass Filter" xr:uid="{00000000-0004-0000-0000-000014000000}"/>
    <hyperlink ref="M6" r:id="rId1" xr:uid="{BACE481E-C877-4117-AE75-1EEBFED18E9B}"/>
  </hyperlinks>
  <pageMargins left="0.25" right="0.25" top="0.25" bottom="0.25" header="0.3" footer="0.3"/>
  <pageSetup orientation="portrait" r:id="rId2"/>
  <headerFooter>
    <oddHeader>&amp;L&amp;G</oddHeader>
  </headerFooter>
  <drawing r:id="rId3"/>
  <legacyDrawing r:id="rId4"/>
  <legacyDrawingHF r:id="rId5"/>
  <oleObjects>
    <mc:AlternateContent xmlns:mc="http://schemas.openxmlformats.org/markup-compatibility/2006">
      <mc:Choice Requires="x14">
        <oleObject progId="Visio.Drawing.15" shapeId="1025" r:id="rId6">
          <objectPr defaultSize="0" autoPict="0" r:id="rId7">
            <anchor moveWithCells="1">
              <from>
                <xdr:col>18</xdr:col>
                <xdr:colOff>381000</xdr:colOff>
                <xdr:row>13</xdr:row>
                <xdr:rowOff>161925</xdr:rowOff>
              </from>
              <to>
                <xdr:col>21</xdr:col>
                <xdr:colOff>571500</xdr:colOff>
                <xdr:row>36</xdr:row>
                <xdr:rowOff>95250</xdr:rowOff>
              </to>
            </anchor>
          </objectPr>
        </oleObject>
      </mc:Choice>
      <mc:Fallback>
        <oleObject progId="Visio.Drawing.15" shapeId="1025" r:id="rId6"/>
      </mc:Fallback>
    </mc:AlternateContent>
  </oleObjec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2000000}">
          <x14:formula1>
            <xm:f>Coefficients!$E$2:$E$28</xm:f>
          </x14:formula1>
          <xm:sqref>N22</xm:sqref>
        </x14:dataValidation>
        <x14:dataValidation type="decimal" allowBlank="1" showInputMessage="1" showErrorMessage="1" errorTitle="Enter VBias Voltage" error="Enter a VBias voltage between the min and max Vdc" promptTitle="VBias" prompt="Enter a VBias voltage between the min and max Vdc" xr:uid="{00000000-0002-0000-0000-000000000000}">
          <x14:formula1>
            <xm:f>Coefficients!J36</xm:f>
          </x14:formula1>
          <x14:formula2>
            <xm:f>Coefficients!J37</xm:f>
          </x14:formula2>
          <xm:sqref>N25:O25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Y216"/>
  <sheetViews>
    <sheetView topLeftCell="K1" zoomScale="80" zoomScaleNormal="80" workbookViewId="0">
      <selection activeCell="S1" sqref="S1"/>
    </sheetView>
  </sheetViews>
  <sheetFormatPr defaultRowHeight="12.75" x14ac:dyDescent="0.2"/>
  <cols>
    <col min="1" max="1" width="16.7109375" style="287" customWidth="1"/>
    <col min="2" max="2" width="19" style="287" customWidth="1"/>
    <col min="3" max="3" width="20.42578125" style="287" customWidth="1"/>
    <col min="4" max="4" width="13.85546875" customWidth="1"/>
    <col min="5" max="5" width="22.85546875" bestFit="1" customWidth="1"/>
    <col min="6" max="8" width="17.7109375" customWidth="1"/>
    <col min="9" max="9" width="19.7109375" customWidth="1"/>
    <col min="10" max="11" width="17.7109375" customWidth="1"/>
    <col min="12" max="12" width="13.7109375" bestFit="1" customWidth="1"/>
    <col min="13" max="13" width="21.28515625" customWidth="1"/>
    <col min="14" max="14" width="12.5703125" style="285" customWidth="1"/>
    <col min="15" max="15" width="18.140625" customWidth="1"/>
    <col min="16" max="16" width="16.85546875" style="340" customWidth="1"/>
    <col min="17" max="17" width="11.42578125" customWidth="1"/>
    <col min="18" max="18" width="14.28515625" customWidth="1"/>
    <col min="19" max="19" width="17.28515625" customWidth="1"/>
    <col min="20" max="20" width="13.85546875" customWidth="1"/>
    <col min="21" max="25" width="14.85546875" customWidth="1"/>
  </cols>
  <sheetData>
    <row r="1" spans="1:20" ht="15.75" x14ac:dyDescent="0.25">
      <c r="A1" s="324" t="s">
        <v>11</v>
      </c>
      <c r="B1" s="364"/>
      <c r="C1" s="364"/>
      <c r="D1" s="117"/>
      <c r="E1" s="5" t="s">
        <v>238</v>
      </c>
      <c r="F1" s="5" t="s">
        <v>240</v>
      </c>
      <c r="G1" s="5"/>
      <c r="H1" s="5" t="s">
        <v>239</v>
      </c>
      <c r="I1" s="5" t="s">
        <v>508</v>
      </c>
      <c r="J1" s="5" t="s">
        <v>699</v>
      </c>
      <c r="K1" s="5" t="s">
        <v>700</v>
      </c>
      <c r="N1" s="278" t="s">
        <v>419</v>
      </c>
      <c r="O1" s="279"/>
      <c r="P1" s="279"/>
      <c r="Q1" s="279"/>
      <c r="R1" s="371" t="s">
        <v>630</v>
      </c>
      <c r="S1" s="404" t="s">
        <v>631</v>
      </c>
      <c r="T1" s="372" t="s">
        <v>632</v>
      </c>
    </row>
    <row r="2" spans="1:20" x14ac:dyDescent="0.2">
      <c r="A2" s="344">
        <v>1</v>
      </c>
      <c r="B2" s="363"/>
      <c r="C2" s="363"/>
      <c r="D2" s="2"/>
      <c r="E2" s="105" t="s">
        <v>343</v>
      </c>
      <c r="F2" s="2">
        <v>10000</v>
      </c>
      <c r="G2" s="2" t="s">
        <v>1</v>
      </c>
      <c r="H2" s="240">
        <v>125</v>
      </c>
      <c r="I2" s="2">
        <v>-40</v>
      </c>
      <c r="J2" s="407">
        <v>0.3</v>
      </c>
      <c r="K2" s="407">
        <v>6.5</v>
      </c>
    </row>
    <row r="3" spans="1:20" x14ac:dyDescent="0.2">
      <c r="A3" s="344">
        <v>2</v>
      </c>
      <c r="B3" s="363"/>
      <c r="C3" s="363"/>
      <c r="D3" s="2"/>
      <c r="E3" s="105" t="s">
        <v>344</v>
      </c>
      <c r="F3" s="2">
        <v>10000</v>
      </c>
      <c r="G3" s="2" t="s">
        <v>1</v>
      </c>
      <c r="H3" s="240">
        <v>125</v>
      </c>
      <c r="I3" s="2">
        <v>-40</v>
      </c>
      <c r="J3" s="407">
        <v>0.3</v>
      </c>
      <c r="K3" s="407">
        <v>6.5</v>
      </c>
    </row>
    <row r="4" spans="1:20" x14ac:dyDescent="0.2">
      <c r="A4" s="344">
        <v>3</v>
      </c>
      <c r="B4" s="363"/>
      <c r="C4" s="363"/>
      <c r="D4" s="2"/>
      <c r="E4" s="105" t="s">
        <v>345</v>
      </c>
      <c r="F4" s="2">
        <v>10000</v>
      </c>
      <c r="G4" s="2" t="s">
        <v>1</v>
      </c>
      <c r="H4" s="240">
        <v>125</v>
      </c>
      <c r="I4" s="2">
        <v>-40</v>
      </c>
      <c r="J4" s="407">
        <v>0.3</v>
      </c>
      <c r="K4" s="407">
        <v>6.5</v>
      </c>
      <c r="N4" s="341" t="s">
        <v>72</v>
      </c>
      <c r="O4" s="5" t="s">
        <v>425</v>
      </c>
      <c r="P4" s="343" t="s">
        <v>426</v>
      </c>
      <c r="Q4" s="5" t="s">
        <v>427</v>
      </c>
    </row>
    <row r="5" spans="1:20" x14ac:dyDescent="0.2">
      <c r="A5" s="344">
        <v>4</v>
      </c>
      <c r="B5" s="363"/>
      <c r="C5" s="363"/>
      <c r="D5" s="2"/>
      <c r="E5" s="105" t="s">
        <v>346</v>
      </c>
      <c r="F5" s="2">
        <v>10000</v>
      </c>
      <c r="G5" s="2" t="s">
        <v>1</v>
      </c>
      <c r="H5" s="240">
        <v>125</v>
      </c>
      <c r="I5" s="2">
        <v>-40</v>
      </c>
      <c r="J5" s="407">
        <v>0.3</v>
      </c>
      <c r="K5" s="407">
        <v>6.5</v>
      </c>
      <c r="N5" s="285">
        <v>1</v>
      </c>
      <c r="O5" s="286">
        <v>43803</v>
      </c>
      <c r="Q5" t="s">
        <v>424</v>
      </c>
    </row>
    <row r="6" spans="1:20" x14ac:dyDescent="0.2">
      <c r="A6" s="344">
        <v>5</v>
      </c>
      <c r="B6" s="363"/>
      <c r="C6" s="363"/>
      <c r="D6" s="2"/>
      <c r="E6" s="105" t="s">
        <v>341</v>
      </c>
      <c r="F6" s="2">
        <v>10000</v>
      </c>
      <c r="G6" s="2" t="s">
        <v>1</v>
      </c>
      <c r="H6" s="240">
        <v>150</v>
      </c>
      <c r="I6" s="2">
        <v>-40</v>
      </c>
      <c r="J6" s="407">
        <v>0.3</v>
      </c>
      <c r="K6" s="407">
        <v>6.5</v>
      </c>
      <c r="N6" s="285">
        <v>1.01</v>
      </c>
      <c r="O6" s="286">
        <v>43810</v>
      </c>
      <c r="P6" s="340">
        <v>1</v>
      </c>
      <c r="Q6" t="s">
        <v>422</v>
      </c>
    </row>
    <row r="7" spans="1:20" x14ac:dyDescent="0.2">
      <c r="A7" s="344">
        <v>6</v>
      </c>
      <c r="B7" s="363"/>
      <c r="C7" s="363"/>
      <c r="D7" s="2"/>
      <c r="E7" s="105" t="s">
        <v>481</v>
      </c>
      <c r="F7" s="2">
        <v>10000</v>
      </c>
      <c r="G7" s="2" t="s">
        <v>1</v>
      </c>
      <c r="H7" s="240">
        <v>150</v>
      </c>
      <c r="I7" s="2">
        <v>-40</v>
      </c>
      <c r="J7" s="407">
        <v>0.3</v>
      </c>
      <c r="K7" s="407">
        <v>6.5</v>
      </c>
      <c r="P7" s="340">
        <v>2</v>
      </c>
      <c r="Q7" t="s">
        <v>423</v>
      </c>
    </row>
    <row r="8" spans="1:20" ht="15" x14ac:dyDescent="0.2">
      <c r="A8" s="344">
        <v>7</v>
      </c>
      <c r="B8" s="363"/>
      <c r="C8" s="363"/>
      <c r="D8" s="2"/>
      <c r="E8" s="105" t="s">
        <v>342</v>
      </c>
      <c r="F8" s="2">
        <v>10000</v>
      </c>
      <c r="G8" s="2" t="s">
        <v>1</v>
      </c>
      <c r="H8" s="240">
        <v>150</v>
      </c>
      <c r="I8" s="2">
        <v>-40</v>
      </c>
      <c r="J8" s="407">
        <v>0.3</v>
      </c>
      <c r="K8" s="407">
        <v>6.5</v>
      </c>
      <c r="P8" s="340">
        <v>3</v>
      </c>
      <c r="Q8" s="320" t="s">
        <v>473</v>
      </c>
    </row>
    <row r="9" spans="1:20" ht="15" customHeight="1" x14ac:dyDescent="0.2">
      <c r="A9" s="344">
        <v>8</v>
      </c>
      <c r="B9" s="363"/>
      <c r="C9" s="363"/>
      <c r="D9" s="2"/>
      <c r="E9" s="105" t="s">
        <v>482</v>
      </c>
      <c r="F9" s="2">
        <v>10000</v>
      </c>
      <c r="G9" s="2" t="s">
        <v>1</v>
      </c>
      <c r="H9" s="240">
        <v>150</v>
      </c>
      <c r="I9" s="2">
        <v>-40</v>
      </c>
      <c r="J9" s="407">
        <v>0.3</v>
      </c>
      <c r="K9" s="407">
        <v>6.5</v>
      </c>
      <c r="N9" s="285">
        <v>1.02</v>
      </c>
      <c r="O9" s="286">
        <v>43816</v>
      </c>
      <c r="P9" s="340">
        <v>1</v>
      </c>
      <c r="Q9" s="320" t="s">
        <v>472</v>
      </c>
    </row>
    <row r="10" spans="1:20" ht="15" x14ac:dyDescent="0.2">
      <c r="A10" s="344">
        <v>9</v>
      </c>
      <c r="B10" s="363"/>
      <c r="C10" s="363"/>
      <c r="D10" s="2"/>
      <c r="E10" s="105" t="s">
        <v>338</v>
      </c>
      <c r="F10" s="2">
        <v>10000</v>
      </c>
      <c r="G10" s="2" t="s">
        <v>1</v>
      </c>
      <c r="H10" s="240">
        <v>150</v>
      </c>
      <c r="I10" s="2">
        <v>-40</v>
      </c>
      <c r="J10" s="407">
        <v>0.3</v>
      </c>
      <c r="K10" s="407">
        <v>6.5</v>
      </c>
      <c r="P10" s="340">
        <v>2</v>
      </c>
      <c r="Q10" s="320" t="s">
        <v>474</v>
      </c>
    </row>
    <row r="11" spans="1:20" ht="17.25" x14ac:dyDescent="0.2">
      <c r="A11" s="344">
        <v>10</v>
      </c>
      <c r="B11" s="363"/>
      <c r="C11" s="363"/>
      <c r="D11" s="2"/>
      <c r="E11" s="105" t="s">
        <v>339</v>
      </c>
      <c r="F11" s="2">
        <v>10000</v>
      </c>
      <c r="G11" s="2" t="s">
        <v>1</v>
      </c>
      <c r="H11" s="240">
        <v>150</v>
      </c>
      <c r="I11" s="2">
        <v>-40</v>
      </c>
      <c r="J11" s="407">
        <v>0.3</v>
      </c>
      <c r="K11" s="407">
        <v>6.5</v>
      </c>
      <c r="P11" s="340">
        <v>3</v>
      </c>
      <c r="Q11" s="320" t="s">
        <v>475</v>
      </c>
    </row>
    <row r="12" spans="1:20" ht="15" x14ac:dyDescent="0.2">
      <c r="A12" s="344">
        <v>11</v>
      </c>
      <c r="B12" s="363"/>
      <c r="C12" s="363"/>
      <c r="D12" s="2"/>
      <c r="E12" s="105" t="s">
        <v>340</v>
      </c>
      <c r="F12" s="2">
        <v>10000</v>
      </c>
      <c r="G12" s="2" t="s">
        <v>1</v>
      </c>
      <c r="H12" s="240">
        <v>170</v>
      </c>
      <c r="I12" s="2">
        <v>-40</v>
      </c>
      <c r="J12" s="407">
        <v>0.8</v>
      </c>
      <c r="K12" s="407">
        <v>5.5</v>
      </c>
      <c r="P12" s="340">
        <v>4</v>
      </c>
      <c r="Q12" s="320" t="s">
        <v>476</v>
      </c>
    </row>
    <row r="13" spans="1:20" ht="15" x14ac:dyDescent="0.2">
      <c r="A13" s="344">
        <v>12</v>
      </c>
      <c r="B13" s="363"/>
      <c r="C13" s="363"/>
      <c r="D13" s="2"/>
      <c r="E13" s="105" t="s">
        <v>336</v>
      </c>
      <c r="F13" s="2">
        <v>100000</v>
      </c>
      <c r="G13" s="2" t="s">
        <v>1</v>
      </c>
      <c r="H13" s="240">
        <v>125</v>
      </c>
      <c r="I13" s="2">
        <v>-40</v>
      </c>
      <c r="J13" s="407">
        <v>0.8</v>
      </c>
      <c r="K13" s="407">
        <v>5.5</v>
      </c>
      <c r="N13" s="285">
        <v>1.03</v>
      </c>
      <c r="O13" s="286">
        <v>43817</v>
      </c>
      <c r="P13" s="340">
        <v>1</v>
      </c>
      <c r="Q13" s="320" t="s">
        <v>477</v>
      </c>
    </row>
    <row r="14" spans="1:20" ht="15" x14ac:dyDescent="0.2">
      <c r="A14" s="344">
        <v>13</v>
      </c>
      <c r="B14" s="363"/>
      <c r="C14" s="363"/>
      <c r="D14" s="2"/>
      <c r="E14" s="105" t="s">
        <v>483</v>
      </c>
      <c r="F14" s="2">
        <v>100000</v>
      </c>
      <c r="G14" s="2" t="s">
        <v>1</v>
      </c>
      <c r="H14" s="240">
        <v>125</v>
      </c>
      <c r="I14" s="2">
        <v>-40</v>
      </c>
      <c r="J14" s="407">
        <v>0.8</v>
      </c>
      <c r="K14" s="407">
        <v>5.5</v>
      </c>
      <c r="P14" s="340">
        <v>2</v>
      </c>
      <c r="Q14" s="320" t="s">
        <v>478</v>
      </c>
    </row>
    <row r="15" spans="1:20" ht="15" x14ac:dyDescent="0.2">
      <c r="A15" s="344">
        <v>14</v>
      </c>
      <c r="B15" s="363"/>
      <c r="C15" s="363"/>
      <c r="D15" s="2"/>
      <c r="E15" s="105" t="s">
        <v>337</v>
      </c>
      <c r="F15" s="2">
        <v>100000</v>
      </c>
      <c r="G15" s="2" t="s">
        <v>1</v>
      </c>
      <c r="H15" s="240">
        <v>125</v>
      </c>
      <c r="I15" s="2">
        <v>-40</v>
      </c>
      <c r="J15" s="407">
        <v>0.8</v>
      </c>
      <c r="K15" s="407">
        <v>5.5</v>
      </c>
      <c r="N15" s="285">
        <v>1.1000000000000001</v>
      </c>
      <c r="O15" s="286">
        <v>43817</v>
      </c>
      <c r="P15" s="340">
        <v>1</v>
      </c>
      <c r="Q15" s="320" t="s">
        <v>479</v>
      </c>
    </row>
    <row r="16" spans="1:20" ht="15" x14ac:dyDescent="0.2">
      <c r="A16" s="344">
        <v>15</v>
      </c>
      <c r="B16" s="363"/>
      <c r="C16" s="363"/>
      <c r="D16" s="2"/>
      <c r="E16" s="105" t="s">
        <v>484</v>
      </c>
      <c r="F16" s="2">
        <v>100000</v>
      </c>
      <c r="G16" s="2" t="s">
        <v>1</v>
      </c>
      <c r="H16" s="240">
        <v>125</v>
      </c>
      <c r="I16" s="2">
        <v>-40</v>
      </c>
      <c r="J16" s="407">
        <v>0.8</v>
      </c>
      <c r="K16" s="407">
        <v>5.5</v>
      </c>
      <c r="N16" s="285">
        <v>1.1100000000000001</v>
      </c>
      <c r="O16" s="286">
        <v>43839</v>
      </c>
      <c r="P16" s="340">
        <v>1</v>
      </c>
      <c r="Q16" s="320" t="s">
        <v>480</v>
      </c>
    </row>
    <row r="17" spans="1:18" ht="15" x14ac:dyDescent="0.2">
      <c r="A17" s="344">
        <v>16</v>
      </c>
      <c r="B17" s="363"/>
      <c r="C17" s="363"/>
      <c r="D17" s="240"/>
      <c r="E17" s="357" t="s">
        <v>563</v>
      </c>
      <c r="F17" s="240">
        <v>100000</v>
      </c>
      <c r="G17" s="240" t="s">
        <v>1</v>
      </c>
      <c r="H17" s="240">
        <v>150</v>
      </c>
      <c r="I17" s="240">
        <v>-40</v>
      </c>
      <c r="J17" s="407">
        <v>0.8</v>
      </c>
      <c r="K17" s="407">
        <v>5.5</v>
      </c>
      <c r="N17" s="285">
        <v>1.1200000000000001</v>
      </c>
      <c r="O17" s="286">
        <v>43840</v>
      </c>
      <c r="P17" s="340">
        <v>1</v>
      </c>
      <c r="Q17" s="320" t="s">
        <v>485</v>
      </c>
    </row>
    <row r="18" spans="1:18" ht="15" x14ac:dyDescent="0.2">
      <c r="A18" s="344">
        <v>17</v>
      </c>
      <c r="B18" s="363"/>
      <c r="C18" s="363"/>
      <c r="D18" s="240"/>
      <c r="E18" s="357" t="s">
        <v>564</v>
      </c>
      <c r="F18" s="240">
        <v>100000</v>
      </c>
      <c r="G18" s="240" t="s">
        <v>1</v>
      </c>
      <c r="H18" s="240">
        <v>150</v>
      </c>
      <c r="I18" s="240">
        <v>-40</v>
      </c>
      <c r="J18" s="407">
        <v>0.8</v>
      </c>
      <c r="K18" s="407">
        <v>5.5</v>
      </c>
      <c r="N18" s="285">
        <v>1.1299999999999999</v>
      </c>
      <c r="O18" s="286">
        <v>43843</v>
      </c>
      <c r="P18" s="340">
        <v>1</v>
      </c>
      <c r="Q18" s="320" t="s">
        <v>506</v>
      </c>
    </row>
    <row r="19" spans="1:18" ht="15" x14ac:dyDescent="0.2">
      <c r="A19" s="344">
        <v>18</v>
      </c>
      <c r="B19" s="363"/>
      <c r="C19" s="363"/>
      <c r="D19" s="240"/>
      <c r="E19" s="357" t="s">
        <v>565</v>
      </c>
      <c r="F19" s="240">
        <v>100000</v>
      </c>
      <c r="G19" s="240" t="s">
        <v>1</v>
      </c>
      <c r="H19" s="240">
        <v>150</v>
      </c>
      <c r="I19" s="240">
        <v>-40</v>
      </c>
      <c r="J19" s="407">
        <v>0.8</v>
      </c>
      <c r="K19" s="407">
        <v>5.5</v>
      </c>
      <c r="N19" s="285">
        <v>1.2</v>
      </c>
      <c r="O19" s="286">
        <v>43850</v>
      </c>
      <c r="P19" s="340">
        <v>1</v>
      </c>
      <c r="Q19" s="320" t="s">
        <v>507</v>
      </c>
    </row>
    <row r="20" spans="1:18" ht="15" x14ac:dyDescent="0.2">
      <c r="A20" s="344">
        <v>19</v>
      </c>
      <c r="B20" s="363"/>
      <c r="C20" s="363"/>
      <c r="D20" s="240"/>
      <c r="E20" s="357" t="s">
        <v>566</v>
      </c>
      <c r="F20" s="240">
        <v>100000</v>
      </c>
      <c r="G20" s="240" t="s">
        <v>1</v>
      </c>
      <c r="H20" s="240">
        <v>150</v>
      </c>
      <c r="I20" s="240">
        <v>-40</v>
      </c>
      <c r="J20" s="407">
        <v>0.8</v>
      </c>
      <c r="K20" s="407">
        <v>5.5</v>
      </c>
      <c r="P20" s="340">
        <v>2</v>
      </c>
      <c r="Q20" s="320" t="s">
        <v>510</v>
      </c>
    </row>
    <row r="21" spans="1:18" ht="15" x14ac:dyDescent="0.2">
      <c r="A21" s="344">
        <v>20</v>
      </c>
      <c r="B21" s="363"/>
      <c r="C21" s="363"/>
      <c r="D21" s="240"/>
      <c r="E21" s="357" t="s">
        <v>404</v>
      </c>
      <c r="F21" s="240">
        <v>47000</v>
      </c>
      <c r="G21" s="240" t="s">
        <v>1</v>
      </c>
      <c r="H21" s="240">
        <v>125</v>
      </c>
      <c r="I21" s="240">
        <v>-40</v>
      </c>
      <c r="J21" s="407">
        <v>0.8</v>
      </c>
      <c r="K21" s="407">
        <v>5.5</v>
      </c>
      <c r="P21" s="340">
        <v>3</v>
      </c>
      <c r="Q21" s="320" t="s">
        <v>511</v>
      </c>
    </row>
    <row r="22" spans="1:18" ht="15" x14ac:dyDescent="0.2">
      <c r="A22" s="344">
        <v>21</v>
      </c>
      <c r="B22" s="363"/>
      <c r="C22" s="363"/>
      <c r="D22" s="247"/>
      <c r="E22" s="358" t="s">
        <v>405</v>
      </c>
      <c r="F22" s="247">
        <v>47000</v>
      </c>
      <c r="G22" s="247" t="s">
        <v>1</v>
      </c>
      <c r="H22" s="247">
        <v>125</v>
      </c>
      <c r="I22" s="247">
        <v>-40</v>
      </c>
      <c r="J22" s="407">
        <v>0.8</v>
      </c>
      <c r="K22" s="407">
        <v>5.5</v>
      </c>
      <c r="P22" s="340">
        <v>4</v>
      </c>
      <c r="Q22" s="320" t="s">
        <v>516</v>
      </c>
    </row>
    <row r="23" spans="1:18" ht="15" x14ac:dyDescent="0.2">
      <c r="A23" s="344">
        <v>22</v>
      </c>
      <c r="B23" s="363"/>
      <c r="C23" s="363"/>
      <c r="D23" s="240"/>
      <c r="E23" s="240" t="s">
        <v>567</v>
      </c>
      <c r="F23" s="240">
        <v>47000</v>
      </c>
      <c r="G23" s="240" t="s">
        <v>1</v>
      </c>
      <c r="H23" s="240">
        <v>150</v>
      </c>
      <c r="I23" s="240">
        <v>-40</v>
      </c>
      <c r="J23" s="407">
        <v>0.8</v>
      </c>
      <c r="K23" s="407">
        <v>5.5</v>
      </c>
      <c r="N23" s="285">
        <v>1.3</v>
      </c>
      <c r="O23" s="286">
        <v>43873</v>
      </c>
      <c r="P23" s="340">
        <v>1</v>
      </c>
      <c r="Q23" s="320" t="s">
        <v>517</v>
      </c>
    </row>
    <row r="24" spans="1:18" ht="15" x14ac:dyDescent="0.2">
      <c r="A24" s="344">
        <v>23</v>
      </c>
      <c r="B24" s="363"/>
      <c r="C24" s="363"/>
      <c r="D24" s="240"/>
      <c r="E24" s="240" t="s">
        <v>568</v>
      </c>
      <c r="F24" s="240">
        <v>47000</v>
      </c>
      <c r="G24" s="240" t="s">
        <v>1</v>
      </c>
      <c r="H24" s="240">
        <v>150</v>
      </c>
      <c r="I24" s="359">
        <v>-40</v>
      </c>
      <c r="J24" s="407">
        <v>0.8</v>
      </c>
      <c r="K24" s="407">
        <v>5.5</v>
      </c>
      <c r="P24" s="340">
        <v>2</v>
      </c>
      <c r="Q24" s="320" t="s">
        <v>557</v>
      </c>
      <c r="R24" s="287"/>
    </row>
    <row r="25" spans="1:18" ht="15" x14ac:dyDescent="0.2">
      <c r="A25" s="363">
        <v>24</v>
      </c>
      <c r="B25" s="363"/>
      <c r="C25" s="363"/>
      <c r="D25" s="240"/>
      <c r="E25" s="240" t="s">
        <v>611</v>
      </c>
      <c r="F25" s="247">
        <v>47000</v>
      </c>
      <c r="G25" s="240" t="s">
        <v>1</v>
      </c>
      <c r="H25" s="240">
        <v>150</v>
      </c>
      <c r="I25" s="359">
        <v>-40</v>
      </c>
      <c r="J25" s="407">
        <v>0.8</v>
      </c>
      <c r="K25" s="407">
        <v>5.5</v>
      </c>
      <c r="N25" s="285">
        <v>1.31</v>
      </c>
      <c r="O25" s="286">
        <v>43875</v>
      </c>
      <c r="P25" s="340">
        <v>1</v>
      </c>
      <c r="Q25" s="320" t="s">
        <v>558</v>
      </c>
      <c r="R25" s="287"/>
    </row>
    <row r="26" spans="1:18" ht="15" x14ac:dyDescent="0.2">
      <c r="A26" s="363">
        <v>25</v>
      </c>
      <c r="B26" s="363"/>
      <c r="C26" s="363"/>
      <c r="D26" s="240"/>
      <c r="E26" s="240" t="s">
        <v>612</v>
      </c>
      <c r="F26" s="240">
        <v>47000</v>
      </c>
      <c r="G26" s="240" t="s">
        <v>1</v>
      </c>
      <c r="H26" s="240">
        <v>150</v>
      </c>
      <c r="I26" s="359">
        <v>-40</v>
      </c>
      <c r="J26" s="407">
        <v>0.8</v>
      </c>
      <c r="K26" s="407">
        <v>5.5</v>
      </c>
      <c r="N26" s="285">
        <v>1.4</v>
      </c>
      <c r="O26" s="286">
        <v>44147</v>
      </c>
      <c r="P26" s="340">
        <v>1</v>
      </c>
      <c r="Q26" s="320" t="s">
        <v>627</v>
      </c>
      <c r="R26" s="287"/>
    </row>
    <row r="27" spans="1:18" ht="15.75" thickBot="1" x14ac:dyDescent="0.25">
      <c r="A27" s="344">
        <v>26</v>
      </c>
      <c r="B27" s="363"/>
      <c r="C27" s="363"/>
      <c r="D27" s="240"/>
      <c r="E27" s="357" t="s">
        <v>569</v>
      </c>
      <c r="F27" s="240">
        <v>47000</v>
      </c>
      <c r="G27" s="240" t="s">
        <v>1</v>
      </c>
      <c r="H27" s="240">
        <v>125</v>
      </c>
      <c r="I27" s="359">
        <v>-40</v>
      </c>
      <c r="J27" s="407">
        <v>0.8</v>
      </c>
      <c r="K27" s="407">
        <v>5.5</v>
      </c>
      <c r="O27" s="286"/>
      <c r="P27" s="340">
        <v>2</v>
      </c>
      <c r="Q27" s="320" t="s">
        <v>628</v>
      </c>
      <c r="R27" s="287"/>
    </row>
    <row r="28" spans="1:18" ht="15" x14ac:dyDescent="0.2">
      <c r="A28" s="362">
        <v>27</v>
      </c>
      <c r="B28" s="362"/>
      <c r="C28" s="362"/>
      <c r="D28" s="360"/>
      <c r="E28" s="361" t="s">
        <v>570</v>
      </c>
      <c r="F28" s="360">
        <v>47000</v>
      </c>
      <c r="G28" s="360" t="s">
        <v>1</v>
      </c>
      <c r="H28" s="360">
        <v>125</v>
      </c>
      <c r="I28" s="360">
        <v>-40</v>
      </c>
      <c r="J28" s="408">
        <v>0.8</v>
      </c>
      <c r="K28" s="408">
        <v>5.5</v>
      </c>
      <c r="L28" s="346"/>
      <c r="M28" s="346"/>
      <c r="P28" s="340">
        <v>3</v>
      </c>
      <c r="Q28" s="320" t="s">
        <v>633</v>
      </c>
    </row>
    <row r="29" spans="1:18" ht="15" x14ac:dyDescent="0.2">
      <c r="A29" s="344"/>
      <c r="B29" s="363"/>
      <c r="C29" s="363"/>
      <c r="D29" s="2"/>
      <c r="E29" s="2"/>
      <c r="F29" s="2"/>
      <c r="G29" s="2"/>
      <c r="H29" s="2"/>
      <c r="I29" s="2"/>
      <c r="J29" s="352" t="s">
        <v>698</v>
      </c>
      <c r="K29" s="114"/>
      <c r="L29" s="114"/>
      <c r="M29" s="114"/>
      <c r="N29" s="285">
        <v>1.401</v>
      </c>
      <c r="O29" s="286">
        <v>44162</v>
      </c>
      <c r="P29" s="340">
        <v>1</v>
      </c>
      <c r="Q29" s="320" t="s">
        <v>634</v>
      </c>
    </row>
    <row r="30" spans="1:18" ht="15" x14ac:dyDescent="0.2">
      <c r="J30" s="352" t="s">
        <v>697</v>
      </c>
      <c r="N30" s="285">
        <v>1.5</v>
      </c>
      <c r="O30" s="286">
        <v>44251</v>
      </c>
      <c r="P30" s="340">
        <v>1</v>
      </c>
      <c r="Q30" s="320" t="s">
        <v>690</v>
      </c>
    </row>
    <row r="31" spans="1:18" ht="15" x14ac:dyDescent="0.2">
      <c r="J31" s="352" t="s">
        <v>559</v>
      </c>
      <c r="P31" s="340">
        <v>2</v>
      </c>
      <c r="Q31" s="320" t="s">
        <v>691</v>
      </c>
    </row>
    <row r="32" spans="1:18" ht="15" x14ac:dyDescent="0.2">
      <c r="J32" s="352" t="s">
        <v>562</v>
      </c>
      <c r="K32" s="264"/>
      <c r="P32" s="340">
        <v>3</v>
      </c>
      <c r="Q32" s="320" t="s">
        <v>653</v>
      </c>
    </row>
    <row r="33" spans="1:25" ht="15" x14ac:dyDescent="0.2">
      <c r="P33" s="340">
        <v>4</v>
      </c>
      <c r="Q33" s="320" t="s">
        <v>654</v>
      </c>
    </row>
    <row r="34" spans="1:25" ht="16.5" thickBot="1" x14ac:dyDescent="0.3">
      <c r="I34" s="413" t="s">
        <v>702</v>
      </c>
      <c r="K34" s="264"/>
      <c r="M34" s="109"/>
      <c r="P34" s="340">
        <v>5</v>
      </c>
      <c r="Q34" s="320" t="s">
        <v>686</v>
      </c>
    </row>
    <row r="35" spans="1:25" ht="15.75" thickBot="1" x14ac:dyDescent="0.25">
      <c r="I35" s="410" t="s">
        <v>701</v>
      </c>
      <c r="J35" s="409" t="str">
        <f ca="1">"VBias ("&amp;CELL("contents",$J$36)&amp;"Vdc"&amp;" - "&amp;" "&amp;CELL("contents",$J$37)&amp;"Vdc)"</f>
        <v>VBias (0.3Vdc -  6.5Vdc)</v>
      </c>
      <c r="K35" s="406"/>
      <c r="L35" s="109"/>
      <c r="N35" s="340"/>
      <c r="O35" s="109"/>
      <c r="P35" s="340">
        <v>6</v>
      </c>
      <c r="Q35" s="320" t="s">
        <v>687</v>
      </c>
      <c r="R35" s="340"/>
    </row>
    <row r="36" spans="1:25" ht="15.75" thickBot="1" x14ac:dyDescent="0.25">
      <c r="E36" s="106"/>
      <c r="F36" s="103"/>
      <c r="I36" s="410" t="s">
        <v>703</v>
      </c>
      <c r="J36" s="411">
        <f>VLOOKUP('NTC Thermistor Comparison'!$B$26,Coefficients!$E$2:$K$28,6,FALSE)</f>
        <v>0.3</v>
      </c>
      <c r="K36" s="264"/>
      <c r="L36" s="109"/>
      <c r="N36" s="340"/>
      <c r="O36" s="109"/>
      <c r="P36" s="340">
        <v>7</v>
      </c>
      <c r="Q36" s="320" t="s">
        <v>688</v>
      </c>
      <c r="R36" s="340"/>
    </row>
    <row r="37" spans="1:25" ht="15.75" thickBot="1" x14ac:dyDescent="0.25">
      <c r="I37" s="412" t="s">
        <v>704</v>
      </c>
      <c r="J37" s="411">
        <f>VLOOKUP('NTC Thermistor Comparison'!$B$26,Coefficients!$E$2:$K$28,7,FALSE)</f>
        <v>6.5</v>
      </c>
      <c r="K37" s="264"/>
      <c r="L37" s="109"/>
      <c r="N37" s="405">
        <v>1.51</v>
      </c>
      <c r="O37" s="286">
        <v>44312</v>
      </c>
      <c r="P37" s="340">
        <v>1</v>
      </c>
      <c r="Q37" s="320" t="s">
        <v>710</v>
      </c>
      <c r="R37" s="340"/>
    </row>
    <row r="38" spans="1:25" x14ac:dyDescent="0.2">
      <c r="I38" s="109"/>
      <c r="J38" s="109"/>
      <c r="K38" s="264"/>
      <c r="L38" s="109"/>
      <c r="N38" s="340"/>
      <c r="O38" s="109"/>
      <c r="P38" s="264"/>
      <c r="R38" s="340"/>
    </row>
    <row r="39" spans="1:25" x14ac:dyDescent="0.2">
      <c r="I39" s="109"/>
      <c r="J39" s="109"/>
      <c r="K39" s="109"/>
      <c r="L39" s="109"/>
      <c r="N39" s="340"/>
      <c r="O39" s="109"/>
      <c r="P39" s="264"/>
      <c r="R39" s="340"/>
    </row>
    <row r="40" spans="1:25" x14ac:dyDescent="0.2">
      <c r="I40" s="109"/>
      <c r="J40" s="109"/>
      <c r="K40" s="109"/>
      <c r="L40" s="109"/>
      <c r="N40" s="340"/>
      <c r="O40" s="109"/>
      <c r="P40" s="264"/>
      <c r="R40" s="340"/>
    </row>
    <row r="41" spans="1:25" x14ac:dyDescent="0.2">
      <c r="I41" s="109"/>
      <c r="J41" s="109"/>
      <c r="K41" s="109"/>
      <c r="L41" s="109"/>
      <c r="N41" s="340"/>
      <c r="O41" s="109"/>
      <c r="P41" s="264"/>
      <c r="R41" s="340"/>
    </row>
    <row r="42" spans="1:25" x14ac:dyDescent="0.2">
      <c r="G42" s="277" t="s">
        <v>418</v>
      </c>
      <c r="I42" s="109"/>
      <c r="J42" s="109"/>
      <c r="K42" s="109"/>
      <c r="L42" s="109"/>
      <c r="N42" s="340"/>
      <c r="O42" s="109"/>
      <c r="P42" s="264"/>
      <c r="R42" s="340"/>
    </row>
    <row r="43" spans="1:25" x14ac:dyDescent="0.2">
      <c r="B43" s="287" t="s">
        <v>629</v>
      </c>
      <c r="F43" s="4" t="s">
        <v>241</v>
      </c>
      <c r="I43" s="109"/>
      <c r="J43" s="109"/>
      <c r="K43" s="109"/>
      <c r="L43" s="109"/>
      <c r="N43" s="340"/>
      <c r="O43" s="109"/>
      <c r="P43" s="264"/>
      <c r="R43" s="340"/>
    </row>
    <row r="44" spans="1:25" x14ac:dyDescent="0.2">
      <c r="B44" s="287" t="s">
        <v>616</v>
      </c>
      <c r="D44" s="277" t="s">
        <v>416</v>
      </c>
      <c r="E44" s="277"/>
      <c r="I44" s="109"/>
      <c r="J44" s="109"/>
      <c r="K44" s="109"/>
      <c r="L44" s="109"/>
      <c r="N44" s="340"/>
      <c r="O44" s="109"/>
      <c r="P44" s="264"/>
      <c r="R44" s="340"/>
    </row>
    <row r="45" spans="1:25" x14ac:dyDescent="0.2">
      <c r="A45" s="5" t="s">
        <v>615</v>
      </c>
      <c r="B45" s="5" t="s">
        <v>613</v>
      </c>
      <c r="C45" s="5" t="s">
        <v>614</v>
      </c>
      <c r="D45" s="277" t="s">
        <v>417</v>
      </c>
      <c r="E45" s="277"/>
      <c r="F45" s="115" t="s">
        <v>77</v>
      </c>
      <c r="G45" s="115" t="s">
        <v>78</v>
      </c>
      <c r="H45" s="115" t="s">
        <v>52</v>
      </c>
      <c r="I45" s="115" t="s">
        <v>50</v>
      </c>
      <c r="J45" s="115" t="s">
        <v>79</v>
      </c>
      <c r="K45" s="115" t="s">
        <v>80</v>
      </c>
      <c r="L45" s="390" t="s">
        <v>695</v>
      </c>
      <c r="M45" s="392" t="s">
        <v>343</v>
      </c>
      <c r="N45" s="340"/>
      <c r="O45" s="109"/>
      <c r="P45" s="264"/>
      <c r="R45" s="340"/>
      <c r="S45" t="s">
        <v>693</v>
      </c>
      <c r="T45" s="392" t="s">
        <v>343</v>
      </c>
      <c r="U45" t="s">
        <v>78</v>
      </c>
      <c r="V45" t="s">
        <v>52</v>
      </c>
      <c r="W45" t="s">
        <v>50</v>
      </c>
      <c r="X45" t="s">
        <v>79</v>
      </c>
      <c r="Y45" t="s">
        <v>80</v>
      </c>
    </row>
    <row r="46" spans="1:25" x14ac:dyDescent="0.2">
      <c r="A46" s="287">
        <v>1</v>
      </c>
      <c r="B46" s="287">
        <f>INDEX($A$2:$A$28,MATCH(C46,$E$2:$E$28,0))</f>
        <v>1</v>
      </c>
      <c r="C46" s="104" t="s">
        <v>343</v>
      </c>
      <c r="E46" s="104" t="s">
        <v>347</v>
      </c>
      <c r="F46" s="115" t="s">
        <v>81</v>
      </c>
      <c r="G46" s="107">
        <v>8339.9251945161704</v>
      </c>
      <c r="H46" s="107">
        <v>54.154715686148002</v>
      </c>
      <c r="I46" s="107">
        <v>-5.78616061394467</v>
      </c>
      <c r="J46" s="107">
        <v>1.47111238439537</v>
      </c>
      <c r="K46" s="107">
        <v>-0.115876333353779</v>
      </c>
      <c r="L46" t="s">
        <v>694</v>
      </c>
      <c r="M46" s="374">
        <v>8339.9251945161704</v>
      </c>
      <c r="N46" s="374">
        <v>54.154715686148002</v>
      </c>
      <c r="O46" s="374">
        <v>-5.78616061394467</v>
      </c>
      <c r="P46" s="374">
        <v>1.47111238439537</v>
      </c>
      <c r="Q46" s="374">
        <v>-0.115876333353779</v>
      </c>
      <c r="R46" s="340"/>
      <c r="S46" t="s">
        <v>694</v>
      </c>
      <c r="T46" t="s">
        <v>81</v>
      </c>
      <c r="U46" s="109">
        <v>8339.9251945161704</v>
      </c>
      <c r="V46" s="109">
        <v>54.154715686148002</v>
      </c>
      <c r="W46" s="109">
        <v>-5.78616061394467</v>
      </c>
      <c r="X46" s="109">
        <v>1.47111238439537</v>
      </c>
      <c r="Y46" s="109">
        <v>-0.115876333353779</v>
      </c>
    </row>
    <row r="47" spans="1:25" x14ac:dyDescent="0.2">
      <c r="B47" s="373">
        <f>INDEX($F$2:$F$28,MATCH(C46,$E$2:$E$28,0))</f>
        <v>10000</v>
      </c>
      <c r="E47" s="104" t="s">
        <v>348</v>
      </c>
      <c r="F47" s="115" t="s">
        <v>82</v>
      </c>
      <c r="G47" s="107">
        <v>53.519439171642901</v>
      </c>
      <c r="H47" s="107">
        <v>0.111930161345648</v>
      </c>
      <c r="I47" s="107">
        <v>0.18987442220474199</v>
      </c>
      <c r="J47" s="107">
        <v>-4.60507145157859E-2</v>
      </c>
      <c r="K47" s="107">
        <v>3.7681976436438999E-3</v>
      </c>
      <c r="L47" s="390"/>
      <c r="M47" s="374">
        <v>53.519439171642901</v>
      </c>
      <c r="N47" s="374">
        <v>0.111930161345648</v>
      </c>
      <c r="O47" s="374">
        <v>0.18987442220474199</v>
      </c>
      <c r="P47" s="374">
        <v>-4.60507145157859E-2</v>
      </c>
      <c r="Q47" s="374">
        <v>3.7681976436438999E-3</v>
      </c>
      <c r="R47" s="340"/>
      <c r="T47" t="s">
        <v>82</v>
      </c>
      <c r="U47" s="109">
        <v>53.519439171642901</v>
      </c>
      <c r="V47" s="109">
        <v>0.111930161345648</v>
      </c>
      <c r="W47" s="109">
        <v>0.18987442220474199</v>
      </c>
      <c r="X47" s="109">
        <v>-4.60507145157859E-2</v>
      </c>
      <c r="Y47" s="109">
        <v>3.7681976436438999E-3</v>
      </c>
    </row>
    <row r="48" spans="1:25" x14ac:dyDescent="0.2">
      <c r="B48" s="373">
        <f>INDEX($H$2:$H$28,MATCH(C46,$E$2:$E$28,0))</f>
        <v>125</v>
      </c>
      <c r="E48" s="104" t="s">
        <v>349</v>
      </c>
      <c r="F48" s="115" t="s">
        <v>83</v>
      </c>
      <c r="G48" s="107">
        <v>0.14962693895820001</v>
      </c>
      <c r="H48" s="107">
        <v>-5.4830524870576897E-3</v>
      </c>
      <c r="I48" s="107">
        <v>3.8003927509140199E-3</v>
      </c>
      <c r="J48" s="107">
        <v>-8.04689323736446E-4</v>
      </c>
      <c r="K48" s="107">
        <v>5.84268115194529E-5</v>
      </c>
      <c r="L48" s="390"/>
      <c r="M48" s="374">
        <v>0.14962693895820001</v>
      </c>
      <c r="N48" s="374">
        <v>-5.4830524870576897E-3</v>
      </c>
      <c r="O48" s="374">
        <v>3.8003927509140199E-3</v>
      </c>
      <c r="P48" s="374">
        <v>-8.04689323736446E-4</v>
      </c>
      <c r="Q48" s="374">
        <v>5.84268115194529E-5</v>
      </c>
      <c r="R48" s="340"/>
      <c r="T48" t="s">
        <v>83</v>
      </c>
      <c r="U48" s="109">
        <v>0.14962693895820001</v>
      </c>
      <c r="V48" s="109">
        <v>-5.4830524870576897E-3</v>
      </c>
      <c r="W48" s="109">
        <v>3.8003927509140199E-3</v>
      </c>
      <c r="X48" s="109">
        <v>-8.04689323736446E-4</v>
      </c>
      <c r="Y48" s="109">
        <v>5.84268115194529E-5</v>
      </c>
    </row>
    <row r="49" spans="1:25" x14ac:dyDescent="0.2">
      <c r="B49" s="373">
        <f>INDEX($I$2:$I$28,MATCH(C46,$E$2:$E$28,0))</f>
        <v>-40</v>
      </c>
      <c r="E49" s="104" t="s">
        <v>350</v>
      </c>
      <c r="F49" s="115" t="s">
        <v>84</v>
      </c>
      <c r="G49" s="107">
        <v>7.7764366717815907E-6</v>
      </c>
      <c r="H49" s="107">
        <v>1.0146010335395299E-4</v>
      </c>
      <c r="I49" s="107">
        <v>-5.8340665406269602E-5</v>
      </c>
      <c r="J49" s="107">
        <v>1.3401513694378001E-5</v>
      </c>
      <c r="K49" s="107">
        <v>-1.0941921253097099E-6</v>
      </c>
      <c r="L49" s="390"/>
      <c r="M49" s="374">
        <v>7.7764366717815907E-6</v>
      </c>
      <c r="N49" s="374">
        <v>1.0146010335395299E-4</v>
      </c>
      <c r="O49" s="374">
        <v>-5.8340665406269602E-5</v>
      </c>
      <c r="P49" s="374">
        <v>1.3401513694378001E-5</v>
      </c>
      <c r="Q49" s="374">
        <v>-1.0941921253097099E-6</v>
      </c>
      <c r="R49" s="340"/>
      <c r="T49" t="s">
        <v>84</v>
      </c>
      <c r="U49" s="109">
        <v>7.7764366717815907E-6</v>
      </c>
      <c r="V49" s="109">
        <v>1.0146010335395299E-4</v>
      </c>
      <c r="W49" s="109">
        <v>-5.8340665406269602E-5</v>
      </c>
      <c r="X49" s="109">
        <v>1.3401513694378001E-5</v>
      </c>
      <c r="Y49" s="109">
        <v>-1.0941921253097099E-6</v>
      </c>
    </row>
    <row r="50" spans="1:25" x14ac:dyDescent="0.2">
      <c r="E50" s="104" t="s">
        <v>351</v>
      </c>
      <c r="F50" s="115" t="s">
        <v>85</v>
      </c>
      <c r="G50" s="107">
        <v>3.5239682993970999E-7</v>
      </c>
      <c r="H50" s="107">
        <v>-4.1515958229399602E-7</v>
      </c>
      <c r="I50" s="107">
        <v>2.7552937506444702E-7</v>
      </c>
      <c r="J50" s="107">
        <v>-6.7111197681992294E-8</v>
      </c>
      <c r="K50" s="107">
        <v>5.7413790872433604E-9</v>
      </c>
      <c r="L50" s="390"/>
      <c r="M50" s="374">
        <v>3.5239682993970999E-7</v>
      </c>
      <c r="N50" s="374">
        <v>-4.1515958229399602E-7</v>
      </c>
      <c r="O50" s="374">
        <v>2.7552937506444702E-7</v>
      </c>
      <c r="P50" s="374">
        <v>-6.7111197681992294E-8</v>
      </c>
      <c r="Q50" s="374">
        <v>5.7413790872433604E-9</v>
      </c>
      <c r="R50" s="340"/>
      <c r="T50" t="s">
        <v>85</v>
      </c>
      <c r="U50" s="109">
        <v>3.5239682993970999E-7</v>
      </c>
      <c r="V50" s="109">
        <v>-4.1515958229399602E-7</v>
      </c>
      <c r="W50" s="109">
        <v>2.7552937506444702E-7</v>
      </c>
      <c r="X50" s="109">
        <v>-6.7111197681992294E-8</v>
      </c>
      <c r="Y50" s="109">
        <v>5.7413790872433604E-9</v>
      </c>
    </row>
    <row r="51" spans="1:25" x14ac:dyDescent="0.2">
      <c r="E51" s="104"/>
      <c r="F51" s="116"/>
      <c r="G51" s="111"/>
      <c r="H51" s="111"/>
      <c r="I51" s="111"/>
      <c r="J51" s="111"/>
      <c r="K51" s="111"/>
      <c r="L51" s="390"/>
      <c r="M51" s="375"/>
      <c r="N51" s="376"/>
      <c r="O51" s="375"/>
      <c r="P51" s="375"/>
      <c r="Q51" s="375"/>
      <c r="R51" s="340"/>
    </row>
    <row r="52" spans="1:25" x14ac:dyDescent="0.2">
      <c r="A52" s="287">
        <v>2</v>
      </c>
      <c r="B52" s="287">
        <f>INDEX($A$2:$A$28,MATCH(C52,$E$2:$E$28,0))</f>
        <v>2</v>
      </c>
      <c r="C52" s="104" t="s">
        <v>344</v>
      </c>
      <c r="E52" s="104" t="s">
        <v>352</v>
      </c>
      <c r="F52" s="115" t="s">
        <v>81</v>
      </c>
      <c r="G52" s="107">
        <v>8339.9251945161704</v>
      </c>
      <c r="H52" s="107">
        <v>54.154715686148002</v>
      </c>
      <c r="I52" s="107">
        <v>-5.78616061394467</v>
      </c>
      <c r="J52" s="107">
        <v>1.47111238439537</v>
      </c>
      <c r="K52" s="107">
        <v>-0.115876333353779</v>
      </c>
      <c r="L52" s="390"/>
      <c r="M52" s="393" t="s">
        <v>341</v>
      </c>
      <c r="N52" s="375"/>
      <c r="O52" s="375"/>
      <c r="P52" s="376"/>
      <c r="Q52" s="375"/>
      <c r="R52" s="340"/>
      <c r="S52" t="s">
        <v>693</v>
      </c>
      <c r="T52" s="393" t="s">
        <v>341</v>
      </c>
    </row>
    <row r="53" spans="1:25" x14ac:dyDescent="0.2">
      <c r="B53" s="373">
        <f>INDEX($F$2:$F$28,MATCH(C52,$E$2:$E$28,0))</f>
        <v>10000</v>
      </c>
      <c r="E53" s="104" t="s">
        <v>353</v>
      </c>
      <c r="F53" s="115" t="s">
        <v>82</v>
      </c>
      <c r="G53" s="107">
        <v>53.519439171642901</v>
      </c>
      <c r="H53" s="107">
        <v>0.111930161345648</v>
      </c>
      <c r="I53" s="107">
        <v>0.18987442220474199</v>
      </c>
      <c r="J53" s="107">
        <v>-4.60507145157859E-2</v>
      </c>
      <c r="K53" s="107">
        <v>3.7681976436438999E-3</v>
      </c>
      <c r="L53" s="390" t="s">
        <v>694</v>
      </c>
      <c r="M53" s="377">
        <v>8361.0324913716704</v>
      </c>
      <c r="N53" s="377">
        <v>48.337340872126603</v>
      </c>
      <c r="O53" s="377">
        <v>-1.65480131630854</v>
      </c>
      <c r="P53" s="377">
        <v>0.64777941368762704</v>
      </c>
      <c r="Q53" s="377">
        <v>-7.7399944373615706E-2</v>
      </c>
      <c r="R53" s="340"/>
      <c r="S53" t="s">
        <v>694</v>
      </c>
      <c r="T53" t="s">
        <v>81</v>
      </c>
      <c r="U53" s="109">
        <v>8361.0324913716704</v>
      </c>
      <c r="V53" s="109">
        <v>48.337340872126603</v>
      </c>
      <c r="W53" s="109">
        <v>-1.65480131630854</v>
      </c>
      <c r="X53" s="109">
        <v>0.64777941368762704</v>
      </c>
      <c r="Y53" s="109">
        <v>-7.7399944373615706E-2</v>
      </c>
    </row>
    <row r="54" spans="1:25" x14ac:dyDescent="0.2">
      <c r="B54" s="373">
        <f>INDEX($H$2:$H$28,MATCH(C52,$E$2:$E$28,0))</f>
        <v>125</v>
      </c>
      <c r="E54" s="104" t="s">
        <v>354</v>
      </c>
      <c r="F54" s="115" t="s">
        <v>83</v>
      </c>
      <c r="G54" s="107">
        <v>0.14962693895820001</v>
      </c>
      <c r="H54" s="107">
        <v>-5.4830524870576897E-3</v>
      </c>
      <c r="I54" s="107">
        <v>3.8003927509140199E-3</v>
      </c>
      <c r="J54" s="107">
        <v>-8.04689323736446E-4</v>
      </c>
      <c r="K54" s="107">
        <v>5.84268115194529E-5</v>
      </c>
      <c r="L54" s="390"/>
      <c r="M54" s="377">
        <v>52.354403938256702</v>
      </c>
      <c r="N54" s="377">
        <v>0.57382533774766398</v>
      </c>
      <c r="O54" s="377">
        <v>6.9378164298414896E-2</v>
      </c>
      <c r="P54" s="377">
        <v>-4.2079396498636103E-2</v>
      </c>
      <c r="Q54" s="377">
        <v>4.6585395537100697E-3</v>
      </c>
      <c r="R54" s="340"/>
      <c r="T54" t="s">
        <v>82</v>
      </c>
      <c r="U54" s="109">
        <v>52.354403938256702</v>
      </c>
      <c r="V54" s="109">
        <v>0.57382533774766398</v>
      </c>
      <c r="W54" s="109">
        <v>6.9378164298414896E-2</v>
      </c>
      <c r="X54" s="109">
        <v>-4.2079396498636103E-2</v>
      </c>
      <c r="Y54" s="109">
        <v>4.6585395537100697E-3</v>
      </c>
    </row>
    <row r="55" spans="1:25" x14ac:dyDescent="0.2">
      <c r="B55" s="373">
        <f>INDEX($I$2:$I$28,MATCH(C52,$E$2:$E$28,0))</f>
        <v>-40</v>
      </c>
      <c r="E55" s="104" t="s">
        <v>355</v>
      </c>
      <c r="F55" s="115" t="s">
        <v>84</v>
      </c>
      <c r="G55" s="107">
        <v>7.7764366717815907E-6</v>
      </c>
      <c r="H55" s="107">
        <v>1.0146010335395299E-4</v>
      </c>
      <c r="I55" s="107">
        <v>-5.8340665406269602E-5</v>
      </c>
      <c r="J55" s="107">
        <v>1.3401513694378001E-5</v>
      </c>
      <c r="K55" s="107">
        <v>-1.0941921253097099E-6</v>
      </c>
      <c r="L55" s="390"/>
      <c r="M55" s="377">
        <v>0.14305301264459799</v>
      </c>
      <c r="N55" s="377">
        <v>2.26173822482239E-3</v>
      </c>
      <c r="O55" s="377">
        <v>2.4276187415637199E-4</v>
      </c>
      <c r="P55" s="377">
        <v>-1.5286804568051299E-4</v>
      </c>
      <c r="Q55" s="377">
        <v>1.73203149221607E-5</v>
      </c>
      <c r="R55" s="340"/>
      <c r="T55" t="s">
        <v>83</v>
      </c>
      <c r="U55" s="109">
        <v>0.14305301264459799</v>
      </c>
      <c r="V55" s="109">
        <v>2.26173822482239E-3</v>
      </c>
      <c r="W55" s="109">
        <v>2.4276187415637199E-4</v>
      </c>
      <c r="X55" s="109">
        <v>-1.5286804568051299E-4</v>
      </c>
      <c r="Y55" s="109">
        <v>1.73203149221607E-5</v>
      </c>
    </row>
    <row r="56" spans="1:25" x14ac:dyDescent="0.2">
      <c r="E56" s="104" t="s">
        <v>356</v>
      </c>
      <c r="F56" s="115" t="s">
        <v>85</v>
      </c>
      <c r="G56" s="107">
        <v>3.5239682993970999E-7</v>
      </c>
      <c r="H56" s="107">
        <v>-4.1515958229399602E-7</v>
      </c>
      <c r="I56" s="107">
        <v>2.7552937506444702E-7</v>
      </c>
      <c r="J56" s="107">
        <v>-6.7111197681992294E-8</v>
      </c>
      <c r="K56" s="107">
        <v>5.7413790872433604E-9</v>
      </c>
      <c r="L56" s="390"/>
      <c r="M56" s="377">
        <v>4.7371303574906001E-5</v>
      </c>
      <c r="N56" s="377">
        <v>4.24309723085448E-5</v>
      </c>
      <c r="O56" s="377">
        <v>-1.05969840414511E-4</v>
      </c>
      <c r="P56" s="377">
        <v>3.77286351244807E-5</v>
      </c>
      <c r="Q56" s="377">
        <v>-3.76269527611648E-6</v>
      </c>
      <c r="R56" s="340"/>
      <c r="T56" t="s">
        <v>84</v>
      </c>
      <c r="U56" s="109">
        <v>4.7371303574906001E-5</v>
      </c>
      <c r="V56" s="109">
        <v>4.24309723085448E-5</v>
      </c>
      <c r="W56" s="109">
        <v>-1.05969840414511E-4</v>
      </c>
      <c r="X56" s="109">
        <v>3.77286351244807E-5</v>
      </c>
      <c r="Y56" s="109">
        <v>-3.76269527611648E-6</v>
      </c>
    </row>
    <row r="57" spans="1:25" x14ac:dyDescent="0.2">
      <c r="E57" s="104"/>
      <c r="F57" s="116"/>
      <c r="G57" s="111"/>
      <c r="H57" s="111"/>
      <c r="I57" s="111"/>
      <c r="J57" s="111"/>
      <c r="K57" s="111"/>
      <c r="L57" s="390"/>
      <c r="M57" s="377">
        <v>9.6068114216146397E-8</v>
      </c>
      <c r="N57" s="377">
        <v>-2.4859924337395901E-7</v>
      </c>
      <c r="O57" s="377">
        <v>6.4571270790703703E-7</v>
      </c>
      <c r="P57" s="377">
        <v>-2.2842259016657001E-7</v>
      </c>
      <c r="Q57" s="377">
        <v>2.27096878741564E-8</v>
      </c>
      <c r="R57" s="340"/>
      <c r="T57" t="s">
        <v>85</v>
      </c>
      <c r="U57" s="109">
        <v>9.6068114216146397E-8</v>
      </c>
      <c r="V57" s="109">
        <v>-2.4859924337395901E-7</v>
      </c>
      <c r="W57" s="109">
        <v>6.4571270790703703E-7</v>
      </c>
      <c r="X57" s="109">
        <v>-2.2842259016657001E-7</v>
      </c>
      <c r="Y57" s="109">
        <v>2.27096878741564E-8</v>
      </c>
    </row>
    <row r="58" spans="1:25" x14ac:dyDescent="0.2">
      <c r="A58" s="287">
        <v>2</v>
      </c>
      <c r="B58" s="287">
        <f>INDEX($A$2:$A$28,MATCH(C58,$E$2:$E$28,0))</f>
        <v>3</v>
      </c>
      <c r="C58" s="104" t="s">
        <v>345</v>
      </c>
      <c r="E58" s="104" t="s">
        <v>357</v>
      </c>
      <c r="F58" s="115" t="s">
        <v>81</v>
      </c>
      <c r="G58" s="107">
        <v>8339.9251945161704</v>
      </c>
      <c r="H58" s="107">
        <v>54.154715686148002</v>
      </c>
      <c r="I58" s="107">
        <v>-5.78616061394467</v>
      </c>
      <c r="J58" s="107">
        <v>1.47111238439537</v>
      </c>
      <c r="K58" s="107">
        <v>-0.115876333353779</v>
      </c>
      <c r="L58" s="390"/>
      <c r="M58" s="375"/>
      <c r="N58" s="375"/>
      <c r="O58" s="375"/>
      <c r="P58" s="375"/>
      <c r="Q58" s="375"/>
      <c r="R58" s="340"/>
    </row>
    <row r="59" spans="1:25" x14ac:dyDescent="0.2">
      <c r="B59" s="373">
        <f>INDEX($F$2:$F$28,MATCH(C58,$E$2:$E$28,0))</f>
        <v>10000</v>
      </c>
      <c r="E59" s="104" t="s">
        <v>358</v>
      </c>
      <c r="F59" s="115" t="s">
        <v>82</v>
      </c>
      <c r="G59" s="107">
        <v>53.519439171642901</v>
      </c>
      <c r="H59" s="107">
        <v>0.111930161345648</v>
      </c>
      <c r="I59" s="107">
        <v>0.18987442220474199</v>
      </c>
      <c r="J59" s="107">
        <v>-4.60507145157859E-2</v>
      </c>
      <c r="K59" s="107">
        <v>3.7681976436438999E-3</v>
      </c>
      <c r="L59" s="390"/>
      <c r="M59" s="393" t="s">
        <v>338</v>
      </c>
      <c r="N59" s="375"/>
      <c r="O59" s="375"/>
      <c r="P59" s="376"/>
      <c r="Q59" s="375"/>
      <c r="R59" s="340"/>
      <c r="S59" t="s">
        <v>693</v>
      </c>
      <c r="T59" s="393" t="s">
        <v>338</v>
      </c>
      <c r="U59" t="s">
        <v>78</v>
      </c>
      <c r="V59" t="s">
        <v>52</v>
      </c>
      <c r="W59" t="s">
        <v>50</v>
      </c>
      <c r="X59" t="s">
        <v>79</v>
      </c>
      <c r="Y59" t="s">
        <v>80</v>
      </c>
    </row>
    <row r="60" spans="1:25" x14ac:dyDescent="0.2">
      <c r="B60" s="373">
        <f>INDEX($H$2:$H$28,MATCH(C58,$E$2:$E$28,0))</f>
        <v>125</v>
      </c>
      <c r="E60" s="104" t="s">
        <v>359</v>
      </c>
      <c r="F60" s="115" t="s">
        <v>83</v>
      </c>
      <c r="G60" s="107">
        <v>0.14962693895820001</v>
      </c>
      <c r="H60" s="107">
        <v>-5.4830524870576897E-3</v>
      </c>
      <c r="I60" s="107">
        <v>3.8003927509140199E-3</v>
      </c>
      <c r="J60" s="107">
        <v>-8.04689323736446E-4</v>
      </c>
      <c r="K60" s="107">
        <v>5.84268115194529E-5</v>
      </c>
      <c r="L60" t="s">
        <v>694</v>
      </c>
      <c r="M60" s="374">
        <v>8372.3615939093106</v>
      </c>
      <c r="N60" s="374">
        <v>50.999913326927803</v>
      </c>
      <c r="O60" s="374">
        <v>-0.39817713312681702</v>
      </c>
      <c r="P60" s="381">
        <v>-0.35474818919505702</v>
      </c>
      <c r="Q60" s="374">
        <v>2.6871006620532802E-2</v>
      </c>
      <c r="R60" s="340"/>
      <c r="S60" t="s">
        <v>694</v>
      </c>
      <c r="T60" t="s">
        <v>81</v>
      </c>
      <c r="U60" s="109">
        <v>8372.3615939093106</v>
      </c>
      <c r="V60" s="109">
        <v>50.999913326927803</v>
      </c>
      <c r="W60" s="109">
        <v>-0.39817713312681702</v>
      </c>
      <c r="X60" s="109">
        <v>-0.35474818919505702</v>
      </c>
      <c r="Y60" s="109">
        <v>2.6871006620532802E-2</v>
      </c>
    </row>
    <row r="61" spans="1:25" x14ac:dyDescent="0.2">
      <c r="B61" s="373">
        <f>INDEX($I$2:$I$28,MATCH(C58,$E$2:$E$28,0))</f>
        <v>-40</v>
      </c>
      <c r="E61" s="104" t="s">
        <v>360</v>
      </c>
      <c r="F61" s="115" t="s">
        <v>84</v>
      </c>
      <c r="G61" s="107">
        <v>7.7764366717815907E-6</v>
      </c>
      <c r="H61" s="107">
        <v>1.0146010335395299E-4</v>
      </c>
      <c r="I61" s="107">
        <v>-5.8340665406269602E-5</v>
      </c>
      <c r="J61" s="107">
        <v>1.3401513694378001E-5</v>
      </c>
      <c r="K61" s="107">
        <v>-1.0941921253097099E-6</v>
      </c>
      <c r="L61" s="390"/>
      <c r="M61" s="374">
        <v>52.4959157636737</v>
      </c>
      <c r="N61" s="374">
        <v>0.523310445629112</v>
      </c>
      <c r="O61" s="374">
        <v>-4.7999161452887698E-2</v>
      </c>
      <c r="P61" s="381">
        <v>7.0678957907649902E-3</v>
      </c>
      <c r="Q61" s="374">
        <v>-4.8841564170884596E-4</v>
      </c>
      <c r="R61" s="340"/>
      <c r="T61" t="s">
        <v>82</v>
      </c>
      <c r="U61" s="109">
        <v>52.4959157636737</v>
      </c>
      <c r="V61" s="109">
        <v>0.523310445629112</v>
      </c>
      <c r="W61" s="109">
        <v>-4.7999161452887698E-2</v>
      </c>
      <c r="X61" s="109">
        <v>7.0678957907649902E-3</v>
      </c>
      <c r="Y61" s="109">
        <v>-4.8841564170884596E-4</v>
      </c>
    </row>
    <row r="62" spans="1:25" x14ac:dyDescent="0.2">
      <c r="E62" s="104" t="s">
        <v>361</v>
      </c>
      <c r="F62" s="115" t="s">
        <v>85</v>
      </c>
      <c r="G62" s="107">
        <v>3.5239682993970999E-7</v>
      </c>
      <c r="H62" s="107">
        <v>-4.1515958229399602E-7</v>
      </c>
      <c r="I62" s="107">
        <v>2.7552937506444702E-7</v>
      </c>
      <c r="J62" s="107">
        <v>-6.7111197681992294E-8</v>
      </c>
      <c r="K62" s="107">
        <v>5.7413790872433604E-9</v>
      </c>
      <c r="L62" s="390"/>
      <c r="M62" s="374">
        <v>0.136378594352284</v>
      </c>
      <c r="N62" s="374">
        <v>3.9627735841903603E-3</v>
      </c>
      <c r="O62" s="374">
        <v>-1.8438781893195999E-3</v>
      </c>
      <c r="P62" s="381">
        <v>4.7582387443736301E-4</v>
      </c>
      <c r="Q62" s="374">
        <v>-3.8224148665906102E-5</v>
      </c>
      <c r="T62" t="s">
        <v>83</v>
      </c>
      <c r="U62" s="109">
        <v>0.136378594352284</v>
      </c>
      <c r="V62" s="109">
        <v>3.9627735841903603E-3</v>
      </c>
      <c r="W62" s="109">
        <v>-1.8438781893195999E-3</v>
      </c>
      <c r="X62" s="109">
        <v>4.7582387443736301E-4</v>
      </c>
      <c r="Y62" s="109">
        <v>-3.8224148665906102E-5</v>
      </c>
    </row>
    <row r="63" spans="1:25" x14ac:dyDescent="0.2">
      <c r="E63" s="104"/>
      <c r="F63" s="116"/>
      <c r="G63" s="111"/>
      <c r="H63" s="111"/>
      <c r="I63" s="111"/>
      <c r="J63" s="111"/>
      <c r="K63" s="111"/>
      <c r="L63" s="390"/>
      <c r="M63" s="374">
        <v>1.91447173481012E-4</v>
      </c>
      <c r="N63" s="374">
        <v>-5.6778982769049697E-5</v>
      </c>
      <c r="O63" s="374">
        <v>3.9172318094447799E-5</v>
      </c>
      <c r="P63" s="381">
        <v>-9.7470177886775406E-6</v>
      </c>
      <c r="Q63" s="374">
        <v>7.48386974016252E-7</v>
      </c>
      <c r="T63" t="s">
        <v>84</v>
      </c>
      <c r="U63" s="109">
        <v>1.91447173481012E-4</v>
      </c>
      <c r="V63" s="109">
        <v>-5.6778982769049697E-5</v>
      </c>
      <c r="W63" s="109">
        <v>3.9172318094447799E-5</v>
      </c>
      <c r="X63" s="109">
        <v>-9.7470177886775406E-6</v>
      </c>
      <c r="Y63" s="109">
        <v>7.48386974016252E-7</v>
      </c>
    </row>
    <row r="64" spans="1:25" x14ac:dyDescent="0.2">
      <c r="A64" s="287">
        <v>4</v>
      </c>
      <c r="B64" s="287">
        <f>INDEX($A$2:$A$28,MATCH(C64,$E$2:$E$28,0))</f>
        <v>4</v>
      </c>
      <c r="C64" s="104" t="s">
        <v>346</v>
      </c>
      <c r="E64" s="104" t="s">
        <v>362</v>
      </c>
      <c r="F64" s="115" t="s">
        <v>81</v>
      </c>
      <c r="G64" s="107">
        <v>8339.9251945161704</v>
      </c>
      <c r="H64" s="107">
        <v>54.154715686148002</v>
      </c>
      <c r="I64" s="107">
        <v>-5.78616061394467</v>
      </c>
      <c r="J64" s="107">
        <v>1.47111238439537</v>
      </c>
      <c r="K64" s="107">
        <v>-0.115876333353779</v>
      </c>
      <c r="L64" s="390"/>
      <c r="M64" s="382">
        <v>-4.2893845061380202E-7</v>
      </c>
      <c r="N64" s="383">
        <v>6.3986673669595005E-7</v>
      </c>
      <c r="O64" s="374">
        <v>-3.6709738962319602E-7</v>
      </c>
      <c r="P64" s="381">
        <v>8.4422184348922404E-8</v>
      </c>
      <c r="Q64" s="374">
        <v>-6.3065574785736401E-9</v>
      </c>
      <c r="T64" t="s">
        <v>85</v>
      </c>
      <c r="U64" s="109">
        <v>-4.2893845061380202E-7</v>
      </c>
      <c r="V64" s="109">
        <v>6.3986673669595005E-7</v>
      </c>
      <c r="W64" s="109">
        <v>-3.6709738962319602E-7</v>
      </c>
      <c r="X64" s="109">
        <v>8.4422184348922404E-8</v>
      </c>
      <c r="Y64" s="109">
        <v>-6.3065574785736401E-9</v>
      </c>
    </row>
    <row r="65" spans="1:25" x14ac:dyDescent="0.2">
      <c r="B65" s="373">
        <f>INDEX($F$2:$F$28,MATCH(C64,$E$2:$E$28,0))</f>
        <v>10000</v>
      </c>
      <c r="E65" s="104" t="s">
        <v>363</v>
      </c>
      <c r="F65" s="115" t="s">
        <v>82</v>
      </c>
      <c r="G65" s="107">
        <v>53.519439171642901</v>
      </c>
      <c r="H65" s="107">
        <v>0.111930161345648</v>
      </c>
      <c r="I65" s="107">
        <v>0.18987442220474199</v>
      </c>
      <c r="J65" s="107">
        <v>-4.60507145157859E-2</v>
      </c>
      <c r="K65" s="107">
        <v>3.7681976436438999E-3</v>
      </c>
      <c r="L65" s="390"/>
      <c r="M65" s="375"/>
      <c r="N65" s="375"/>
      <c r="O65" s="375"/>
      <c r="P65" s="375"/>
      <c r="Q65" s="375"/>
    </row>
    <row r="66" spans="1:25" x14ac:dyDescent="0.2">
      <c r="B66" s="373">
        <f>INDEX($H$2:$H$28,MATCH(C64,$E$2:$E$28,0))</f>
        <v>125</v>
      </c>
      <c r="E66" s="104" t="s">
        <v>364</v>
      </c>
      <c r="F66" s="115" t="s">
        <v>83</v>
      </c>
      <c r="G66" s="107">
        <v>0.14962693895820001</v>
      </c>
      <c r="H66" s="107">
        <v>-5.4830524870576897E-3</v>
      </c>
      <c r="I66" s="107">
        <v>3.8003927509140199E-3</v>
      </c>
      <c r="J66" s="107">
        <v>-8.04689323736446E-4</v>
      </c>
      <c r="K66" s="107">
        <v>5.84268115194529E-5</v>
      </c>
      <c r="L66" s="390"/>
      <c r="M66" s="393" t="s">
        <v>340</v>
      </c>
      <c r="N66" s="385"/>
      <c r="O66" s="384"/>
      <c r="P66" s="387"/>
      <c r="Q66" s="384"/>
    </row>
    <row r="67" spans="1:25" x14ac:dyDescent="0.2">
      <c r="B67" s="373">
        <f>INDEX($I$2:$I$28,MATCH(C64,$E$2:$E$28,0))</f>
        <v>-40</v>
      </c>
      <c r="E67" s="104" t="s">
        <v>365</v>
      </c>
      <c r="F67" s="115" t="s">
        <v>84</v>
      </c>
      <c r="G67" s="107">
        <v>7.7764366717815907E-6</v>
      </c>
      <c r="H67" s="107">
        <v>1.0146010335395299E-4</v>
      </c>
      <c r="I67" s="107">
        <v>-5.8340665406269602E-5</v>
      </c>
      <c r="J67" s="107">
        <v>1.3401513694378001E-5</v>
      </c>
      <c r="K67" s="107">
        <v>-1.0941921253097099E-6</v>
      </c>
      <c r="L67" s="390" t="s">
        <v>696</v>
      </c>
      <c r="M67" s="377">
        <v>8376.4047789259203</v>
      </c>
      <c r="N67" s="377">
        <v>56.067391853266997</v>
      </c>
      <c r="O67" s="377">
        <v>-6.4171042655813197</v>
      </c>
      <c r="P67" s="377">
        <v>1.5492420676686101</v>
      </c>
      <c r="Q67" s="377">
        <v>-0.151541706949952</v>
      </c>
    </row>
    <row r="68" spans="1:25" x14ac:dyDescent="0.2">
      <c r="E68" s="104" t="s">
        <v>366</v>
      </c>
      <c r="F68" s="115" t="s">
        <v>85</v>
      </c>
      <c r="G68" s="107">
        <v>3.5239682993970999E-7</v>
      </c>
      <c r="H68" s="107">
        <v>-4.1515958229399602E-7</v>
      </c>
      <c r="I68" s="107">
        <v>2.7552937506444702E-7</v>
      </c>
      <c r="J68" s="107">
        <v>-6.7111197681992294E-8</v>
      </c>
      <c r="K68" s="107">
        <v>5.7413790872433604E-9</v>
      </c>
      <c r="L68" s="390"/>
      <c r="M68" s="377">
        <v>52.170927838267502</v>
      </c>
      <c r="N68" s="377">
        <v>0.489427543719062</v>
      </c>
      <c r="O68" s="377">
        <v>7.8127590380147605E-2</v>
      </c>
      <c r="P68" s="377">
        <v>-3.5798408977859103E-2</v>
      </c>
      <c r="Q68" s="377">
        <v>3.6514171630348999E-3</v>
      </c>
    </row>
    <row r="69" spans="1:25" x14ac:dyDescent="0.2">
      <c r="E69" s="110"/>
      <c r="F69" s="116"/>
      <c r="G69" s="111"/>
      <c r="H69" s="111"/>
      <c r="I69" s="111"/>
      <c r="J69" s="111"/>
      <c r="K69" s="111"/>
      <c r="L69" s="390"/>
      <c r="M69" s="377">
        <v>0.133030694593748</v>
      </c>
      <c r="N69" s="377">
        <v>2.09388976502628E-3</v>
      </c>
      <c r="O69" s="377">
        <v>1.4215016850833101E-3</v>
      </c>
      <c r="P69" s="377">
        <v>-5.7334284218350502E-4</v>
      </c>
      <c r="Q69" s="377">
        <v>5.8984695954595497E-5</v>
      </c>
    </row>
    <row r="70" spans="1:25" x14ac:dyDescent="0.2">
      <c r="A70" s="287">
        <v>5</v>
      </c>
      <c r="B70" s="287">
        <f>INDEX($A$2:$A$28,MATCH(C70,$E$2:$E$28,0))</f>
        <v>5</v>
      </c>
      <c r="C70" s="105" t="s">
        <v>341</v>
      </c>
      <c r="E70" s="105" t="s">
        <v>367</v>
      </c>
      <c r="F70" s="115" t="s">
        <v>81</v>
      </c>
      <c r="G70" s="366">
        <v>8361.0324913716704</v>
      </c>
      <c r="H70" s="366">
        <v>48.337340872126603</v>
      </c>
      <c r="I70" s="366">
        <v>-1.65480131630854</v>
      </c>
      <c r="J70" s="366">
        <v>0.64777941368762704</v>
      </c>
      <c r="K70" s="366">
        <v>-7.7399944373615706E-2</v>
      </c>
      <c r="L70" s="390"/>
      <c r="M70" s="377">
        <v>3.6884316025766699E-4</v>
      </c>
      <c r="N70" s="377">
        <v>-2.3637949347307099E-4</v>
      </c>
      <c r="O70" s="377">
        <v>1.03465899712959E-4</v>
      </c>
      <c r="P70" s="377">
        <v>-2.18302556771475E-5</v>
      </c>
      <c r="Q70" s="377">
        <v>1.7261098384421201E-6</v>
      </c>
      <c r="Y70" s="365"/>
    </row>
    <row r="71" spans="1:25" x14ac:dyDescent="0.2">
      <c r="B71" s="373">
        <f>INDEX($F$2:$F$28,MATCH(C70,$E$2:$E$28,0))</f>
        <v>10000</v>
      </c>
      <c r="E71" s="105" t="s">
        <v>368</v>
      </c>
      <c r="F71" s="115" t="s">
        <v>82</v>
      </c>
      <c r="G71" s="366">
        <v>52.354403938256702</v>
      </c>
      <c r="H71" s="366">
        <v>0.57382533774766398</v>
      </c>
      <c r="I71" s="366">
        <v>6.9378164298414896E-2</v>
      </c>
      <c r="J71" s="366">
        <v>-4.2079396498636103E-2</v>
      </c>
      <c r="K71" s="366">
        <v>4.6585395537100697E-3</v>
      </c>
      <c r="L71" s="390"/>
      <c r="M71" s="377">
        <v>-1.21382752673235E-6</v>
      </c>
      <c r="N71" s="377">
        <v>1.22640272647557E-6</v>
      </c>
      <c r="O71" s="377">
        <v>-5.1606364116429999E-7</v>
      </c>
      <c r="P71" s="377">
        <v>1.07182593352566E-7</v>
      </c>
      <c r="Q71" s="377">
        <v>-8.4186262261153103E-9</v>
      </c>
      <c r="V71" s="365"/>
      <c r="W71" s="365"/>
      <c r="X71" s="365"/>
      <c r="Y71" s="365"/>
    </row>
    <row r="72" spans="1:25" x14ac:dyDescent="0.2">
      <c r="B72" s="373">
        <f>INDEX($H$2:$H$28,MATCH(C70,$E$2:$E$28,0))</f>
        <v>150</v>
      </c>
      <c r="E72" s="105" t="s">
        <v>369</v>
      </c>
      <c r="F72" s="115" t="s">
        <v>83</v>
      </c>
      <c r="G72" s="366">
        <v>0.14305301264459799</v>
      </c>
      <c r="H72" s="366">
        <v>2.26173822482239E-3</v>
      </c>
      <c r="I72" s="366">
        <v>2.4276187415637199E-4</v>
      </c>
      <c r="J72" s="366">
        <v>-1.5286804568051299E-4</v>
      </c>
      <c r="K72" s="366">
        <v>1.73203149221607E-5</v>
      </c>
      <c r="L72" s="117"/>
      <c r="U72" s="365"/>
      <c r="V72" s="365"/>
      <c r="W72" s="365"/>
      <c r="X72" s="365"/>
      <c r="Y72" s="365"/>
    </row>
    <row r="73" spans="1:25" x14ac:dyDescent="0.2">
      <c r="B73" s="373">
        <f>INDEX($I$2:$I$28,MATCH(C70,$E$2:$E$28,0))</f>
        <v>-40</v>
      </c>
      <c r="E73" s="105" t="s">
        <v>370</v>
      </c>
      <c r="F73" s="115" t="s">
        <v>84</v>
      </c>
      <c r="G73" s="366">
        <v>4.7371303574906001E-5</v>
      </c>
      <c r="H73" s="366">
        <v>4.24309723085448E-5</v>
      </c>
      <c r="I73" s="366">
        <v>-1.05969840414511E-4</v>
      </c>
      <c r="J73" s="366">
        <v>3.77286351244807E-5</v>
      </c>
      <c r="K73" s="366">
        <v>-3.76269527611648E-6</v>
      </c>
      <c r="L73" s="117"/>
      <c r="M73" s="393" t="s">
        <v>336</v>
      </c>
      <c r="N73" s="385"/>
      <c r="O73" s="378"/>
      <c r="P73" s="379"/>
      <c r="Q73" s="378"/>
    </row>
    <row r="74" spans="1:25" x14ac:dyDescent="0.2">
      <c r="E74" s="105" t="s">
        <v>371</v>
      </c>
      <c r="F74" s="115" t="s">
        <v>85</v>
      </c>
      <c r="G74" s="366">
        <v>9.6068114216146397E-8</v>
      </c>
      <c r="H74" s="366">
        <v>-2.4859924337395901E-7</v>
      </c>
      <c r="I74" s="366">
        <v>6.4571270790703703E-7</v>
      </c>
      <c r="J74" s="366">
        <v>-2.2842259016657001E-7</v>
      </c>
      <c r="K74" s="366">
        <v>2.27096878741564E-8</v>
      </c>
      <c r="L74" s="390" t="s">
        <v>696</v>
      </c>
      <c r="M74" s="382">
        <v>82766.371429999999</v>
      </c>
      <c r="N74" s="383">
        <v>703.6268374</v>
      </c>
      <c r="O74" s="374">
        <v>-31.813050260000001</v>
      </c>
      <c r="P74" s="381">
        <v>6.4979977010000001</v>
      </c>
      <c r="Q74" s="374">
        <v>-0.65004340800000004</v>
      </c>
    </row>
    <row r="75" spans="1:25" s="114" customFormat="1" x14ac:dyDescent="0.2">
      <c r="A75" s="353"/>
      <c r="B75" s="353"/>
      <c r="C75" s="353"/>
      <c r="E75" s="112"/>
      <c r="F75" s="116"/>
      <c r="G75" s="367"/>
      <c r="H75" s="367"/>
      <c r="I75" s="367"/>
      <c r="J75" s="367"/>
      <c r="K75" s="367"/>
      <c r="L75" s="294"/>
      <c r="M75" s="382">
        <v>522.99226610000005</v>
      </c>
      <c r="N75" s="383">
        <v>9.061605557</v>
      </c>
      <c r="O75" s="374">
        <v>-0.84159497699999997</v>
      </c>
      <c r="P75" s="381">
        <v>5.8449747000000003E-2</v>
      </c>
      <c r="Q75" s="374">
        <v>2.58504E-4</v>
      </c>
    </row>
    <row r="76" spans="1:25" x14ac:dyDescent="0.2">
      <c r="A76" s="287">
        <v>6</v>
      </c>
      <c r="B76" s="287">
        <f>INDEX($A$2:$A$28,MATCH(C76,$E$2:$E$28,0))</f>
        <v>6</v>
      </c>
      <c r="C76" s="105" t="s">
        <v>481</v>
      </c>
      <c r="E76" s="105" t="s">
        <v>486</v>
      </c>
      <c r="F76" s="115" t="s">
        <v>81</v>
      </c>
      <c r="G76" s="366">
        <v>8361.0324913716704</v>
      </c>
      <c r="H76" s="366">
        <v>48.337340872126603</v>
      </c>
      <c r="I76" s="366">
        <v>-1.65480131630854</v>
      </c>
      <c r="J76" s="366">
        <v>0.64777941368762704</v>
      </c>
      <c r="K76" s="366">
        <v>-7.7399944373615706E-2</v>
      </c>
      <c r="L76" s="390"/>
      <c r="M76" s="382">
        <v>1.4768911300000001</v>
      </c>
      <c r="N76" s="383">
        <v>-8.8166704999999998E-2</v>
      </c>
      <c r="O76" s="374">
        <v>6.3005229999999995E-2</v>
      </c>
      <c r="P76" s="381">
        <v>-1.5223415000000001E-2</v>
      </c>
      <c r="Q76" s="374">
        <v>1.319036E-3</v>
      </c>
    </row>
    <row r="77" spans="1:25" x14ac:dyDescent="0.2">
      <c r="B77" s="373">
        <f>INDEX($F$2:$F$28,MATCH(C76,$E$2:$E$28,0))</f>
        <v>10000</v>
      </c>
      <c r="E77" s="105" t="s">
        <v>487</v>
      </c>
      <c r="F77" s="115" t="s">
        <v>82</v>
      </c>
      <c r="G77" s="366">
        <v>52.354403938256702</v>
      </c>
      <c r="H77" s="366">
        <v>0.57382533774766398</v>
      </c>
      <c r="I77" s="366">
        <v>6.9378164298414896E-2</v>
      </c>
      <c r="J77" s="366">
        <v>-4.2079396498636103E-2</v>
      </c>
      <c r="K77" s="366">
        <v>4.6585395537100697E-3</v>
      </c>
      <c r="L77" s="390"/>
      <c r="M77" s="382">
        <v>6.8564099999999996E-4</v>
      </c>
      <c r="N77" s="383">
        <v>5.37599E-5</v>
      </c>
      <c r="O77" s="374">
        <v>-3.2918800000000001E-4</v>
      </c>
      <c r="P77" s="381">
        <v>1.2525399999999999E-4</v>
      </c>
      <c r="Q77" s="374">
        <v>-1.3606400000000001E-5</v>
      </c>
    </row>
    <row r="78" spans="1:25" x14ac:dyDescent="0.2">
      <c r="B78" s="373">
        <f>INDEX($H$2:$H$28,MATCH(C76,$E$2:$E$28,0))</f>
        <v>150</v>
      </c>
      <c r="E78" s="105" t="s">
        <v>488</v>
      </c>
      <c r="F78" s="115" t="s">
        <v>83</v>
      </c>
      <c r="G78" s="366">
        <v>0.14305301264459799</v>
      </c>
      <c r="H78" s="366">
        <v>2.26173822482239E-3</v>
      </c>
      <c r="I78" s="366">
        <v>2.4276187415637199E-4</v>
      </c>
      <c r="J78" s="366">
        <v>-1.5286804568051299E-4</v>
      </c>
      <c r="K78" s="366">
        <v>1.73203149221607E-5</v>
      </c>
      <c r="L78" s="117"/>
      <c r="M78" s="382">
        <v>-6.31274E-6</v>
      </c>
      <c r="N78" s="383">
        <v>1.0225500000000001E-5</v>
      </c>
      <c r="O78" s="374">
        <v>-3.1066399999999999E-6</v>
      </c>
      <c r="P78" s="381">
        <v>3.7826699999999998E-7</v>
      </c>
      <c r="Q78" s="374">
        <v>-1.1756699999999999E-8</v>
      </c>
    </row>
    <row r="79" spans="1:25" x14ac:dyDescent="0.2">
      <c r="B79" s="373">
        <f>INDEX($I$2:$I$28,MATCH(C76,$E$2:$E$28,0))</f>
        <v>-40</v>
      </c>
      <c r="E79" s="105" t="s">
        <v>489</v>
      </c>
      <c r="F79" s="115" t="s">
        <v>84</v>
      </c>
      <c r="G79" s="366">
        <v>4.7371303574906001E-5</v>
      </c>
      <c r="H79" s="366">
        <v>4.24309723085448E-5</v>
      </c>
      <c r="I79" s="366">
        <v>-1.05969840414511E-4</v>
      </c>
      <c r="J79" s="366">
        <v>3.77286351244807E-5</v>
      </c>
      <c r="K79" s="366">
        <v>-3.76269527611648E-6</v>
      </c>
      <c r="L79" s="117"/>
      <c r="M79" s="380"/>
      <c r="N79" s="380"/>
      <c r="O79" s="380"/>
      <c r="P79" s="380"/>
      <c r="Q79" s="380"/>
    </row>
    <row r="80" spans="1:25" x14ac:dyDescent="0.2">
      <c r="E80" s="105" t="s">
        <v>490</v>
      </c>
      <c r="F80" s="115" t="s">
        <v>85</v>
      </c>
      <c r="G80" s="366">
        <v>9.6068114216146397E-8</v>
      </c>
      <c r="H80" s="366">
        <v>-2.4859924337395901E-7</v>
      </c>
      <c r="I80" s="366">
        <v>6.4571270790703703E-7</v>
      </c>
      <c r="J80" s="366">
        <v>-2.2842259016657001E-7</v>
      </c>
      <c r="K80" s="366">
        <v>2.27096878741564E-8</v>
      </c>
      <c r="L80" s="117"/>
      <c r="M80" s="393" t="s">
        <v>563</v>
      </c>
      <c r="N80" s="385"/>
      <c r="O80" s="375"/>
      <c r="P80" s="376"/>
      <c r="Q80" s="375"/>
    </row>
    <row r="81" spans="1:19" x14ac:dyDescent="0.2">
      <c r="E81" s="105"/>
      <c r="F81" s="116"/>
      <c r="G81" s="367"/>
      <c r="H81" s="367"/>
      <c r="I81" s="367"/>
      <c r="J81" s="367"/>
      <c r="K81" s="367"/>
      <c r="L81" s="390" t="s">
        <v>696</v>
      </c>
      <c r="M81" s="377">
        <v>82978.3770518776</v>
      </c>
      <c r="N81" s="377">
        <v>646.13432392997299</v>
      </c>
      <c r="O81" s="377">
        <v>17.231510001847401</v>
      </c>
      <c r="P81" s="377">
        <v>-7.39034007785882</v>
      </c>
      <c r="Q81" s="377">
        <v>0.48423257929514502</v>
      </c>
    </row>
    <row r="82" spans="1:19" x14ac:dyDescent="0.2">
      <c r="A82" s="287">
        <v>7</v>
      </c>
      <c r="B82" s="287">
        <f>INDEX($A$2:$A$28,MATCH(C82,$E$2:$E$28,0))</f>
        <v>7</v>
      </c>
      <c r="C82" s="105" t="s">
        <v>342</v>
      </c>
      <c r="E82" s="105" t="s">
        <v>372</v>
      </c>
      <c r="F82" s="115" t="s">
        <v>81</v>
      </c>
      <c r="G82" s="366">
        <v>8361.0324913716704</v>
      </c>
      <c r="H82" s="366">
        <v>48.337340872126603</v>
      </c>
      <c r="I82" s="366">
        <v>-1.65480131630854</v>
      </c>
      <c r="J82" s="366">
        <v>0.64777941368762704</v>
      </c>
      <c r="K82" s="366">
        <v>-7.7399944373615706E-2</v>
      </c>
      <c r="L82" s="117"/>
      <c r="M82" s="377">
        <v>510.92476009278499</v>
      </c>
      <c r="N82" s="377">
        <v>18.435227187798599</v>
      </c>
      <c r="O82" s="377">
        <v>-5.8192550787425796</v>
      </c>
      <c r="P82" s="377">
        <v>1.14965900381177</v>
      </c>
      <c r="Q82" s="377">
        <v>-8.57870768838081E-2</v>
      </c>
    </row>
    <row r="83" spans="1:19" x14ac:dyDescent="0.2">
      <c r="B83" s="373">
        <f>INDEX($F$2:$F$28,MATCH(C82,$E$2:$E$28,0))</f>
        <v>10000</v>
      </c>
      <c r="E83" s="105" t="s">
        <v>373</v>
      </c>
      <c r="F83" s="115" t="s">
        <v>82</v>
      </c>
      <c r="G83" s="366">
        <v>52.354403938256702</v>
      </c>
      <c r="H83" s="366">
        <v>0.57382533774766398</v>
      </c>
      <c r="I83" s="366">
        <v>6.9378164298414896E-2</v>
      </c>
      <c r="J83" s="366">
        <v>-4.2079396498636103E-2</v>
      </c>
      <c r="K83" s="366">
        <v>4.6585395537100697E-3</v>
      </c>
      <c r="L83" s="117"/>
      <c r="M83" s="377">
        <v>1.4947194903871801</v>
      </c>
      <c r="N83" s="377">
        <v>-0.123401431627037</v>
      </c>
      <c r="O83" s="377">
        <v>7.84976925092742E-2</v>
      </c>
      <c r="P83" s="377">
        <v>-1.77758422142292E-2</v>
      </c>
      <c r="Q83" s="377">
        <v>1.4132273986937501E-3</v>
      </c>
    </row>
    <row r="84" spans="1:19" x14ac:dyDescent="0.2">
      <c r="B84" s="373">
        <f>INDEX($H$2:$H$28,MATCH(C82,$E$2:$E$28,0))</f>
        <v>150</v>
      </c>
      <c r="E84" s="105" t="s">
        <v>374</v>
      </c>
      <c r="F84" s="115" t="s">
        <v>83</v>
      </c>
      <c r="G84" s="366">
        <v>0.14305301264459799</v>
      </c>
      <c r="H84" s="366">
        <v>2.26173822482239E-3</v>
      </c>
      <c r="I84" s="366">
        <v>2.4276187415637199E-4</v>
      </c>
      <c r="J84" s="366">
        <v>-1.5286804568051299E-4</v>
      </c>
      <c r="K84" s="366">
        <v>1.73203149221607E-5</v>
      </c>
      <c r="L84" s="117"/>
      <c r="M84" s="388">
        <v>5.9850910045278899E-3</v>
      </c>
      <c r="N84" s="388">
        <v>-7.7630349239670099E-3</v>
      </c>
      <c r="O84" s="388">
        <v>3.8437013565914102E-3</v>
      </c>
      <c r="P84" s="388">
        <v>-8.1084180541790498E-4</v>
      </c>
      <c r="Q84" s="388">
        <v>6.1594363857237898E-5</v>
      </c>
    </row>
    <row r="85" spans="1:19" x14ac:dyDescent="0.2">
      <c r="B85" s="373">
        <f>INDEX($I$2:$I$28,MATCH(C82,$E$2:$E$28,0))</f>
        <v>-40</v>
      </c>
      <c r="E85" s="105" t="s">
        <v>375</v>
      </c>
      <c r="F85" s="115" t="s">
        <v>84</v>
      </c>
      <c r="G85" s="366">
        <v>4.7371303574906001E-5</v>
      </c>
      <c r="H85" s="366">
        <v>4.24309723085448E-5</v>
      </c>
      <c r="I85" s="366">
        <v>-1.05969840414511E-4</v>
      </c>
      <c r="J85" s="366">
        <v>3.77286351244807E-5</v>
      </c>
      <c r="K85" s="366">
        <v>-3.76269527611648E-6</v>
      </c>
      <c r="L85" s="117"/>
      <c r="M85" s="377">
        <v>-4.3198795754093399E-5</v>
      </c>
      <c r="N85" s="377">
        <v>5.9299861115010497E-5</v>
      </c>
      <c r="O85" s="377">
        <v>-2.9259143614860502E-5</v>
      </c>
      <c r="P85" s="377">
        <v>6.1927537580354801E-6</v>
      </c>
      <c r="Q85" s="377">
        <v>-4.72335000760647E-7</v>
      </c>
    </row>
    <row r="86" spans="1:19" x14ac:dyDescent="0.2">
      <c r="E86" s="105" t="s">
        <v>376</v>
      </c>
      <c r="F86" s="115" t="s">
        <v>85</v>
      </c>
      <c r="G86" s="366">
        <v>9.6068114216146397E-8</v>
      </c>
      <c r="H86" s="366">
        <v>-2.4859924337395901E-7</v>
      </c>
      <c r="I86" s="366">
        <v>6.4571270790703703E-7</v>
      </c>
      <c r="J86" s="366">
        <v>-2.2842259016657001E-7</v>
      </c>
      <c r="K86" s="366">
        <v>2.27096878741564E-8</v>
      </c>
      <c r="L86" s="117"/>
      <c r="M86" s="380"/>
      <c r="N86" s="380"/>
      <c r="O86" s="380"/>
      <c r="P86" s="380"/>
      <c r="Q86" s="380"/>
      <c r="S86" s="114"/>
    </row>
    <row r="87" spans="1:19" s="114" customFormat="1" x14ac:dyDescent="0.2">
      <c r="A87" s="353"/>
      <c r="B87" s="353"/>
      <c r="C87" s="353"/>
      <c r="E87" s="112"/>
      <c r="F87" s="116"/>
      <c r="G87" s="367"/>
      <c r="H87" s="367"/>
      <c r="I87" s="367"/>
      <c r="J87" s="367"/>
      <c r="K87" s="367"/>
      <c r="L87" s="294"/>
      <c r="M87" s="393" t="s">
        <v>404</v>
      </c>
      <c r="N87" s="385"/>
      <c r="O87" s="378"/>
      <c r="P87" s="379"/>
      <c r="Q87" s="378"/>
      <c r="S87"/>
    </row>
    <row r="88" spans="1:19" x14ac:dyDescent="0.2">
      <c r="A88" s="287">
        <v>8</v>
      </c>
      <c r="B88" s="287">
        <f>INDEX($A$2:$A$28,MATCH(C88,$E$2:$E$28,0))</f>
        <v>8</v>
      </c>
      <c r="C88" s="105" t="s">
        <v>482</v>
      </c>
      <c r="E88" s="105" t="s">
        <v>491</v>
      </c>
      <c r="F88" s="115" t="s">
        <v>81</v>
      </c>
      <c r="G88" s="366">
        <v>8361.0324913716704</v>
      </c>
      <c r="H88" s="366">
        <v>48.337340872126603</v>
      </c>
      <c r="I88" s="366">
        <v>-1.65480131630854</v>
      </c>
      <c r="J88" s="366">
        <v>0.64777941368762704</v>
      </c>
      <c r="K88" s="366">
        <v>-7.7399944373615706E-2</v>
      </c>
      <c r="L88" s="390" t="s">
        <v>696</v>
      </c>
      <c r="M88" s="374">
        <v>39073.527896342501</v>
      </c>
      <c r="N88" s="374">
        <v>18.842883797025902</v>
      </c>
      <c r="O88" s="374">
        <v>0.25581897208566801</v>
      </c>
      <c r="P88" s="381">
        <v>-5.3503036281571199E-3</v>
      </c>
      <c r="Q88" s="374">
        <v>2.9654683038591102E-5</v>
      </c>
    </row>
    <row r="89" spans="1:19" x14ac:dyDescent="0.2">
      <c r="B89" s="373">
        <f>INDEX($F$2:$F$28,MATCH(C88,$E$2:$E$28,0))</f>
        <v>10000</v>
      </c>
      <c r="E89" s="105" t="s">
        <v>492</v>
      </c>
      <c r="F89" s="115" t="s">
        <v>82</v>
      </c>
      <c r="G89" s="366">
        <v>52.354403938256702</v>
      </c>
      <c r="H89" s="366">
        <v>0.57382533774766398</v>
      </c>
      <c r="I89" s="366">
        <v>6.9378164298414896E-2</v>
      </c>
      <c r="J89" s="366">
        <v>-4.2079396498636103E-2</v>
      </c>
      <c r="K89" s="366">
        <v>4.6585395537100697E-3</v>
      </c>
      <c r="L89" s="117"/>
      <c r="M89" s="374">
        <v>246.69282823589299</v>
      </c>
      <c r="N89" s="374">
        <v>0.58969600356734198</v>
      </c>
      <c r="O89" s="374">
        <v>-1.50292158592613E-2</v>
      </c>
      <c r="P89" s="381">
        <v>2.7370985763503701E-4</v>
      </c>
      <c r="Q89" s="374">
        <v>-1.54974531645501E-6</v>
      </c>
    </row>
    <row r="90" spans="1:19" x14ac:dyDescent="0.2">
      <c r="B90" s="373">
        <f>INDEX($H$2:$H$28,MATCH(C88,$E$2:$E$28,0))</f>
        <v>150</v>
      </c>
      <c r="E90" s="105" t="s">
        <v>493</v>
      </c>
      <c r="F90" s="115" t="s">
        <v>83</v>
      </c>
      <c r="G90" s="366">
        <v>0.14305301264459799</v>
      </c>
      <c r="H90" s="366">
        <v>2.26173822482239E-3</v>
      </c>
      <c r="I90" s="366">
        <v>2.4276187415637199E-4</v>
      </c>
      <c r="J90" s="366">
        <v>-1.5286804568051299E-4</v>
      </c>
      <c r="K90" s="366">
        <v>1.73203149221607E-5</v>
      </c>
      <c r="L90" s="117"/>
      <c r="M90" s="374">
        <v>0.66104021479253205</v>
      </c>
      <c r="N90" s="374">
        <v>3.3113147669142202E-3</v>
      </c>
      <c r="O90" s="374">
        <v>-7.6584113134323996E-5</v>
      </c>
      <c r="P90" s="381">
        <v>1.25344071481677E-6</v>
      </c>
      <c r="Q90" s="374">
        <v>-6.7085148182899501E-9</v>
      </c>
    </row>
    <row r="91" spans="1:19" x14ac:dyDescent="0.2">
      <c r="B91" s="373">
        <f>INDEX($I$2:$I$28,MATCH(C88,$E$2:$E$28,0))</f>
        <v>-40</v>
      </c>
      <c r="E91" s="105" t="s">
        <v>494</v>
      </c>
      <c r="F91" s="115" t="s">
        <v>84</v>
      </c>
      <c r="G91" s="366">
        <v>4.7371303574906001E-5</v>
      </c>
      <c r="H91" s="366">
        <v>4.24309723085448E-5</v>
      </c>
      <c r="I91" s="366">
        <v>-1.05969840414511E-4</v>
      </c>
      <c r="J91" s="366">
        <v>3.77286351244807E-5</v>
      </c>
      <c r="K91" s="366">
        <v>-3.76269527611648E-6</v>
      </c>
      <c r="L91" s="117"/>
      <c r="M91" s="374">
        <v>9.5079858576910302E-4</v>
      </c>
      <c r="N91" s="382">
        <v>-1.5447829994645E-4</v>
      </c>
      <c r="O91" s="374">
        <v>8.0550366138575096E-6</v>
      </c>
      <c r="P91" s="381">
        <v>-1.5573269824507299E-7</v>
      </c>
      <c r="Q91" s="374">
        <v>8.9258955612169E-10</v>
      </c>
    </row>
    <row r="92" spans="1:19" x14ac:dyDescent="0.2">
      <c r="E92" s="105" t="s">
        <v>495</v>
      </c>
      <c r="F92" s="115" t="s">
        <v>85</v>
      </c>
      <c r="G92" s="366">
        <v>9.6068114216146397E-8</v>
      </c>
      <c r="H92" s="366">
        <v>-2.4859924337395901E-7</v>
      </c>
      <c r="I92" s="366">
        <v>6.4571270790703703E-7</v>
      </c>
      <c r="J92" s="366">
        <v>-2.2842259016657001E-7</v>
      </c>
      <c r="K92" s="366">
        <v>2.27096878741564E-8</v>
      </c>
      <c r="L92" s="117"/>
      <c r="M92" s="374">
        <v>-4.4732875444217696E-6</v>
      </c>
      <c r="N92" s="374">
        <v>1.2370882496924101E-6</v>
      </c>
      <c r="O92" s="374">
        <v>-6.2183422903682898E-8</v>
      </c>
      <c r="P92" s="381">
        <v>1.1987246676915001E-9</v>
      </c>
      <c r="Q92" s="374">
        <v>-6.86435601010155E-12</v>
      </c>
    </row>
    <row r="93" spans="1:19" x14ac:dyDescent="0.2">
      <c r="E93" s="112"/>
      <c r="F93" s="116"/>
      <c r="G93" s="113"/>
      <c r="H93" s="113"/>
      <c r="I93" s="113"/>
      <c r="J93" s="113"/>
      <c r="K93" s="113"/>
      <c r="L93" s="117"/>
      <c r="M93" s="378"/>
      <c r="N93" s="385"/>
      <c r="O93" s="378"/>
      <c r="P93" s="379"/>
      <c r="Q93" s="378"/>
    </row>
    <row r="94" spans="1:19" x14ac:dyDescent="0.2">
      <c r="A94" s="287">
        <v>9</v>
      </c>
      <c r="B94" s="287">
        <f>INDEX($A$2:$A$28,MATCH(C94,$E$2:$E$28,0))</f>
        <v>9</v>
      </c>
      <c r="C94" s="105" t="s">
        <v>338</v>
      </c>
      <c r="E94" s="105" t="s">
        <v>377</v>
      </c>
      <c r="F94" s="115" t="s">
        <v>81</v>
      </c>
      <c r="G94" s="366">
        <v>8372.3615939093106</v>
      </c>
      <c r="H94" s="366">
        <v>50.999913326927803</v>
      </c>
      <c r="I94" s="366">
        <v>-0.39817713312681702</v>
      </c>
      <c r="J94" s="366">
        <v>-0.35474818919505702</v>
      </c>
      <c r="K94" s="366">
        <v>2.6871006620532802E-2</v>
      </c>
      <c r="L94" s="117"/>
      <c r="M94" s="393" t="s">
        <v>567</v>
      </c>
      <c r="N94" s="385"/>
      <c r="O94" s="378"/>
      <c r="P94" s="379"/>
      <c r="Q94" s="378"/>
    </row>
    <row r="95" spans="1:19" x14ac:dyDescent="0.2">
      <c r="B95" s="373">
        <f>INDEX($F$2:$F$28,MATCH(C94,$E$2:$E$28,0))</f>
        <v>10000</v>
      </c>
      <c r="D95" s="104"/>
      <c r="E95" s="105" t="s">
        <v>378</v>
      </c>
      <c r="F95" s="115" t="s">
        <v>82</v>
      </c>
      <c r="G95" s="366">
        <v>52.4959157636737</v>
      </c>
      <c r="H95" s="366">
        <v>0.523310445629112</v>
      </c>
      <c r="I95" s="366">
        <v>-4.7999161452887698E-2</v>
      </c>
      <c r="J95" s="366">
        <v>7.0678957907649902E-3</v>
      </c>
      <c r="K95" s="366">
        <v>-4.8841564170884596E-4</v>
      </c>
      <c r="L95" s="390" t="s">
        <v>696</v>
      </c>
      <c r="M95" s="374">
        <v>39168.574985617102</v>
      </c>
      <c r="N95" s="374">
        <v>18.684582842233599</v>
      </c>
      <c r="O95" s="374">
        <v>0.24173203617390299</v>
      </c>
      <c r="P95" s="374">
        <v>-4.8853846471426697E-3</v>
      </c>
      <c r="Q95" s="374">
        <v>2.65815730132797E-5</v>
      </c>
    </row>
    <row r="96" spans="1:19" x14ac:dyDescent="0.2">
      <c r="B96" s="373">
        <f>INDEX($H$2:$H$28,MATCH(C94,$E$2:$E$28,0))</f>
        <v>150</v>
      </c>
      <c r="E96" s="105" t="s">
        <v>379</v>
      </c>
      <c r="F96" s="115" t="s">
        <v>83</v>
      </c>
      <c r="G96" s="366">
        <v>0.136378594352284</v>
      </c>
      <c r="H96" s="366">
        <v>3.9627735841903603E-3</v>
      </c>
      <c r="I96" s="366">
        <v>-1.8438781893195999E-3</v>
      </c>
      <c r="J96" s="366">
        <v>4.7582387443736301E-4</v>
      </c>
      <c r="K96" s="366">
        <v>-3.8224148665906102E-5</v>
      </c>
      <c r="L96" s="117"/>
      <c r="M96" s="374">
        <v>243.56600424651899</v>
      </c>
      <c r="N96" s="374">
        <v>0.61246544691819305</v>
      </c>
      <c r="O96" s="374">
        <v>-1.6271884868654201E-2</v>
      </c>
      <c r="P96" s="374">
        <v>2.9497710469131999E-4</v>
      </c>
      <c r="Q96" s="374">
        <v>-1.6635826320493701E-6</v>
      </c>
    </row>
    <row r="97" spans="1:17" x14ac:dyDescent="0.2">
      <c r="B97" s="373">
        <f>INDEX($I$2:$I$28,MATCH(C94,$E$2:$E$28,0))</f>
        <v>-40</v>
      </c>
      <c r="E97" s="105" t="s">
        <v>380</v>
      </c>
      <c r="F97" s="115" t="s">
        <v>84</v>
      </c>
      <c r="G97" s="366">
        <v>1.91447173481012E-4</v>
      </c>
      <c r="H97" s="366">
        <v>-5.6778982769049697E-5</v>
      </c>
      <c r="I97" s="366">
        <v>3.9172318094447799E-5</v>
      </c>
      <c r="J97" s="366">
        <v>-9.7470177886775406E-6</v>
      </c>
      <c r="K97" s="366">
        <v>7.48386974016252E-7</v>
      </c>
      <c r="L97" s="117"/>
      <c r="M97" s="374">
        <v>0.64114181731042896</v>
      </c>
      <c r="N97" s="374">
        <v>3.0164923461275298E-3</v>
      </c>
      <c r="O97" s="374">
        <v>-6.3519963468189805E-5</v>
      </c>
      <c r="P97" s="374">
        <v>1.01919890559555E-6</v>
      </c>
      <c r="Q97" s="374">
        <v>-5.4048435953805197E-9</v>
      </c>
    </row>
    <row r="98" spans="1:17" x14ac:dyDescent="0.2">
      <c r="E98" s="105" t="s">
        <v>381</v>
      </c>
      <c r="F98" s="115" t="s">
        <v>85</v>
      </c>
      <c r="G98" s="366">
        <v>-4.2893845061380202E-7</v>
      </c>
      <c r="H98" s="366">
        <v>6.3986673669595005E-7</v>
      </c>
      <c r="I98" s="366">
        <v>-3.6709738962319602E-7</v>
      </c>
      <c r="J98" s="366">
        <v>8.4422184348922404E-8</v>
      </c>
      <c r="K98" s="366">
        <v>-6.3065574785736401E-9</v>
      </c>
      <c r="L98" s="117"/>
      <c r="M98" s="382">
        <v>1.3475458839712401E-3</v>
      </c>
      <c r="N98" s="382">
        <v>-1.69564705674006E-4</v>
      </c>
      <c r="O98" s="382">
        <v>8.9466355504256997E-6</v>
      </c>
      <c r="P98" s="382">
        <v>-1.73217522510246E-7</v>
      </c>
      <c r="Q98" s="382">
        <v>9.9427151188728497E-10</v>
      </c>
    </row>
    <row r="99" spans="1:17" x14ac:dyDescent="0.2">
      <c r="E99" s="105"/>
      <c r="F99" s="116"/>
      <c r="G99" s="367"/>
      <c r="H99" s="367"/>
      <c r="I99" s="367"/>
      <c r="J99" s="367"/>
      <c r="K99" s="367"/>
      <c r="L99" s="117"/>
      <c r="M99" s="374">
        <v>-7.2096260590240796E-6</v>
      </c>
      <c r="N99" s="374">
        <v>1.3771760925430199E-6</v>
      </c>
      <c r="O99" s="374">
        <v>-7.0349752707070406E-8</v>
      </c>
      <c r="P99" s="374">
        <v>1.35804343258657E-9</v>
      </c>
      <c r="Q99" s="374">
        <v>-7.78727902361835E-12</v>
      </c>
    </row>
    <row r="100" spans="1:17" x14ac:dyDescent="0.2">
      <c r="A100" s="287">
        <v>10</v>
      </c>
      <c r="B100" s="287">
        <f>INDEX($A$2:$A$28,MATCH(C100,$E$2:$E$28,0))</f>
        <v>10</v>
      </c>
      <c r="C100" s="105" t="s">
        <v>339</v>
      </c>
      <c r="E100" s="105" t="s">
        <v>382</v>
      </c>
      <c r="F100" s="115" t="s">
        <v>81</v>
      </c>
      <c r="G100" s="366">
        <v>8372.3615939093106</v>
      </c>
      <c r="H100" s="366">
        <v>50.999913326927803</v>
      </c>
      <c r="I100" s="366">
        <v>-0.39817713312681702</v>
      </c>
      <c r="J100" s="366">
        <v>-0.35474818919505702</v>
      </c>
      <c r="K100" s="366">
        <v>2.6871006620532802E-2</v>
      </c>
      <c r="L100" s="117"/>
    </row>
    <row r="101" spans="1:17" x14ac:dyDescent="0.2">
      <c r="B101" s="373">
        <f>INDEX($F$2:$F$28,MATCH(C100,$E$2:$E$28,0))</f>
        <v>10000</v>
      </c>
      <c r="E101" s="105" t="s">
        <v>383</v>
      </c>
      <c r="F101" s="115" t="s">
        <v>82</v>
      </c>
      <c r="G101" s="366">
        <v>52.4959157636737</v>
      </c>
      <c r="H101" s="366">
        <v>0.523310445629112</v>
      </c>
      <c r="I101" s="366">
        <v>-4.7999161452887698E-2</v>
      </c>
      <c r="J101" s="366">
        <v>7.0678957907649902E-3</v>
      </c>
      <c r="K101" s="366">
        <v>-4.8841564170884596E-4</v>
      </c>
      <c r="L101" s="117"/>
      <c r="M101" s="357"/>
      <c r="N101" s="384"/>
      <c r="O101" s="384"/>
      <c r="P101" s="387"/>
      <c r="Q101" s="384"/>
    </row>
    <row r="102" spans="1:17" x14ac:dyDescent="0.2">
      <c r="B102" s="373">
        <f>INDEX($H$2:$H$28,MATCH(C100,$E$2:$E$28,0))</f>
        <v>150</v>
      </c>
      <c r="E102" s="105" t="s">
        <v>384</v>
      </c>
      <c r="F102" s="115" t="s">
        <v>83</v>
      </c>
      <c r="G102" s="366">
        <v>0.136378594352284</v>
      </c>
      <c r="H102" s="366">
        <v>3.9627735841903603E-3</v>
      </c>
      <c r="I102" s="366">
        <v>-1.8438781893195999E-3</v>
      </c>
      <c r="J102" s="366">
        <v>4.7582387443736301E-4</v>
      </c>
      <c r="K102" s="366">
        <v>-3.8224148665906102E-5</v>
      </c>
      <c r="L102" s="117"/>
      <c r="M102" s="386"/>
      <c r="N102" s="386"/>
      <c r="O102" s="386"/>
      <c r="P102" s="386"/>
      <c r="Q102" s="386"/>
    </row>
    <row r="103" spans="1:17" x14ac:dyDescent="0.2">
      <c r="B103" s="373">
        <f>INDEX($I$2:$I$28,MATCH(C100,$E$2:$E$28,0))</f>
        <v>-40</v>
      </c>
      <c r="E103" s="105" t="s">
        <v>385</v>
      </c>
      <c r="F103" s="115" t="s">
        <v>84</v>
      </c>
      <c r="G103" s="366">
        <v>1.91447173481012E-4</v>
      </c>
      <c r="H103" s="366">
        <v>-5.6778982769049697E-5</v>
      </c>
      <c r="I103" s="366">
        <v>3.9172318094447799E-5</v>
      </c>
      <c r="J103" s="366">
        <v>-9.7470177886775406E-6</v>
      </c>
      <c r="K103" s="366">
        <v>7.48386974016252E-7</v>
      </c>
      <c r="L103" s="117"/>
      <c r="M103" s="386"/>
      <c r="N103" s="386"/>
      <c r="O103" s="386"/>
      <c r="P103" s="386"/>
      <c r="Q103" s="386"/>
    </row>
    <row r="104" spans="1:17" x14ac:dyDescent="0.2">
      <c r="E104" s="105" t="s">
        <v>386</v>
      </c>
      <c r="F104" s="115" t="s">
        <v>85</v>
      </c>
      <c r="G104" s="366">
        <v>-4.2893845061380202E-7</v>
      </c>
      <c r="H104" s="366">
        <v>6.3986673669595005E-7</v>
      </c>
      <c r="I104" s="366">
        <v>-3.6709738962319602E-7</v>
      </c>
      <c r="J104" s="366">
        <v>8.4422184348922404E-8</v>
      </c>
      <c r="K104" s="366">
        <v>-6.3065574785736401E-9</v>
      </c>
      <c r="L104" s="117"/>
      <c r="M104" s="386"/>
      <c r="N104" s="386"/>
      <c r="O104" s="386"/>
      <c r="P104" s="386"/>
      <c r="Q104" s="386"/>
    </row>
    <row r="105" spans="1:17" s="114" customFormat="1" x14ac:dyDescent="0.2">
      <c r="A105" s="353"/>
      <c r="B105" s="353"/>
      <c r="C105" s="353"/>
      <c r="E105" s="112"/>
      <c r="F105" s="116"/>
      <c r="G105" s="367"/>
      <c r="H105" s="367"/>
      <c r="I105" s="367"/>
      <c r="J105" s="367"/>
      <c r="K105" s="367"/>
      <c r="L105" s="294"/>
      <c r="M105" s="386"/>
      <c r="N105" s="386"/>
      <c r="O105" s="386"/>
      <c r="P105" s="386"/>
      <c r="Q105" s="386"/>
    </row>
    <row r="106" spans="1:17" x14ac:dyDescent="0.2">
      <c r="A106" s="287">
        <v>11</v>
      </c>
      <c r="B106" s="287">
        <f>INDEX($A$2:$A$28,MATCH(C106,$E$2:$E$28,0))</f>
        <v>11</v>
      </c>
      <c r="C106" s="105" t="s">
        <v>340</v>
      </c>
      <c r="E106" s="105" t="s">
        <v>387</v>
      </c>
      <c r="F106" s="115" t="s">
        <v>81</v>
      </c>
      <c r="G106" s="366">
        <v>8376.4047789259203</v>
      </c>
      <c r="H106" s="366">
        <v>56.067391853266997</v>
      </c>
      <c r="I106" s="366">
        <v>-6.4171042655813197</v>
      </c>
      <c r="J106" s="366">
        <v>1.5492420676686101</v>
      </c>
      <c r="K106" s="366">
        <v>-0.151541706949952</v>
      </c>
      <c r="L106" s="117"/>
      <c r="M106" s="386"/>
      <c r="N106" s="386"/>
      <c r="O106" s="386"/>
      <c r="P106" s="386"/>
      <c r="Q106" s="386"/>
    </row>
    <row r="107" spans="1:17" x14ac:dyDescent="0.2">
      <c r="B107" s="373">
        <f>INDEX($F$2:$F$28,MATCH(C106,$E$2:$E$28,0))</f>
        <v>10000</v>
      </c>
      <c r="E107" s="105" t="s">
        <v>388</v>
      </c>
      <c r="F107" s="115" t="s">
        <v>82</v>
      </c>
      <c r="G107" s="366">
        <v>52.170927838267502</v>
      </c>
      <c r="H107" s="366">
        <v>0.489427543719062</v>
      </c>
      <c r="I107" s="366">
        <v>7.8127590380147605E-2</v>
      </c>
      <c r="J107" s="366">
        <v>-3.5798408977859103E-2</v>
      </c>
      <c r="K107" s="366">
        <v>3.6514171630348999E-3</v>
      </c>
      <c r="L107" s="117"/>
    </row>
    <row r="108" spans="1:17" x14ac:dyDescent="0.2">
      <c r="B108" s="373">
        <f>INDEX($H$2:$H$28,MATCH(C106,$E$2:$E$28,0))</f>
        <v>170</v>
      </c>
      <c r="E108" s="105" t="s">
        <v>389</v>
      </c>
      <c r="F108" s="115" t="s">
        <v>83</v>
      </c>
      <c r="G108" s="366">
        <v>0.133030694593748</v>
      </c>
      <c r="H108" s="366">
        <v>2.09388976502628E-3</v>
      </c>
      <c r="I108" s="366">
        <v>1.4215016850833101E-3</v>
      </c>
      <c r="J108" s="366">
        <v>-5.7334284218350502E-4</v>
      </c>
      <c r="K108" s="366">
        <v>5.8984695954595497E-5</v>
      </c>
      <c r="L108" s="117"/>
    </row>
    <row r="109" spans="1:17" x14ac:dyDescent="0.2">
      <c r="B109" s="373">
        <f>INDEX($I$2:$I$28,MATCH(C106,$E$2:$E$28,0))</f>
        <v>-40</v>
      </c>
      <c r="E109" s="105" t="s">
        <v>390</v>
      </c>
      <c r="F109" s="115" t="s">
        <v>84</v>
      </c>
      <c r="G109" s="366">
        <v>3.6884316025766699E-4</v>
      </c>
      <c r="H109" s="366">
        <v>-2.3637949347307099E-4</v>
      </c>
      <c r="I109" s="366">
        <v>1.03465899712959E-4</v>
      </c>
      <c r="J109" s="366">
        <v>-2.18302556771475E-5</v>
      </c>
      <c r="K109" s="366">
        <v>1.7261098384421201E-6</v>
      </c>
      <c r="L109" s="117"/>
    </row>
    <row r="110" spans="1:17" x14ac:dyDescent="0.2">
      <c r="E110" s="105" t="s">
        <v>391</v>
      </c>
      <c r="F110" s="115" t="s">
        <v>85</v>
      </c>
      <c r="G110" s="366">
        <v>-1.21382752673235E-6</v>
      </c>
      <c r="H110" s="366">
        <v>1.22640272647557E-6</v>
      </c>
      <c r="I110" s="366">
        <v>-5.1606364116429999E-7</v>
      </c>
      <c r="J110" s="366">
        <v>1.07182593352566E-7</v>
      </c>
      <c r="K110" s="366">
        <v>-8.4186262261153103E-9</v>
      </c>
      <c r="L110" s="117"/>
    </row>
    <row r="111" spans="1:17" s="114" customFormat="1" x14ac:dyDescent="0.2">
      <c r="A111" s="353"/>
      <c r="B111" s="353"/>
      <c r="C111" s="353"/>
      <c r="E111" s="112"/>
      <c r="F111" s="116"/>
      <c r="G111" s="367"/>
      <c r="H111" s="367"/>
      <c r="I111" s="367"/>
      <c r="J111" s="367"/>
      <c r="K111" s="367"/>
      <c r="L111" s="294"/>
    </row>
    <row r="112" spans="1:17" x14ac:dyDescent="0.2">
      <c r="A112" s="287">
        <v>12</v>
      </c>
      <c r="B112" s="287">
        <f>INDEX($A$2:$A$28,MATCH(C112,$E$2:$E$28,0))</f>
        <v>12</v>
      </c>
      <c r="C112" s="105" t="s">
        <v>336</v>
      </c>
      <c r="E112" s="105" t="s">
        <v>392</v>
      </c>
      <c r="F112" s="115" t="s">
        <v>81</v>
      </c>
      <c r="G112" s="366">
        <v>82766.371429289968</v>
      </c>
      <c r="H112" s="366">
        <v>703.62683737283646</v>
      </c>
      <c r="I112" s="366">
        <v>-31.813050255623118</v>
      </c>
      <c r="J112" s="366">
        <v>6.4979977007211289</v>
      </c>
      <c r="K112" s="366">
        <v>-0.65004340770771107</v>
      </c>
      <c r="L112" s="117"/>
    </row>
    <row r="113" spans="1:19" x14ac:dyDescent="0.2">
      <c r="B113" s="373">
        <f>INDEX($F$2:$F$28,MATCH(C112,$E$2:$E$28,0))</f>
        <v>100000</v>
      </c>
      <c r="E113" s="105" t="s">
        <v>393</v>
      </c>
      <c r="F113" s="115" t="s">
        <v>82</v>
      </c>
      <c r="G113" s="366">
        <v>522.99226607574792</v>
      </c>
      <c r="H113" s="366">
        <v>9.0616055570385949</v>
      </c>
      <c r="I113" s="366">
        <v>-0.84159497747348611</v>
      </c>
      <c r="J113" s="366">
        <v>5.8449746501772488E-2</v>
      </c>
      <c r="K113" s="366">
        <v>2.5850429026688318E-4</v>
      </c>
      <c r="L113" s="117"/>
      <c r="S113" s="109"/>
    </row>
    <row r="114" spans="1:19" x14ac:dyDescent="0.2">
      <c r="B114" s="373">
        <f>INDEX($H$2:$H$28,MATCH(C112,$E$2:$E$28,0))</f>
        <v>125</v>
      </c>
      <c r="E114" s="105" t="s">
        <v>394</v>
      </c>
      <c r="F114" s="115" t="s">
        <v>83</v>
      </c>
      <c r="G114" s="366">
        <v>1.4768911295910694</v>
      </c>
      <c r="H114" s="366">
        <v>-8.8166705422638922E-2</v>
      </c>
      <c r="I114" s="366">
        <v>6.3005230039385643E-2</v>
      </c>
      <c r="J114" s="366">
        <v>-1.5223414950914033E-2</v>
      </c>
      <c r="K114" s="366">
        <v>1.3190363648578371E-3</v>
      </c>
      <c r="L114" s="117"/>
      <c r="S114" s="109"/>
    </row>
    <row r="115" spans="1:19" x14ac:dyDescent="0.2">
      <c r="B115" s="373">
        <f>INDEX($I$2:$I$28,MATCH(C112,$E$2:$E$28,0))</f>
        <v>-40</v>
      </c>
      <c r="E115" s="105" t="s">
        <v>395</v>
      </c>
      <c r="F115" s="115" t="s">
        <v>84</v>
      </c>
      <c r="G115" s="366">
        <v>6.8564100112656224E-4</v>
      </c>
      <c r="H115" s="366">
        <v>5.375986463466249E-5</v>
      </c>
      <c r="I115" s="366">
        <v>-3.2918783098492453E-4</v>
      </c>
      <c r="J115" s="366">
        <v>1.2525378776346592E-4</v>
      </c>
      <c r="K115" s="366">
        <v>-1.3606351635872326E-5</v>
      </c>
      <c r="L115" s="117"/>
      <c r="S115" s="109"/>
    </row>
    <row r="116" spans="1:19" x14ac:dyDescent="0.2">
      <c r="E116" s="105" t="s">
        <v>396</v>
      </c>
      <c r="F116" s="115" t="s">
        <v>85</v>
      </c>
      <c r="G116" s="366">
        <v>-6.3127371753050356E-6</v>
      </c>
      <c r="H116" s="366">
        <v>1.0225479035738336E-5</v>
      </c>
      <c r="I116" s="366">
        <v>-3.1066406903682506E-6</v>
      </c>
      <c r="J116" s="366">
        <v>3.782672573318005E-7</v>
      </c>
      <c r="K116" s="366">
        <v>-1.1756732943879402E-8</v>
      </c>
      <c r="L116" s="117"/>
      <c r="S116" s="109"/>
    </row>
    <row r="117" spans="1:19" x14ac:dyDescent="0.2">
      <c r="E117" s="112"/>
      <c r="F117" s="116"/>
      <c r="G117" s="367"/>
      <c r="H117" s="367"/>
      <c r="I117" s="367"/>
      <c r="J117" s="367"/>
      <c r="K117" s="367"/>
      <c r="L117" s="117"/>
      <c r="M117" s="375"/>
      <c r="N117" s="375"/>
      <c r="O117" s="375"/>
      <c r="P117" s="376"/>
      <c r="Q117" s="375"/>
    </row>
    <row r="118" spans="1:19" x14ac:dyDescent="0.2">
      <c r="A118" s="287">
        <v>13</v>
      </c>
      <c r="B118" s="287">
        <f>INDEX($A$2:$A$28,MATCH(C118,$E$2:$E$28,0))</f>
        <v>13</v>
      </c>
      <c r="C118" s="105" t="s">
        <v>483</v>
      </c>
      <c r="E118" s="105" t="s">
        <v>501</v>
      </c>
      <c r="F118" s="115" t="s">
        <v>81</v>
      </c>
      <c r="G118" s="366">
        <v>82766.371429289968</v>
      </c>
      <c r="H118" s="366">
        <v>703.62683737283646</v>
      </c>
      <c r="I118" s="366">
        <v>-31.813050255623118</v>
      </c>
      <c r="J118" s="366">
        <v>6.4979977007211289</v>
      </c>
      <c r="K118" s="366">
        <v>-0.65004340770771107</v>
      </c>
      <c r="L118" s="117"/>
      <c r="M118" s="378"/>
      <c r="N118" s="385"/>
      <c r="O118" s="375"/>
      <c r="P118" s="376"/>
      <c r="Q118" s="375"/>
    </row>
    <row r="119" spans="1:19" x14ac:dyDescent="0.2">
      <c r="B119" s="373">
        <f>INDEX($F$2:$F$28,MATCH(C118,$E$2:$E$28,0))</f>
        <v>100000</v>
      </c>
      <c r="E119" s="105" t="s">
        <v>502</v>
      </c>
      <c r="F119" s="115" t="s">
        <v>82</v>
      </c>
      <c r="G119" s="366">
        <v>522.99226607574792</v>
      </c>
      <c r="H119" s="366">
        <v>9.0616055570385949</v>
      </c>
      <c r="I119" s="366">
        <v>-0.84159497747348611</v>
      </c>
      <c r="J119" s="366">
        <v>5.8449746501772488E-2</v>
      </c>
      <c r="K119" s="366">
        <v>2.5850429026688318E-4</v>
      </c>
      <c r="L119" s="117"/>
      <c r="M119" s="378"/>
      <c r="N119" s="385"/>
      <c r="O119" s="375"/>
      <c r="P119" s="376"/>
      <c r="Q119" s="375"/>
    </row>
    <row r="120" spans="1:19" x14ac:dyDescent="0.2">
      <c r="B120" s="373">
        <f>INDEX($H$2:$H$28,MATCH(C118,$E$2:$E$28,0))</f>
        <v>125</v>
      </c>
      <c r="E120" s="105" t="s">
        <v>503</v>
      </c>
      <c r="F120" s="115" t="s">
        <v>83</v>
      </c>
      <c r="G120" s="366">
        <v>1.4768911295910694</v>
      </c>
      <c r="H120" s="366">
        <v>-8.8166705422638922E-2</v>
      </c>
      <c r="I120" s="366">
        <v>6.3005230039385643E-2</v>
      </c>
      <c r="J120" s="366">
        <v>-1.5223414950914033E-2</v>
      </c>
      <c r="K120" s="366">
        <v>1.3190363648578371E-3</v>
      </c>
      <c r="L120" s="117"/>
      <c r="M120" s="378"/>
      <c r="N120" s="385"/>
      <c r="O120" s="375"/>
      <c r="P120" s="376"/>
      <c r="Q120" s="375"/>
    </row>
    <row r="121" spans="1:19" x14ac:dyDescent="0.2">
      <c r="B121" s="373">
        <f>INDEX($I$2:$I$28,MATCH(C118,$E$2:$E$28,0))</f>
        <v>-40</v>
      </c>
      <c r="E121" s="105" t="s">
        <v>504</v>
      </c>
      <c r="F121" s="115" t="s">
        <v>84</v>
      </c>
      <c r="G121" s="366">
        <v>6.8564100112656224E-4</v>
      </c>
      <c r="H121" s="366">
        <v>5.375986463466249E-5</v>
      </c>
      <c r="I121" s="366">
        <v>-3.2918783098492453E-4</v>
      </c>
      <c r="J121" s="366">
        <v>1.2525378776346592E-4</v>
      </c>
      <c r="K121" s="366">
        <v>-1.3606351635872326E-5</v>
      </c>
      <c r="L121" s="117"/>
      <c r="M121" s="378"/>
      <c r="N121" s="385"/>
      <c r="O121" s="375"/>
      <c r="P121" s="376"/>
      <c r="Q121" s="375"/>
    </row>
    <row r="122" spans="1:19" x14ac:dyDescent="0.2">
      <c r="E122" s="105" t="s">
        <v>505</v>
      </c>
      <c r="F122" s="115" t="s">
        <v>85</v>
      </c>
      <c r="G122" s="366">
        <v>-6.3127371753050356E-6</v>
      </c>
      <c r="H122" s="366">
        <v>1.0225479035738336E-5</v>
      </c>
      <c r="I122" s="366">
        <v>-3.1066406903682506E-6</v>
      </c>
      <c r="J122" s="366">
        <v>3.782672573318005E-7</v>
      </c>
      <c r="K122" s="366">
        <v>-1.1756732943879402E-8</v>
      </c>
      <c r="L122" s="117"/>
      <c r="M122" s="378"/>
      <c r="N122" s="385"/>
      <c r="O122" s="375"/>
      <c r="P122" s="376"/>
      <c r="Q122" s="375"/>
    </row>
    <row r="123" spans="1:19" s="114" customFormat="1" x14ac:dyDescent="0.2">
      <c r="A123" s="353"/>
      <c r="B123" s="353"/>
      <c r="C123" s="353"/>
      <c r="E123" s="112"/>
      <c r="F123" s="116"/>
      <c r="G123" s="367"/>
      <c r="H123" s="367"/>
      <c r="I123" s="367"/>
      <c r="J123" s="367"/>
      <c r="K123" s="367"/>
      <c r="L123" s="294"/>
      <c r="M123" s="378"/>
      <c r="N123" s="385"/>
      <c r="O123" s="378"/>
      <c r="P123" s="379"/>
      <c r="Q123" s="378"/>
    </row>
    <row r="124" spans="1:19" x14ac:dyDescent="0.2">
      <c r="A124" s="287">
        <v>14</v>
      </c>
      <c r="B124" s="287">
        <f>INDEX($A$2:$A$28,MATCH(C124,$E$2:$E$28,0))</f>
        <v>14</v>
      </c>
      <c r="C124" s="105" t="s">
        <v>337</v>
      </c>
      <c r="E124" s="105" t="s">
        <v>397</v>
      </c>
      <c r="F124" s="115" t="s">
        <v>81</v>
      </c>
      <c r="G124" s="366">
        <v>82766.371429289968</v>
      </c>
      <c r="H124" s="366">
        <v>703.62683737283646</v>
      </c>
      <c r="I124" s="366">
        <v>-31.813050255623118</v>
      </c>
      <c r="J124" s="366">
        <v>6.4979977007211289</v>
      </c>
      <c r="K124" s="366">
        <v>-0.65004340770771107</v>
      </c>
      <c r="L124" s="117"/>
      <c r="M124" s="375"/>
      <c r="N124" s="375"/>
      <c r="O124" s="375"/>
      <c r="P124" s="376"/>
      <c r="Q124" s="375"/>
    </row>
    <row r="125" spans="1:19" x14ac:dyDescent="0.2">
      <c r="B125" s="373">
        <f>INDEX($F$2:$F$28,MATCH(C124,$E$2:$E$28,0))</f>
        <v>100000</v>
      </c>
      <c r="D125" s="105"/>
      <c r="E125" s="105" t="s">
        <v>398</v>
      </c>
      <c r="F125" s="115" t="s">
        <v>82</v>
      </c>
      <c r="G125" s="366">
        <v>522.99226607574792</v>
      </c>
      <c r="H125" s="366">
        <v>9.0616055570385949</v>
      </c>
      <c r="I125" s="366">
        <v>-0.84159497747348611</v>
      </c>
      <c r="J125" s="366">
        <v>5.8449746501772488E-2</v>
      </c>
      <c r="K125" s="366">
        <v>2.5850429026688318E-4</v>
      </c>
      <c r="L125" s="117"/>
      <c r="M125" s="375"/>
      <c r="N125" s="375"/>
      <c r="O125" s="375"/>
      <c r="P125" s="376"/>
      <c r="Q125" s="375"/>
    </row>
    <row r="126" spans="1:19" x14ac:dyDescent="0.2">
      <c r="A126" s="321"/>
      <c r="B126" s="373">
        <f>INDEX($H$2:$H$28,MATCH(C124,$E$2:$E$28,0))</f>
        <v>125</v>
      </c>
      <c r="C126" s="363"/>
      <c r="E126" s="105" t="s">
        <v>399</v>
      </c>
      <c r="F126" s="115" t="s">
        <v>83</v>
      </c>
      <c r="G126" s="366">
        <v>1.4768911295910694</v>
      </c>
      <c r="H126" s="366">
        <v>-8.8166705422638922E-2</v>
      </c>
      <c r="I126" s="366">
        <v>6.3005230039385643E-2</v>
      </c>
      <c r="J126" s="366">
        <v>-1.5223414950914033E-2</v>
      </c>
      <c r="K126" s="366">
        <v>1.3190363648578371E-3</v>
      </c>
      <c r="L126" s="117"/>
      <c r="M126" s="375"/>
      <c r="N126" s="375"/>
      <c r="O126" s="375"/>
      <c r="P126" s="376"/>
      <c r="Q126" s="375"/>
    </row>
    <row r="127" spans="1:19" x14ac:dyDescent="0.2">
      <c r="A127" s="321"/>
      <c r="B127" s="373">
        <f>INDEX($I$2:$I$28,MATCH(C124,$E$2:$E$28,0))</f>
        <v>-40</v>
      </c>
      <c r="C127" s="363"/>
      <c r="E127" s="105" t="s">
        <v>400</v>
      </c>
      <c r="F127" s="115" t="s">
        <v>84</v>
      </c>
      <c r="G127" s="366">
        <v>6.8564100112656224E-4</v>
      </c>
      <c r="H127" s="366">
        <v>5.375986463466249E-5</v>
      </c>
      <c r="I127" s="366">
        <v>-3.2918783098492453E-4</v>
      </c>
      <c r="J127" s="366">
        <v>1.2525378776346592E-4</v>
      </c>
      <c r="K127" s="366">
        <v>-1.3606351635872326E-5</v>
      </c>
      <c r="L127" s="117"/>
      <c r="M127" s="375"/>
      <c r="N127" s="378"/>
      <c r="O127" s="375"/>
      <c r="P127" s="376"/>
      <c r="Q127" s="375"/>
    </row>
    <row r="128" spans="1:19" x14ac:dyDescent="0.2">
      <c r="E128" s="105" t="s">
        <v>401</v>
      </c>
      <c r="F128" s="115" t="s">
        <v>85</v>
      </c>
      <c r="G128" s="366">
        <v>-6.3127371753050356E-6</v>
      </c>
      <c r="H128" s="366">
        <v>1.0225479035738336E-5</v>
      </c>
      <c r="I128" s="366">
        <v>-3.1066406903682506E-6</v>
      </c>
      <c r="J128" s="366">
        <v>3.782672573318005E-7</v>
      </c>
      <c r="K128" s="366">
        <v>-1.1756732943879402E-8</v>
      </c>
      <c r="L128" s="117"/>
      <c r="M128" s="375"/>
      <c r="N128" s="375"/>
      <c r="O128" s="375"/>
      <c r="P128" s="376"/>
      <c r="Q128" s="375"/>
    </row>
    <row r="129" spans="1:18" x14ac:dyDescent="0.2">
      <c r="E129" s="105"/>
      <c r="F129" s="355"/>
      <c r="G129" s="368"/>
      <c r="H129" s="368"/>
      <c r="I129" s="368"/>
      <c r="J129" s="368"/>
      <c r="K129" s="368"/>
      <c r="L129" s="117"/>
      <c r="M129" s="378"/>
      <c r="N129" s="385"/>
      <c r="O129" s="375"/>
      <c r="P129" s="376"/>
      <c r="Q129" s="375"/>
    </row>
    <row r="130" spans="1:18" x14ac:dyDescent="0.2">
      <c r="A130" s="353">
        <v>15</v>
      </c>
      <c r="B130" s="287">
        <f>INDEX($A$2:$A$28,MATCH(C130,$E$2:$E$28,0))</f>
        <v>15</v>
      </c>
      <c r="C130" s="112" t="s">
        <v>484</v>
      </c>
      <c r="D130" s="114"/>
      <c r="E130" s="356" t="s">
        <v>496</v>
      </c>
      <c r="F130" s="115" t="s">
        <v>81</v>
      </c>
      <c r="G130" s="366">
        <v>82766.371429289968</v>
      </c>
      <c r="H130" s="366">
        <v>703.62683737283646</v>
      </c>
      <c r="I130" s="366">
        <v>-31.813050255623118</v>
      </c>
      <c r="J130" s="366">
        <v>6.4979977007211289</v>
      </c>
      <c r="K130" s="366">
        <v>-0.65004340770771107</v>
      </c>
      <c r="L130" s="391"/>
      <c r="M130" s="378"/>
      <c r="N130" s="378"/>
      <c r="O130" s="378"/>
      <c r="P130" s="379"/>
      <c r="Q130" s="378"/>
      <c r="R130" s="114"/>
    </row>
    <row r="131" spans="1:18" x14ac:dyDescent="0.2">
      <c r="B131" s="373">
        <f>INDEX($F$2:$F$28,MATCH(C130,$E$2:$E$28,0))</f>
        <v>100000</v>
      </c>
      <c r="D131" s="105"/>
      <c r="E131" s="105" t="s">
        <v>497</v>
      </c>
      <c r="F131" s="115" t="s">
        <v>82</v>
      </c>
      <c r="G131" s="366">
        <v>522.99226607574792</v>
      </c>
      <c r="H131" s="366">
        <v>9.0616055570385949</v>
      </c>
      <c r="I131" s="366">
        <v>-0.84159497747348611</v>
      </c>
      <c r="J131" s="366">
        <v>5.8449746501772488E-2</v>
      </c>
      <c r="K131" s="366">
        <v>2.5850429026688318E-4</v>
      </c>
      <c r="L131" s="117"/>
      <c r="M131" s="378"/>
      <c r="N131" s="378"/>
      <c r="O131" s="378"/>
      <c r="P131" s="376"/>
      <c r="Q131" s="375"/>
    </row>
    <row r="132" spans="1:18" x14ac:dyDescent="0.2">
      <c r="A132" s="344"/>
      <c r="B132" s="373">
        <f>INDEX($H$2:$H$28,MATCH(C130,$E$2:$E$28,0))</f>
        <v>125</v>
      </c>
      <c r="C132" s="363"/>
      <c r="E132" s="105" t="s">
        <v>498</v>
      </c>
      <c r="F132" s="115" t="s">
        <v>83</v>
      </c>
      <c r="G132" s="366">
        <v>1.4768911295910694</v>
      </c>
      <c r="H132" s="366">
        <v>-8.8166705422638922E-2</v>
      </c>
      <c r="I132" s="366">
        <v>6.3005230039385643E-2</v>
      </c>
      <c r="J132" s="366">
        <v>-1.5223414950914033E-2</v>
      </c>
      <c r="K132" s="366">
        <v>1.3190363648578371E-3</v>
      </c>
      <c r="L132" s="117"/>
      <c r="M132" s="378"/>
      <c r="N132" s="378"/>
      <c r="O132" s="378"/>
      <c r="P132" s="376"/>
      <c r="Q132" s="375"/>
    </row>
    <row r="133" spans="1:18" x14ac:dyDescent="0.2">
      <c r="A133" s="344"/>
      <c r="B133" s="373">
        <f>INDEX($I$2:$I$28,MATCH(C130,$E$2:$E$28,0))</f>
        <v>-40</v>
      </c>
      <c r="C133" s="363"/>
      <c r="E133" s="105" t="s">
        <v>499</v>
      </c>
      <c r="F133" s="115" t="s">
        <v>84</v>
      </c>
      <c r="G133" s="366">
        <v>6.8564100112656224E-4</v>
      </c>
      <c r="H133" s="366">
        <v>5.375986463466249E-5</v>
      </c>
      <c r="I133" s="366">
        <v>-3.2918783098492453E-4</v>
      </c>
      <c r="J133" s="366">
        <v>1.2525378776346592E-4</v>
      </c>
      <c r="K133" s="366">
        <v>-1.3606351635872326E-5</v>
      </c>
      <c r="L133" s="117"/>
      <c r="M133" s="378"/>
      <c r="N133" s="378"/>
      <c r="O133" s="378"/>
      <c r="P133" s="376"/>
      <c r="Q133" s="375"/>
    </row>
    <row r="134" spans="1:18" x14ac:dyDescent="0.2">
      <c r="E134" s="105" t="s">
        <v>500</v>
      </c>
      <c r="F134" s="115" t="s">
        <v>85</v>
      </c>
      <c r="G134" s="366">
        <v>-6.3127371753050356E-6</v>
      </c>
      <c r="H134" s="366">
        <v>1.0225479035738336E-5</v>
      </c>
      <c r="I134" s="366">
        <v>-3.1066406903682506E-6</v>
      </c>
      <c r="J134" s="366">
        <v>3.782672573318005E-7</v>
      </c>
      <c r="K134" s="366">
        <v>-1.1756732943879402E-8</v>
      </c>
      <c r="L134" s="117"/>
      <c r="M134" s="375"/>
      <c r="N134" s="375"/>
      <c r="O134" s="375"/>
      <c r="P134" s="376"/>
      <c r="Q134" s="375"/>
    </row>
    <row r="135" spans="1:18" x14ac:dyDescent="0.2">
      <c r="E135" s="105"/>
      <c r="F135" s="116"/>
      <c r="G135" s="367"/>
      <c r="H135" s="367"/>
      <c r="I135" s="367"/>
      <c r="J135" s="367"/>
      <c r="K135" s="367"/>
      <c r="L135" s="117"/>
    </row>
    <row r="136" spans="1:18" x14ac:dyDescent="0.2">
      <c r="A136" s="287">
        <v>16</v>
      </c>
      <c r="B136" s="287">
        <f>INDEX($A$2:$A$28,MATCH(C136,$E$2:$E$28,0))</f>
        <v>16</v>
      </c>
      <c r="C136" s="105" t="s">
        <v>563</v>
      </c>
      <c r="E136" s="105" t="s">
        <v>571</v>
      </c>
      <c r="F136" s="115" t="s">
        <v>81</v>
      </c>
      <c r="G136" s="366">
        <v>82978.3770518776</v>
      </c>
      <c r="H136" s="366">
        <v>646.13432392997299</v>
      </c>
      <c r="I136" s="366">
        <v>17.231510001847401</v>
      </c>
      <c r="J136" s="366">
        <v>-7.39034007785882</v>
      </c>
      <c r="K136" s="366">
        <v>0.48423257929514502</v>
      </c>
      <c r="L136" s="117"/>
    </row>
    <row r="137" spans="1:18" x14ac:dyDescent="0.2">
      <c r="B137" s="373">
        <f>INDEX($F$2:$F$28,MATCH(C136,$E$2:$E$28,0))</f>
        <v>100000</v>
      </c>
      <c r="D137" s="105"/>
      <c r="E137" s="105" t="s">
        <v>572</v>
      </c>
      <c r="F137" s="115" t="s">
        <v>82</v>
      </c>
      <c r="G137" s="366">
        <v>510.92476009278499</v>
      </c>
      <c r="H137" s="366">
        <v>18.435227187798599</v>
      </c>
      <c r="I137" s="366">
        <v>-5.8192550787425796</v>
      </c>
      <c r="J137" s="366">
        <v>1.14965900381177</v>
      </c>
      <c r="K137" s="366">
        <v>-8.57870768838081E-2</v>
      </c>
      <c r="L137" s="117"/>
    </row>
    <row r="138" spans="1:18" x14ac:dyDescent="0.2">
      <c r="A138" s="344"/>
      <c r="B138" s="373">
        <f>INDEX($H$2:$H$28,MATCH(C136,$E$2:$E$28,0))</f>
        <v>150</v>
      </c>
      <c r="C138" s="363"/>
      <c r="E138" s="105" t="s">
        <v>573</v>
      </c>
      <c r="F138" s="115" t="s">
        <v>83</v>
      </c>
      <c r="G138" s="366">
        <v>1.4947194903871801</v>
      </c>
      <c r="H138" s="366">
        <v>-0.123401431627037</v>
      </c>
      <c r="I138" s="366">
        <v>7.84976925092742E-2</v>
      </c>
      <c r="J138" s="366">
        <v>-1.77758422142292E-2</v>
      </c>
      <c r="K138" s="366">
        <v>1.4132273986937501E-3</v>
      </c>
      <c r="L138" s="117"/>
    </row>
    <row r="139" spans="1:18" x14ac:dyDescent="0.2">
      <c r="A139" s="344"/>
      <c r="B139" s="373">
        <f>INDEX($I$2:$I$28,MATCH(C136,$E$2:$E$28,0))</f>
        <v>-40</v>
      </c>
      <c r="C139" s="363"/>
      <c r="E139" s="105" t="s">
        <v>574</v>
      </c>
      <c r="F139" s="115" t="s">
        <v>84</v>
      </c>
      <c r="G139" s="366">
        <v>5.9850910045278899E-3</v>
      </c>
      <c r="H139" s="366">
        <v>-7.7630349239670099E-3</v>
      </c>
      <c r="I139" s="366">
        <v>3.8437013565914102E-3</v>
      </c>
      <c r="J139" s="366">
        <v>-8.1084180541790498E-4</v>
      </c>
      <c r="K139" s="366">
        <v>6.1594363857237898E-5</v>
      </c>
      <c r="L139" s="117"/>
    </row>
    <row r="140" spans="1:18" x14ac:dyDescent="0.2">
      <c r="E140" s="105" t="s">
        <v>575</v>
      </c>
      <c r="F140" s="115" t="s">
        <v>85</v>
      </c>
      <c r="G140" s="366">
        <v>-4.3198795754093399E-5</v>
      </c>
      <c r="H140" s="366">
        <v>5.9299861115010497E-5</v>
      </c>
      <c r="I140" s="366">
        <v>-2.9259143614860502E-5</v>
      </c>
      <c r="J140" s="366">
        <v>6.1927537580354801E-6</v>
      </c>
      <c r="K140" s="366">
        <v>-4.72335000760647E-7</v>
      </c>
      <c r="L140" s="117"/>
    </row>
    <row r="141" spans="1:18" s="114" customFormat="1" x14ac:dyDescent="0.2">
      <c r="A141" s="353"/>
      <c r="B141" s="353"/>
      <c r="C141" s="353"/>
      <c r="E141" s="112"/>
      <c r="F141" s="116"/>
      <c r="G141" s="367"/>
      <c r="H141" s="367"/>
      <c r="I141" s="367"/>
      <c r="J141" s="367"/>
      <c r="K141" s="367"/>
      <c r="L141" s="294"/>
      <c r="M141" s="378"/>
      <c r="N141" s="385"/>
      <c r="O141" s="378"/>
      <c r="P141" s="379"/>
      <c r="Q141" s="378"/>
    </row>
    <row r="142" spans="1:18" x14ac:dyDescent="0.2">
      <c r="A142" s="287">
        <v>17</v>
      </c>
      <c r="B142" s="287">
        <f>INDEX($A$2:$A$28,MATCH(C142,$E$2:$E$28,0))</f>
        <v>17</v>
      </c>
      <c r="C142" s="105" t="s">
        <v>564</v>
      </c>
      <c r="E142" s="105" t="s">
        <v>576</v>
      </c>
      <c r="F142" s="115" t="s">
        <v>81</v>
      </c>
      <c r="G142" s="366">
        <v>82978.3770518776</v>
      </c>
      <c r="H142" s="366">
        <v>646.13432392997299</v>
      </c>
      <c r="I142" s="366">
        <v>17.231510001847401</v>
      </c>
      <c r="J142" s="366">
        <v>-7.39034007785882</v>
      </c>
      <c r="K142" s="366">
        <v>0.48423257929514502</v>
      </c>
      <c r="L142" s="117"/>
      <c r="M142" s="380"/>
      <c r="N142" s="380"/>
      <c r="O142" s="380"/>
      <c r="P142" s="380"/>
      <c r="Q142" s="380"/>
    </row>
    <row r="143" spans="1:18" x14ac:dyDescent="0.2">
      <c r="B143" s="373">
        <f>INDEX($F$2:$F$28,MATCH(C142,$E$2:$E$28,0))</f>
        <v>100000</v>
      </c>
      <c r="D143" s="105"/>
      <c r="E143" s="105" t="s">
        <v>577</v>
      </c>
      <c r="F143" s="115" t="s">
        <v>82</v>
      </c>
      <c r="G143" s="366">
        <v>510.92476009278499</v>
      </c>
      <c r="H143" s="366">
        <v>18.435227187798599</v>
      </c>
      <c r="I143" s="366">
        <v>-5.8192550787425796</v>
      </c>
      <c r="J143" s="366">
        <v>1.14965900381177</v>
      </c>
      <c r="K143" s="366">
        <v>-8.57870768838081E-2</v>
      </c>
      <c r="L143" s="117"/>
      <c r="M143" s="380"/>
      <c r="N143" s="380"/>
      <c r="O143" s="380"/>
      <c r="P143" s="380"/>
      <c r="Q143" s="380"/>
    </row>
    <row r="144" spans="1:18" x14ac:dyDescent="0.2">
      <c r="A144" s="344"/>
      <c r="B144" s="373">
        <f>INDEX($H$2:$H$28,MATCH(C142,$E$2:$E$28,0))</f>
        <v>150</v>
      </c>
      <c r="C144" s="363"/>
      <c r="E144" s="105" t="s">
        <v>578</v>
      </c>
      <c r="F144" s="115" t="s">
        <v>83</v>
      </c>
      <c r="G144" s="366">
        <v>1.4947194903871801</v>
      </c>
      <c r="H144" s="366">
        <v>-0.123401431627037</v>
      </c>
      <c r="I144" s="366">
        <v>7.84976925092742E-2</v>
      </c>
      <c r="J144" s="366">
        <v>-1.77758422142292E-2</v>
      </c>
      <c r="K144" s="366">
        <v>1.4132273986937501E-3</v>
      </c>
      <c r="L144" s="117"/>
      <c r="M144" s="380"/>
      <c r="N144" s="380"/>
      <c r="O144" s="380"/>
      <c r="P144" s="380"/>
      <c r="Q144" s="380"/>
    </row>
    <row r="145" spans="1:17" x14ac:dyDescent="0.2">
      <c r="A145" s="344"/>
      <c r="B145" s="373">
        <f>INDEX($I$2:$I$28,MATCH(C142,$E$2:$E$28,0))</f>
        <v>-40</v>
      </c>
      <c r="C145" s="363"/>
      <c r="E145" s="105" t="s">
        <v>579</v>
      </c>
      <c r="F145" s="115" t="s">
        <v>84</v>
      </c>
      <c r="G145" s="366">
        <v>5.9850910045278899E-3</v>
      </c>
      <c r="H145" s="366">
        <v>-7.7630349239670099E-3</v>
      </c>
      <c r="I145" s="366">
        <v>3.8437013565914102E-3</v>
      </c>
      <c r="J145" s="366">
        <v>-8.1084180541790498E-4</v>
      </c>
      <c r="K145" s="366">
        <v>6.1594363857237898E-5</v>
      </c>
      <c r="L145" s="117"/>
      <c r="M145" s="389"/>
      <c r="N145" s="389"/>
      <c r="O145" s="389"/>
      <c r="P145" s="389"/>
      <c r="Q145" s="389"/>
    </row>
    <row r="146" spans="1:17" x14ac:dyDescent="0.2">
      <c r="E146" s="105" t="s">
        <v>580</v>
      </c>
      <c r="F146" s="115" t="s">
        <v>85</v>
      </c>
      <c r="G146" s="366">
        <v>-4.3198795754093399E-5</v>
      </c>
      <c r="H146" s="366">
        <v>5.9299861115010497E-5</v>
      </c>
      <c r="I146" s="366">
        <v>-2.9259143614860502E-5</v>
      </c>
      <c r="J146" s="366">
        <v>6.1927537580354801E-6</v>
      </c>
      <c r="K146" s="366">
        <v>-4.72335000760647E-7</v>
      </c>
      <c r="L146" s="117"/>
      <c r="M146" s="380"/>
      <c r="N146" s="380"/>
      <c r="O146" s="380"/>
      <c r="P146" s="380"/>
      <c r="Q146" s="380"/>
    </row>
    <row r="147" spans="1:17" s="114" customFormat="1" x14ac:dyDescent="0.2">
      <c r="A147" s="353"/>
      <c r="B147" s="353"/>
      <c r="C147" s="353"/>
      <c r="E147" s="112"/>
      <c r="F147" s="355"/>
      <c r="G147" s="368"/>
      <c r="H147" s="368"/>
      <c r="I147" s="368"/>
      <c r="J147" s="368"/>
      <c r="K147" s="368"/>
      <c r="L147" s="294"/>
      <c r="M147" s="378"/>
      <c r="N147" s="385"/>
      <c r="O147" s="378"/>
      <c r="P147" s="379"/>
      <c r="Q147" s="378"/>
    </row>
    <row r="148" spans="1:17" x14ac:dyDescent="0.2">
      <c r="A148" s="287">
        <v>18</v>
      </c>
      <c r="B148" s="287">
        <f>INDEX($A$2:$A$28,MATCH(C148,$E$2:$E$28,0))</f>
        <v>18</v>
      </c>
      <c r="C148" s="105" t="s">
        <v>565</v>
      </c>
      <c r="E148" s="105" t="s">
        <v>581</v>
      </c>
      <c r="F148" s="115" t="s">
        <v>81</v>
      </c>
      <c r="G148" s="366">
        <v>82978.3770518776</v>
      </c>
      <c r="H148" s="366">
        <v>646.13432392997299</v>
      </c>
      <c r="I148" s="366">
        <v>17.231510001847401</v>
      </c>
      <c r="J148" s="366">
        <v>-7.39034007785882</v>
      </c>
      <c r="K148" s="366">
        <v>0.48423257929514502</v>
      </c>
      <c r="L148" s="117"/>
      <c r="M148" s="380"/>
      <c r="N148" s="380"/>
      <c r="O148" s="380"/>
      <c r="P148" s="380"/>
      <c r="Q148" s="380"/>
    </row>
    <row r="149" spans="1:17" x14ac:dyDescent="0.2">
      <c r="B149" s="373">
        <f>INDEX($F$2:$F$28,MATCH(C148,$E$2:$E$28,0))</f>
        <v>100000</v>
      </c>
      <c r="D149" s="105"/>
      <c r="E149" s="105" t="s">
        <v>582</v>
      </c>
      <c r="F149" s="115" t="s">
        <v>82</v>
      </c>
      <c r="G149" s="366">
        <v>510.92476009278499</v>
      </c>
      <c r="H149" s="366">
        <v>18.435227187798599</v>
      </c>
      <c r="I149" s="366">
        <v>-5.8192550787425796</v>
      </c>
      <c r="J149" s="366">
        <v>1.14965900381177</v>
      </c>
      <c r="K149" s="366">
        <v>-8.57870768838081E-2</v>
      </c>
      <c r="L149" s="117"/>
      <c r="M149" s="380"/>
      <c r="N149" s="380"/>
      <c r="O149" s="380"/>
      <c r="P149" s="380"/>
      <c r="Q149" s="380"/>
    </row>
    <row r="150" spans="1:17" x14ac:dyDescent="0.2">
      <c r="A150" s="344"/>
      <c r="B150" s="373">
        <f>INDEX($H$2:$H$28,MATCH(C148,$E$2:$E$28,0))</f>
        <v>150</v>
      </c>
      <c r="C150" s="363"/>
      <c r="E150" s="105" t="s">
        <v>583</v>
      </c>
      <c r="F150" s="115" t="s">
        <v>83</v>
      </c>
      <c r="G150" s="366">
        <v>1.4947194903871801</v>
      </c>
      <c r="H150" s="366">
        <v>-0.123401431627037</v>
      </c>
      <c r="I150" s="366">
        <v>7.84976925092742E-2</v>
      </c>
      <c r="J150" s="366">
        <v>-1.77758422142292E-2</v>
      </c>
      <c r="K150" s="366">
        <v>1.4132273986937501E-3</v>
      </c>
      <c r="L150" s="117"/>
      <c r="M150" s="380"/>
      <c r="N150" s="380"/>
      <c r="O150" s="380"/>
      <c r="P150" s="380"/>
      <c r="Q150" s="380"/>
    </row>
    <row r="151" spans="1:17" x14ac:dyDescent="0.2">
      <c r="A151" s="344"/>
      <c r="B151" s="373">
        <f>INDEX($I$2:$I$28,MATCH(C148,$E$2:$E$28,0))</f>
        <v>-40</v>
      </c>
      <c r="C151" s="363"/>
      <c r="E151" s="105" t="s">
        <v>584</v>
      </c>
      <c r="F151" s="115" t="s">
        <v>84</v>
      </c>
      <c r="G151" s="366">
        <v>5.9850910045278899E-3</v>
      </c>
      <c r="H151" s="366">
        <v>-7.7630349239670099E-3</v>
      </c>
      <c r="I151" s="366">
        <v>3.8437013565914102E-3</v>
      </c>
      <c r="J151" s="366">
        <v>-8.1084180541790498E-4</v>
      </c>
      <c r="K151" s="366">
        <v>6.1594363857237898E-5</v>
      </c>
      <c r="L151" s="117"/>
      <c r="M151" s="389"/>
      <c r="N151" s="389"/>
      <c r="O151" s="389"/>
      <c r="P151" s="389"/>
      <c r="Q151" s="389"/>
    </row>
    <row r="152" spans="1:17" x14ac:dyDescent="0.2">
      <c r="E152" s="105" t="s">
        <v>585</v>
      </c>
      <c r="F152" s="115" t="s">
        <v>85</v>
      </c>
      <c r="G152" s="366">
        <v>-4.3198795754093399E-5</v>
      </c>
      <c r="H152" s="366">
        <v>5.9299861115010497E-5</v>
      </c>
      <c r="I152" s="366">
        <v>-2.9259143614860502E-5</v>
      </c>
      <c r="J152" s="366">
        <v>6.1927537580354801E-6</v>
      </c>
      <c r="K152" s="366">
        <v>-4.72335000760647E-7</v>
      </c>
      <c r="L152" s="117"/>
      <c r="M152" s="380"/>
      <c r="N152" s="380"/>
      <c r="O152" s="380"/>
      <c r="P152" s="380"/>
      <c r="Q152" s="380"/>
    </row>
    <row r="153" spans="1:17" s="114" customFormat="1" x14ac:dyDescent="0.2">
      <c r="A153" s="353"/>
      <c r="B153" s="353"/>
      <c r="C153" s="353"/>
      <c r="E153" s="112"/>
      <c r="F153" s="116"/>
      <c r="G153" s="367"/>
      <c r="H153" s="367"/>
      <c r="I153" s="367"/>
      <c r="J153" s="367"/>
      <c r="K153" s="367"/>
      <c r="L153" s="294"/>
      <c r="M153" s="378"/>
      <c r="N153" s="385"/>
      <c r="O153" s="378"/>
      <c r="P153" s="379"/>
      <c r="Q153" s="378"/>
    </row>
    <row r="154" spans="1:17" x14ac:dyDescent="0.2">
      <c r="A154" s="287">
        <v>19</v>
      </c>
      <c r="B154" s="287">
        <f>INDEX($A$2:$A$28,MATCH(C154,$E$2:$E$28,0))</f>
        <v>19</v>
      </c>
      <c r="C154" s="105" t="s">
        <v>566</v>
      </c>
      <c r="E154" s="105" t="s">
        <v>586</v>
      </c>
      <c r="F154" s="115" t="s">
        <v>81</v>
      </c>
      <c r="G154" s="366">
        <v>82978.3770518776</v>
      </c>
      <c r="H154" s="366">
        <v>646.13432392997299</v>
      </c>
      <c r="I154" s="366">
        <v>17.231510001847401</v>
      </c>
      <c r="J154" s="366">
        <v>-7.39034007785882</v>
      </c>
      <c r="K154" s="366">
        <v>0.48423257929514502</v>
      </c>
      <c r="L154" s="117"/>
      <c r="M154" s="380"/>
      <c r="N154" s="380"/>
      <c r="O154" s="380"/>
      <c r="P154" s="380"/>
      <c r="Q154" s="380"/>
    </row>
    <row r="155" spans="1:17" x14ac:dyDescent="0.2">
      <c r="B155" s="373">
        <f>INDEX($F$2:$F$28,MATCH(C154,$E$2:$E$28,0))</f>
        <v>100000</v>
      </c>
      <c r="D155" s="105"/>
      <c r="E155" s="105" t="s">
        <v>587</v>
      </c>
      <c r="F155" s="115" t="s">
        <v>82</v>
      </c>
      <c r="G155" s="366">
        <v>510.92476009278499</v>
      </c>
      <c r="H155" s="366">
        <v>18.435227187798599</v>
      </c>
      <c r="I155" s="366">
        <v>-5.8192550787425796</v>
      </c>
      <c r="J155" s="366">
        <v>1.14965900381177</v>
      </c>
      <c r="K155" s="366">
        <v>-8.57870768838081E-2</v>
      </c>
      <c r="L155" s="117"/>
      <c r="M155" s="380"/>
      <c r="N155" s="380"/>
      <c r="O155" s="380"/>
      <c r="P155" s="380"/>
      <c r="Q155" s="380"/>
    </row>
    <row r="156" spans="1:17" x14ac:dyDescent="0.2">
      <c r="A156" s="344"/>
      <c r="B156" s="373">
        <f>INDEX($H$2:$H$28,MATCH(C154,$E$2:$E$28,0))</f>
        <v>150</v>
      </c>
      <c r="C156" s="363"/>
      <c r="E156" s="105" t="s">
        <v>588</v>
      </c>
      <c r="F156" s="115" t="s">
        <v>83</v>
      </c>
      <c r="G156" s="366">
        <v>1.4947194903871801</v>
      </c>
      <c r="H156" s="366">
        <v>-0.123401431627037</v>
      </c>
      <c r="I156" s="366">
        <v>7.84976925092742E-2</v>
      </c>
      <c r="J156" s="366">
        <v>-1.77758422142292E-2</v>
      </c>
      <c r="K156" s="366">
        <v>1.4132273986937501E-3</v>
      </c>
      <c r="L156" s="117"/>
      <c r="M156" s="380"/>
      <c r="N156" s="380"/>
      <c r="O156" s="380"/>
      <c r="P156" s="380"/>
      <c r="Q156" s="380"/>
    </row>
    <row r="157" spans="1:17" x14ac:dyDescent="0.2">
      <c r="A157" s="344"/>
      <c r="B157" s="373">
        <f>INDEX($I$2:$I$28,MATCH(C154,$E$2:$E$28,0))</f>
        <v>-40</v>
      </c>
      <c r="C157" s="363"/>
      <c r="E157" s="105" t="s">
        <v>589</v>
      </c>
      <c r="F157" s="115" t="s">
        <v>84</v>
      </c>
      <c r="G157" s="366">
        <v>5.9850910045278899E-3</v>
      </c>
      <c r="H157" s="366">
        <v>-7.7630349239670099E-3</v>
      </c>
      <c r="I157" s="366">
        <v>3.8437013565914102E-3</v>
      </c>
      <c r="J157" s="366">
        <v>-8.1084180541790498E-4</v>
      </c>
      <c r="K157" s="366">
        <v>6.1594363857237898E-5</v>
      </c>
      <c r="L157" s="117"/>
      <c r="M157" s="389"/>
      <c r="N157" s="389"/>
      <c r="O157" s="389"/>
      <c r="P157" s="389"/>
      <c r="Q157" s="389"/>
    </row>
    <row r="158" spans="1:17" x14ac:dyDescent="0.2">
      <c r="E158" s="105" t="s">
        <v>590</v>
      </c>
      <c r="F158" s="115" t="s">
        <v>85</v>
      </c>
      <c r="G158" s="366">
        <v>-4.3198795754093399E-5</v>
      </c>
      <c r="H158" s="366">
        <v>5.9299861115010497E-5</v>
      </c>
      <c r="I158" s="366">
        <v>-2.9259143614860502E-5</v>
      </c>
      <c r="J158" s="366">
        <v>6.1927537580354801E-6</v>
      </c>
      <c r="K158" s="366">
        <v>-4.72335000760647E-7</v>
      </c>
      <c r="L158" s="117"/>
      <c r="M158" s="380"/>
      <c r="N158" s="380"/>
      <c r="O158" s="380"/>
      <c r="P158" s="380"/>
      <c r="Q158" s="380"/>
    </row>
    <row r="159" spans="1:17" s="114" customFormat="1" x14ac:dyDescent="0.2">
      <c r="A159" s="353"/>
      <c r="B159" s="353"/>
      <c r="C159" s="353"/>
      <c r="E159" s="112"/>
      <c r="F159" s="355"/>
      <c r="G159" s="368"/>
      <c r="H159" s="368"/>
      <c r="I159" s="368"/>
      <c r="J159" s="368"/>
      <c r="K159" s="368"/>
      <c r="L159" s="294"/>
    </row>
    <row r="160" spans="1:17" x14ac:dyDescent="0.2">
      <c r="A160" s="287">
        <v>20</v>
      </c>
      <c r="B160" s="287">
        <f>INDEX($A$2:$A$28,MATCH(C160,$E$2:$E$28,0))</f>
        <v>20</v>
      </c>
      <c r="C160" s="105" t="s">
        <v>404</v>
      </c>
      <c r="E160" s="105" t="s">
        <v>406</v>
      </c>
      <c r="F160" s="115" t="s">
        <v>81</v>
      </c>
      <c r="G160" s="366">
        <v>39073.527896342501</v>
      </c>
      <c r="H160" s="366">
        <v>18.842883797025902</v>
      </c>
      <c r="I160" s="366">
        <v>0.25581897208566801</v>
      </c>
      <c r="J160" s="366">
        <v>-5.3503036281571199E-3</v>
      </c>
      <c r="K160" s="366">
        <v>2.9654683038591102E-5</v>
      </c>
      <c r="L160" s="117"/>
    </row>
    <row r="161" spans="1:12" x14ac:dyDescent="0.2">
      <c r="B161" s="373">
        <f>INDEX($F$2:$F$28,MATCH(C160,$E$2:$E$28,0))</f>
        <v>47000</v>
      </c>
      <c r="D161" s="105"/>
      <c r="E161" s="105" t="s">
        <v>407</v>
      </c>
      <c r="F161" s="115" t="s">
        <v>82</v>
      </c>
      <c r="G161" s="366">
        <v>246.69282823589299</v>
      </c>
      <c r="H161" s="366">
        <v>0.58969600356734198</v>
      </c>
      <c r="I161" s="366">
        <v>-1.50292158592613E-2</v>
      </c>
      <c r="J161" s="366">
        <v>2.7370985763503701E-4</v>
      </c>
      <c r="K161" s="366">
        <v>-1.54974531645501E-6</v>
      </c>
      <c r="L161" s="117"/>
    </row>
    <row r="162" spans="1:12" x14ac:dyDescent="0.2">
      <c r="A162" s="344"/>
      <c r="B162" s="373">
        <f>INDEX($H$2:$H$28,MATCH(C160,$E$2:$E$28,0))</f>
        <v>125</v>
      </c>
      <c r="C162" s="363"/>
      <c r="E162" s="105" t="s">
        <v>408</v>
      </c>
      <c r="F162" s="115" t="s">
        <v>83</v>
      </c>
      <c r="G162" s="366">
        <v>0.66104021479253205</v>
      </c>
      <c r="H162" s="366">
        <v>3.3113147669142202E-3</v>
      </c>
      <c r="I162" s="366">
        <v>-7.6584113134323996E-5</v>
      </c>
      <c r="J162" s="366">
        <v>1.25344071481677E-6</v>
      </c>
      <c r="K162" s="366">
        <v>-6.7085148182899501E-9</v>
      </c>
      <c r="L162" s="117"/>
    </row>
    <row r="163" spans="1:12" x14ac:dyDescent="0.2">
      <c r="A163" s="344"/>
      <c r="B163" s="373">
        <f>INDEX($I$2:$I$28,MATCH(C160,$E$2:$E$28,0))</f>
        <v>-40</v>
      </c>
      <c r="C163" s="363"/>
      <c r="E163" s="105" t="s">
        <v>409</v>
      </c>
      <c r="F163" s="115" t="s">
        <v>84</v>
      </c>
      <c r="G163" s="366">
        <v>9.5079858576910302E-4</v>
      </c>
      <c r="H163" s="366">
        <v>-1.5447829994645E-4</v>
      </c>
      <c r="I163" s="366">
        <v>8.0550366138575096E-6</v>
      </c>
      <c r="J163" s="366">
        <v>-1.5573269824507299E-7</v>
      </c>
      <c r="K163" s="366">
        <v>8.9258955612169E-10</v>
      </c>
      <c r="L163" s="117"/>
    </row>
    <row r="164" spans="1:12" x14ac:dyDescent="0.2">
      <c r="E164" s="105" t="s">
        <v>410</v>
      </c>
      <c r="F164" s="115" t="s">
        <v>85</v>
      </c>
      <c r="G164" s="366">
        <v>-4.4732875444217696E-6</v>
      </c>
      <c r="H164" s="366">
        <v>1.2370882496924101E-6</v>
      </c>
      <c r="I164" s="366">
        <v>-6.2183422903682898E-8</v>
      </c>
      <c r="J164" s="366">
        <v>1.1987246676915001E-9</v>
      </c>
      <c r="K164" s="366">
        <v>-6.86435601010155E-12</v>
      </c>
      <c r="L164" s="117"/>
    </row>
    <row r="165" spans="1:12" s="114" customFormat="1" x14ac:dyDescent="0.2">
      <c r="A165" s="353"/>
      <c r="B165" s="353"/>
      <c r="C165" s="353"/>
      <c r="E165" s="112"/>
      <c r="F165" s="116"/>
      <c r="G165" s="367"/>
      <c r="H165" s="367"/>
      <c r="I165" s="367"/>
      <c r="J165" s="367"/>
      <c r="K165" s="367"/>
      <c r="L165" s="294"/>
    </row>
    <row r="166" spans="1:12" x14ac:dyDescent="0.2">
      <c r="A166" s="287">
        <v>21</v>
      </c>
      <c r="B166" s="287">
        <f>INDEX($A$2:$A$28,MATCH(C166,$E$2:$E$28,0))</f>
        <v>21</v>
      </c>
      <c r="C166" s="105" t="s">
        <v>405</v>
      </c>
      <c r="E166" s="105" t="s">
        <v>411</v>
      </c>
      <c r="F166" s="115" t="s">
        <v>81</v>
      </c>
      <c r="G166" s="366">
        <v>39073.527896342501</v>
      </c>
      <c r="H166" s="366">
        <v>18.842883797025902</v>
      </c>
      <c r="I166" s="366">
        <v>0.25581897208566801</v>
      </c>
      <c r="J166" s="366">
        <v>-5.3503036281571199E-3</v>
      </c>
      <c r="K166" s="366">
        <v>2.9654683038591102E-5</v>
      </c>
      <c r="L166" s="117"/>
    </row>
    <row r="167" spans="1:12" x14ac:dyDescent="0.2">
      <c r="B167" s="373">
        <f>INDEX($F$2:$F$28,MATCH(C166,$E$2:$E$28,0))</f>
        <v>47000</v>
      </c>
      <c r="D167" s="105"/>
      <c r="E167" s="105" t="s">
        <v>412</v>
      </c>
      <c r="F167" s="115" t="s">
        <v>82</v>
      </c>
      <c r="G167" s="366">
        <v>246.69282823589299</v>
      </c>
      <c r="H167" s="366">
        <v>0.58969600356734198</v>
      </c>
      <c r="I167" s="366">
        <v>-1.50292158592613E-2</v>
      </c>
      <c r="J167" s="366">
        <v>2.7370985763503701E-4</v>
      </c>
      <c r="K167" s="366">
        <v>-1.54974531645501E-6</v>
      </c>
      <c r="L167" s="117"/>
    </row>
    <row r="168" spans="1:12" x14ac:dyDescent="0.2">
      <c r="A168" s="344"/>
      <c r="B168" s="373">
        <f>INDEX($H$2:$H$28,MATCH(C166,$E$2:$E$28,0))</f>
        <v>125</v>
      </c>
      <c r="C168" s="363"/>
      <c r="E168" s="105" t="s">
        <v>413</v>
      </c>
      <c r="F168" s="115" t="s">
        <v>83</v>
      </c>
      <c r="G168" s="366">
        <v>0.66104021479253205</v>
      </c>
      <c r="H168" s="366">
        <v>3.3113147669142202E-3</v>
      </c>
      <c r="I168" s="366">
        <v>-7.6584113134323996E-5</v>
      </c>
      <c r="J168" s="366">
        <v>1.25344071481677E-6</v>
      </c>
      <c r="K168" s="366">
        <v>-6.7085148182899501E-9</v>
      </c>
      <c r="L168" s="117"/>
    </row>
    <row r="169" spans="1:12" x14ac:dyDescent="0.2">
      <c r="A169" s="344"/>
      <c r="B169" s="373">
        <f>INDEX($I$2:$I$28,MATCH(C166,$E$2:$E$28,0))</f>
        <v>-40</v>
      </c>
      <c r="C169" s="363"/>
      <c r="E169" s="105" t="s">
        <v>414</v>
      </c>
      <c r="F169" s="115" t="s">
        <v>84</v>
      </c>
      <c r="G169" s="366">
        <v>9.5079858576910302E-4</v>
      </c>
      <c r="H169" s="366">
        <v>-1.5447829994645E-4</v>
      </c>
      <c r="I169" s="366">
        <v>8.0550366138575096E-6</v>
      </c>
      <c r="J169" s="366">
        <v>-1.5573269824507299E-7</v>
      </c>
      <c r="K169" s="366">
        <v>8.9258955612169E-10</v>
      </c>
      <c r="L169" s="117"/>
    </row>
    <row r="170" spans="1:12" x14ac:dyDescent="0.2">
      <c r="E170" s="105" t="s">
        <v>415</v>
      </c>
      <c r="F170" s="115" t="s">
        <v>85</v>
      </c>
      <c r="G170" s="366">
        <v>-4.4732875444217696E-6</v>
      </c>
      <c r="H170" s="366">
        <v>1.2370882496924101E-6</v>
      </c>
      <c r="I170" s="366">
        <v>-6.2183422903682898E-8</v>
      </c>
      <c r="J170" s="366">
        <v>1.1987246676915001E-9</v>
      </c>
      <c r="K170" s="366">
        <v>-6.86435601010155E-12</v>
      </c>
      <c r="L170" s="117"/>
    </row>
    <row r="171" spans="1:12" s="114" customFormat="1" x14ac:dyDescent="0.2">
      <c r="A171" s="353"/>
      <c r="B171" s="353"/>
      <c r="C171" s="353"/>
      <c r="E171" s="112"/>
      <c r="F171" s="355"/>
      <c r="G171" s="368"/>
      <c r="H171" s="368"/>
      <c r="I171" s="368"/>
      <c r="J171" s="368"/>
      <c r="K171" s="368"/>
      <c r="L171" s="294"/>
    </row>
    <row r="172" spans="1:12" x14ac:dyDescent="0.2">
      <c r="A172" s="287">
        <v>22</v>
      </c>
      <c r="B172" s="287">
        <f>INDEX($A$2:$A$28,MATCH(C172,$E$2:$E$28,0))</f>
        <v>22</v>
      </c>
      <c r="C172" s="105" t="s">
        <v>567</v>
      </c>
      <c r="E172" s="105" t="s">
        <v>591</v>
      </c>
      <c r="F172" s="115" t="s">
        <v>81</v>
      </c>
      <c r="G172" s="366">
        <v>39168.574985617102</v>
      </c>
      <c r="H172" s="366">
        <v>18.684582842233599</v>
      </c>
      <c r="I172" s="366">
        <v>0.24173203617390299</v>
      </c>
      <c r="J172" s="366">
        <v>-4.8853846471426697E-3</v>
      </c>
      <c r="K172" s="366">
        <v>2.65815730132797E-5</v>
      </c>
      <c r="L172" s="117"/>
    </row>
    <row r="173" spans="1:12" x14ac:dyDescent="0.2">
      <c r="B173" s="373">
        <f>INDEX($F$2:$F$28,MATCH(C172,$E$2:$E$28,0))</f>
        <v>47000</v>
      </c>
      <c r="D173" s="105"/>
      <c r="E173" s="105" t="s">
        <v>592</v>
      </c>
      <c r="F173" s="115" t="s">
        <v>82</v>
      </c>
      <c r="G173" s="366">
        <v>243.56600424651899</v>
      </c>
      <c r="H173" s="366">
        <v>0.61246544691819305</v>
      </c>
      <c r="I173" s="366">
        <v>-1.6271884868654201E-2</v>
      </c>
      <c r="J173" s="366">
        <v>2.9497710469131999E-4</v>
      </c>
      <c r="K173" s="366">
        <v>-1.6635826320493701E-6</v>
      </c>
      <c r="L173" s="117"/>
    </row>
    <row r="174" spans="1:12" x14ac:dyDescent="0.2">
      <c r="A174" s="344"/>
      <c r="B174" s="373">
        <f>INDEX($H$2:$H$28,MATCH(C172,$E$2:$E$28,0))</f>
        <v>150</v>
      </c>
      <c r="C174" s="363"/>
      <c r="E174" s="105" t="s">
        <v>593</v>
      </c>
      <c r="F174" s="115" t="s">
        <v>83</v>
      </c>
      <c r="G174" s="366">
        <v>0.64114181731042896</v>
      </c>
      <c r="H174" s="366">
        <v>3.0164923461275298E-3</v>
      </c>
      <c r="I174" s="366">
        <v>-6.3519963468189805E-5</v>
      </c>
      <c r="J174" s="366">
        <v>1.01919890559555E-6</v>
      </c>
      <c r="K174" s="366">
        <v>-5.4048435953805197E-9</v>
      </c>
      <c r="L174" s="117"/>
    </row>
    <row r="175" spans="1:12" x14ac:dyDescent="0.2">
      <c r="A175" s="344"/>
      <c r="B175" s="373">
        <f>INDEX($I$2:$I$28,MATCH(C172,$E$2:$E$28,0))</f>
        <v>-40</v>
      </c>
      <c r="C175" s="363"/>
      <c r="E175" s="105" t="s">
        <v>594</v>
      </c>
      <c r="F175" s="115" t="s">
        <v>84</v>
      </c>
      <c r="G175" s="366">
        <v>1.3475458839712401E-3</v>
      </c>
      <c r="H175" s="366">
        <v>-1.69564705674006E-4</v>
      </c>
      <c r="I175" s="366">
        <v>8.9466355504256997E-6</v>
      </c>
      <c r="J175" s="366">
        <v>-1.73217522510246E-7</v>
      </c>
      <c r="K175" s="366">
        <v>9.9427151188728497E-10</v>
      </c>
      <c r="L175" s="117"/>
    </row>
    <row r="176" spans="1:12" x14ac:dyDescent="0.2">
      <c r="E176" s="105" t="s">
        <v>595</v>
      </c>
      <c r="F176" s="115" t="s">
        <v>85</v>
      </c>
      <c r="G176" s="366">
        <v>-7.2096260590240796E-6</v>
      </c>
      <c r="H176" s="366">
        <v>1.3771760925430199E-6</v>
      </c>
      <c r="I176" s="366">
        <v>-7.0349752707070406E-8</v>
      </c>
      <c r="J176" s="366">
        <v>1.35804343258657E-9</v>
      </c>
      <c r="K176" s="366">
        <v>-7.78727902361835E-12</v>
      </c>
      <c r="L176" s="117"/>
    </row>
    <row r="177" spans="1:19" s="114" customFormat="1" x14ac:dyDescent="0.2">
      <c r="A177" s="353"/>
      <c r="B177" s="353"/>
      <c r="C177" s="353"/>
      <c r="E177" s="112"/>
      <c r="F177" s="355"/>
      <c r="G177" s="368"/>
      <c r="H177" s="368"/>
      <c r="I177" s="368"/>
      <c r="J177" s="368"/>
      <c r="K177" s="368"/>
      <c r="L177" s="294"/>
      <c r="M177" s="378"/>
      <c r="N177" s="385"/>
      <c r="O177" s="378"/>
      <c r="P177" s="379"/>
      <c r="Q177" s="378"/>
    </row>
    <row r="178" spans="1:19" x14ac:dyDescent="0.2">
      <c r="A178" s="287">
        <v>23</v>
      </c>
      <c r="B178" s="287">
        <f>INDEX($A$2:$A$28,MATCH(C178,$E$2:$E$28,0))</f>
        <v>23</v>
      </c>
      <c r="C178" s="105" t="s">
        <v>568</v>
      </c>
      <c r="E178" s="105" t="s">
        <v>596</v>
      </c>
      <c r="F178" s="115" t="s">
        <v>81</v>
      </c>
      <c r="G178" s="366">
        <v>39168.574985617102</v>
      </c>
      <c r="H178" s="366">
        <v>18.684582842233599</v>
      </c>
      <c r="I178" s="366">
        <v>0.24173203617390299</v>
      </c>
      <c r="J178" s="366">
        <v>-4.8853846471426697E-3</v>
      </c>
      <c r="K178" s="366">
        <v>2.65815730132797E-5</v>
      </c>
      <c r="L178" s="117"/>
      <c r="M178" s="375"/>
      <c r="N178" s="375"/>
      <c r="O178" s="375"/>
      <c r="P178" s="375"/>
      <c r="Q178" s="375"/>
    </row>
    <row r="179" spans="1:19" x14ac:dyDescent="0.2">
      <c r="B179" s="373">
        <f>INDEX($F$2:$F$28,MATCH(C178,$E$2:$E$28,0))</f>
        <v>47000</v>
      </c>
      <c r="D179" s="105"/>
      <c r="E179" s="105" t="s">
        <v>597</v>
      </c>
      <c r="F179" s="115" t="s">
        <v>82</v>
      </c>
      <c r="G179" s="366">
        <v>243.56600424651899</v>
      </c>
      <c r="H179" s="366">
        <v>0.61246544691819305</v>
      </c>
      <c r="I179" s="366">
        <v>-1.6271884868654201E-2</v>
      </c>
      <c r="J179" s="366">
        <v>2.9497710469131999E-4</v>
      </c>
      <c r="K179" s="366">
        <v>-1.6635826320493701E-6</v>
      </c>
      <c r="L179" s="117"/>
      <c r="M179" s="375"/>
      <c r="N179" s="375"/>
      <c r="O179" s="375"/>
      <c r="P179" s="375"/>
      <c r="Q179" s="375"/>
    </row>
    <row r="180" spans="1:19" x14ac:dyDescent="0.2">
      <c r="A180" s="344"/>
      <c r="B180" s="373">
        <f>INDEX($H$2:$H$28,MATCH(C178,$E$2:$E$28,0))</f>
        <v>150</v>
      </c>
      <c r="C180" s="363"/>
      <c r="E180" s="105" t="s">
        <v>598</v>
      </c>
      <c r="F180" s="115" t="s">
        <v>83</v>
      </c>
      <c r="G180" s="366">
        <v>0.64114181731042896</v>
      </c>
      <c r="H180" s="366">
        <v>3.0164923461275298E-3</v>
      </c>
      <c r="I180" s="366">
        <v>-6.3519963468189805E-5</v>
      </c>
      <c r="J180" s="366">
        <v>1.01919890559555E-6</v>
      </c>
      <c r="K180" s="366">
        <v>-5.4048435953805197E-9</v>
      </c>
      <c r="L180" s="117"/>
      <c r="M180" s="375"/>
      <c r="N180" s="375"/>
      <c r="O180" s="375"/>
      <c r="P180" s="375"/>
      <c r="Q180" s="375"/>
    </row>
    <row r="181" spans="1:19" x14ac:dyDescent="0.2">
      <c r="A181" s="344"/>
      <c r="B181" s="373">
        <f>INDEX($I$2:$I$28,MATCH(C178,$E$2:$E$28,0))</f>
        <v>-40</v>
      </c>
      <c r="C181" s="363"/>
      <c r="E181" s="105" t="s">
        <v>599</v>
      </c>
      <c r="F181" s="115" t="s">
        <v>84</v>
      </c>
      <c r="G181" s="366">
        <v>1.3475458839712401E-3</v>
      </c>
      <c r="H181" s="366">
        <v>-1.69564705674006E-4</v>
      </c>
      <c r="I181" s="366">
        <v>8.9466355504256997E-6</v>
      </c>
      <c r="J181" s="366">
        <v>-1.73217522510246E-7</v>
      </c>
      <c r="K181" s="366">
        <v>9.9427151188728497E-10</v>
      </c>
      <c r="L181" s="117"/>
      <c r="M181" s="378"/>
      <c r="N181" s="378"/>
      <c r="O181" s="378"/>
      <c r="P181" s="378"/>
      <c r="Q181" s="378"/>
    </row>
    <row r="182" spans="1:19" x14ac:dyDescent="0.2">
      <c r="E182" s="105" t="s">
        <v>600</v>
      </c>
      <c r="F182" s="115" t="s">
        <v>85</v>
      </c>
      <c r="G182" s="366">
        <v>-7.2096260590240796E-6</v>
      </c>
      <c r="H182" s="366">
        <v>1.3771760925430199E-6</v>
      </c>
      <c r="I182" s="366">
        <v>-7.0349752707070406E-8</v>
      </c>
      <c r="J182" s="366">
        <v>1.35804343258657E-9</v>
      </c>
      <c r="K182" s="366">
        <v>-7.78727902361835E-12</v>
      </c>
      <c r="L182" s="117"/>
      <c r="M182" s="375"/>
      <c r="N182" s="375"/>
      <c r="O182" s="375"/>
      <c r="P182" s="375"/>
      <c r="Q182" s="375"/>
    </row>
    <row r="183" spans="1:19" s="114" customFormat="1" x14ac:dyDescent="0.2">
      <c r="A183" s="353"/>
      <c r="B183" s="353"/>
      <c r="C183" s="353"/>
      <c r="E183" s="112"/>
      <c r="F183" s="116"/>
      <c r="G183" s="367"/>
      <c r="H183" s="367"/>
      <c r="I183" s="367"/>
      <c r="J183" s="367"/>
      <c r="K183" s="367"/>
      <c r="L183" s="294"/>
      <c r="M183" s="378"/>
      <c r="N183" s="385"/>
      <c r="O183" s="378"/>
      <c r="P183" s="379"/>
      <c r="Q183" s="378"/>
    </row>
    <row r="184" spans="1:19" x14ac:dyDescent="0.2">
      <c r="A184" s="287">
        <v>24</v>
      </c>
      <c r="B184" s="287">
        <f>INDEX($A$2:$A$28,MATCH(C184,$E$2:$E$28,0))</f>
        <v>24</v>
      </c>
      <c r="C184" s="240" t="s">
        <v>611</v>
      </c>
      <c r="E184" s="105" t="s">
        <v>617</v>
      </c>
      <c r="F184" s="115" t="s">
        <v>81</v>
      </c>
      <c r="G184" s="366">
        <v>39168.574985617102</v>
      </c>
      <c r="H184" s="366">
        <v>18.684582842233599</v>
      </c>
      <c r="I184" s="366">
        <v>0.24173203617390299</v>
      </c>
      <c r="J184" s="366">
        <v>-4.8853846471426697E-3</v>
      </c>
      <c r="K184" s="366">
        <v>2.65815730132797E-5</v>
      </c>
      <c r="L184" s="117"/>
      <c r="M184" s="375"/>
      <c r="N184" s="375"/>
      <c r="O184" s="375"/>
      <c r="P184" s="375"/>
      <c r="Q184" s="375"/>
    </row>
    <row r="185" spans="1:19" x14ac:dyDescent="0.2">
      <c r="B185" s="373">
        <f>INDEX($F$2:$F$28,MATCH(C184,$E$2:$E$28,0))</f>
        <v>47000</v>
      </c>
      <c r="D185" s="105"/>
      <c r="E185" s="105" t="s">
        <v>618</v>
      </c>
      <c r="F185" s="115" t="s">
        <v>82</v>
      </c>
      <c r="G185" s="366">
        <v>243.56600424651899</v>
      </c>
      <c r="H185" s="366">
        <v>0.61246544691819305</v>
      </c>
      <c r="I185" s="366">
        <v>-1.6271884868654201E-2</v>
      </c>
      <c r="J185" s="366">
        <v>2.9497710469131999E-4</v>
      </c>
      <c r="K185" s="366">
        <v>-1.6635826320493701E-6</v>
      </c>
      <c r="L185" s="117"/>
      <c r="M185" s="375"/>
      <c r="N185" s="375"/>
      <c r="O185" s="375"/>
      <c r="P185" s="375"/>
      <c r="Q185" s="375"/>
    </row>
    <row r="186" spans="1:19" x14ac:dyDescent="0.2">
      <c r="A186" s="363"/>
      <c r="B186" s="373">
        <f>INDEX($H$2:$H$28,MATCH(C184,$E$2:$E$28,0))</f>
        <v>150</v>
      </c>
      <c r="C186" s="363"/>
      <c r="E186" s="105" t="s">
        <v>619</v>
      </c>
      <c r="F186" s="115" t="s">
        <v>83</v>
      </c>
      <c r="G186" s="366">
        <v>0.64114181731042896</v>
      </c>
      <c r="H186" s="366">
        <v>3.0164923461275298E-3</v>
      </c>
      <c r="I186" s="366">
        <v>-6.3519963468189805E-5</v>
      </c>
      <c r="J186" s="366">
        <v>1.01919890559555E-6</v>
      </c>
      <c r="K186" s="366">
        <v>-5.4048435953805197E-9</v>
      </c>
      <c r="L186" s="117"/>
      <c r="M186" s="375"/>
      <c r="N186" s="375"/>
      <c r="O186" s="375"/>
      <c r="P186" s="375"/>
      <c r="Q186" s="375"/>
    </row>
    <row r="187" spans="1:19" x14ac:dyDescent="0.2">
      <c r="A187" s="363"/>
      <c r="B187" s="373">
        <f>INDEX($I$2:$I$28,MATCH(C184,$E$2:$E$28,0))</f>
        <v>-40</v>
      </c>
      <c r="C187" s="363"/>
      <c r="E187" s="105" t="s">
        <v>620</v>
      </c>
      <c r="F187" s="115" t="s">
        <v>84</v>
      </c>
      <c r="G187" s="366">
        <v>1.3475458839712401E-3</v>
      </c>
      <c r="H187" s="366">
        <v>-1.69564705674006E-4</v>
      </c>
      <c r="I187" s="366">
        <v>8.9466355504256997E-6</v>
      </c>
      <c r="J187" s="366">
        <v>-1.73217522510246E-7</v>
      </c>
      <c r="K187" s="366">
        <v>9.9427151188728497E-10</v>
      </c>
      <c r="L187" s="117"/>
      <c r="M187" s="378"/>
      <c r="N187" s="378"/>
      <c r="O187" s="378"/>
      <c r="P187" s="378"/>
      <c r="Q187" s="378"/>
    </row>
    <row r="188" spans="1:19" x14ac:dyDescent="0.2">
      <c r="E188" s="105" t="s">
        <v>621</v>
      </c>
      <c r="F188" s="115" t="s">
        <v>85</v>
      </c>
      <c r="G188" s="366">
        <v>-7.2096260590240796E-6</v>
      </c>
      <c r="H188" s="366">
        <v>1.3771760925430199E-6</v>
      </c>
      <c r="I188" s="366">
        <v>-7.0349752707070406E-8</v>
      </c>
      <c r="J188" s="366">
        <v>1.35804343258657E-9</v>
      </c>
      <c r="K188" s="366">
        <v>-7.78727902361835E-12</v>
      </c>
      <c r="L188" s="117"/>
      <c r="M188" s="375"/>
      <c r="N188" s="375"/>
      <c r="O188" s="375"/>
      <c r="P188" s="375"/>
      <c r="Q188" s="375"/>
      <c r="R188" s="365"/>
      <c r="S188" s="365"/>
    </row>
    <row r="189" spans="1:19" s="114" customFormat="1" x14ac:dyDescent="0.2">
      <c r="A189" s="353"/>
      <c r="B189" s="353"/>
      <c r="C189" s="353"/>
      <c r="E189" s="112"/>
      <c r="F189" s="354"/>
      <c r="G189" s="369"/>
      <c r="H189" s="369"/>
      <c r="I189" s="369"/>
      <c r="J189" s="369"/>
      <c r="K189" s="369"/>
      <c r="L189" s="294"/>
      <c r="M189" s="378"/>
      <c r="N189" s="378"/>
      <c r="O189" s="378"/>
      <c r="P189" s="379"/>
      <c r="Q189" s="378"/>
    </row>
    <row r="190" spans="1:19" x14ac:dyDescent="0.2">
      <c r="A190" s="287">
        <v>25</v>
      </c>
      <c r="B190" s="287">
        <f>INDEX($A$2:$A$28,MATCH(C190,$E$2:$E$28,0))</f>
        <v>25</v>
      </c>
      <c r="C190" s="240" t="s">
        <v>612</v>
      </c>
      <c r="E190" s="105" t="s">
        <v>622</v>
      </c>
      <c r="F190" s="115" t="s">
        <v>81</v>
      </c>
      <c r="G190" s="366">
        <v>39168.574985617102</v>
      </c>
      <c r="H190" s="366">
        <v>18.684582842233599</v>
      </c>
      <c r="I190" s="366">
        <v>0.24173203617390299</v>
      </c>
      <c r="J190" s="366">
        <v>-4.8853846471426697E-3</v>
      </c>
      <c r="K190" s="366">
        <v>2.65815730132797E-5</v>
      </c>
      <c r="L190" s="117"/>
      <c r="M190" s="386"/>
      <c r="N190" s="386"/>
      <c r="O190" s="386"/>
      <c r="P190" s="386"/>
      <c r="Q190" s="386"/>
    </row>
    <row r="191" spans="1:19" x14ac:dyDescent="0.2">
      <c r="B191" s="373">
        <f>INDEX($F$2:$F$28,MATCH(C190,$E$2:$E$28,0))</f>
        <v>47000</v>
      </c>
      <c r="D191" s="105"/>
      <c r="E191" s="105" t="s">
        <v>623</v>
      </c>
      <c r="F191" s="115" t="s">
        <v>82</v>
      </c>
      <c r="G191" s="366">
        <v>243.56600424651899</v>
      </c>
      <c r="H191" s="366">
        <v>0.61246544691819305</v>
      </c>
      <c r="I191" s="366">
        <v>-1.6271884868654201E-2</v>
      </c>
      <c r="J191" s="366">
        <v>2.9497710469131999E-4</v>
      </c>
      <c r="K191" s="366">
        <v>-1.6635826320493701E-6</v>
      </c>
      <c r="L191" s="117"/>
      <c r="M191" s="386"/>
      <c r="N191" s="386"/>
      <c r="O191" s="386"/>
      <c r="P191" s="386"/>
      <c r="Q191" s="386"/>
    </row>
    <row r="192" spans="1:19" x14ac:dyDescent="0.2">
      <c r="A192" s="363"/>
      <c r="B192" s="373">
        <f>INDEX($H$2:$H$28,MATCH(C190,$E$2:$E$28,0))</f>
        <v>150</v>
      </c>
      <c r="C192" s="363"/>
      <c r="E192" s="105" t="s">
        <v>624</v>
      </c>
      <c r="F192" s="115" t="s">
        <v>83</v>
      </c>
      <c r="G192" s="366">
        <v>0.64114181731042896</v>
      </c>
      <c r="H192" s="366">
        <v>3.0164923461275298E-3</v>
      </c>
      <c r="I192" s="366">
        <v>-6.3519963468189805E-5</v>
      </c>
      <c r="J192" s="366">
        <v>1.01919890559555E-6</v>
      </c>
      <c r="K192" s="366">
        <v>-5.4048435953805197E-9</v>
      </c>
      <c r="L192" s="117"/>
      <c r="M192" s="386"/>
      <c r="N192" s="386"/>
      <c r="O192" s="386"/>
      <c r="P192" s="386"/>
      <c r="Q192" s="386"/>
    </row>
    <row r="193" spans="1:18" x14ac:dyDescent="0.2">
      <c r="A193" s="363"/>
      <c r="B193" s="373">
        <f>INDEX($I$2:$I$28,MATCH(C190,$E$2:$E$28,0))</f>
        <v>-40</v>
      </c>
      <c r="C193" s="363"/>
      <c r="E193" s="105" t="s">
        <v>625</v>
      </c>
      <c r="F193" s="115" t="s">
        <v>84</v>
      </c>
      <c r="G193" s="366">
        <v>1.3475458839712401E-3</v>
      </c>
      <c r="H193" s="366">
        <v>-1.69564705674006E-4</v>
      </c>
      <c r="I193" s="366">
        <v>8.9466355504256997E-6</v>
      </c>
      <c r="J193" s="366">
        <v>-1.73217522510246E-7</v>
      </c>
      <c r="K193" s="366">
        <v>9.9427151188728497E-10</v>
      </c>
      <c r="L193" s="117"/>
      <c r="M193" s="386"/>
      <c r="N193" s="386"/>
      <c r="O193" s="386"/>
      <c r="P193" s="386"/>
      <c r="Q193" s="386"/>
    </row>
    <row r="194" spans="1:18" x14ac:dyDescent="0.2">
      <c r="E194" s="105" t="s">
        <v>626</v>
      </c>
      <c r="F194" s="115" t="s">
        <v>85</v>
      </c>
      <c r="G194" s="366">
        <v>-7.2096260590240796E-6</v>
      </c>
      <c r="H194" s="366">
        <v>1.3771760925430199E-6</v>
      </c>
      <c r="I194" s="366">
        <v>-7.0349752707070406E-8</v>
      </c>
      <c r="J194" s="366">
        <v>1.35804343258657E-9</v>
      </c>
      <c r="K194" s="366">
        <v>-7.78727902361835E-12</v>
      </c>
      <c r="L194" s="117"/>
      <c r="M194" s="386"/>
      <c r="N194" s="386"/>
      <c r="O194" s="386"/>
      <c r="P194" s="386"/>
      <c r="Q194" s="386"/>
    </row>
    <row r="195" spans="1:18" s="114" customFormat="1" x14ac:dyDescent="0.2">
      <c r="A195" s="353"/>
      <c r="B195" s="353"/>
      <c r="C195" s="353"/>
      <c r="E195" s="112"/>
      <c r="F195" s="354"/>
      <c r="G195" s="369"/>
      <c r="H195" s="369"/>
      <c r="I195" s="369"/>
      <c r="J195" s="369"/>
      <c r="K195" s="369"/>
      <c r="L195" s="294"/>
    </row>
    <row r="196" spans="1:18" x14ac:dyDescent="0.2">
      <c r="A196" s="287">
        <v>26</v>
      </c>
      <c r="B196" s="287">
        <f>INDEX($A$2:$A$28,MATCH(C196,$E$2:$E$28,0))</f>
        <v>26</v>
      </c>
      <c r="C196" s="105" t="s">
        <v>569</v>
      </c>
      <c r="E196" s="105" t="s">
        <v>601</v>
      </c>
      <c r="F196" s="115" t="s">
        <v>81</v>
      </c>
      <c r="G196" s="366">
        <v>39073.527896342501</v>
      </c>
      <c r="H196" s="366">
        <v>18.842883797025902</v>
      </c>
      <c r="I196" s="366">
        <v>0.25581897208566801</v>
      </c>
      <c r="J196" s="366">
        <v>-5.3503036281571199E-3</v>
      </c>
      <c r="K196" s="366">
        <v>2.9654683038591102E-5</v>
      </c>
      <c r="L196" s="117"/>
    </row>
    <row r="197" spans="1:18" x14ac:dyDescent="0.2">
      <c r="B197" s="373">
        <f>INDEX($F$2:$F$28,MATCH(C196,$E$2:$E$28,0))</f>
        <v>47000</v>
      </c>
      <c r="D197" s="105"/>
      <c r="E197" s="105" t="s">
        <v>602</v>
      </c>
      <c r="F197" s="115" t="s">
        <v>82</v>
      </c>
      <c r="G197" s="366">
        <v>246.69282823589299</v>
      </c>
      <c r="H197" s="366">
        <v>0.58969600356734198</v>
      </c>
      <c r="I197" s="366">
        <v>-1.50292158592613E-2</v>
      </c>
      <c r="J197" s="366">
        <v>2.7370985763503701E-4</v>
      </c>
      <c r="K197" s="366">
        <v>-1.54974531645501E-6</v>
      </c>
      <c r="L197" s="117"/>
    </row>
    <row r="198" spans="1:18" x14ac:dyDescent="0.2">
      <c r="A198" s="344"/>
      <c r="B198" s="373">
        <f>INDEX($H$2:$H$28,MATCH(C196,$E$2:$E$28,0))</f>
        <v>125</v>
      </c>
      <c r="C198" s="363"/>
      <c r="E198" s="105" t="s">
        <v>603</v>
      </c>
      <c r="F198" s="115" t="s">
        <v>83</v>
      </c>
      <c r="G198" s="366">
        <v>0.66104021479253205</v>
      </c>
      <c r="H198" s="366">
        <v>3.3113147669142202E-3</v>
      </c>
      <c r="I198" s="366">
        <v>-7.6584113134323996E-5</v>
      </c>
      <c r="J198" s="366">
        <v>1.25344071481677E-6</v>
      </c>
      <c r="K198" s="366">
        <v>-6.7085148182899501E-9</v>
      </c>
      <c r="L198" s="117"/>
    </row>
    <row r="199" spans="1:18" x14ac:dyDescent="0.2">
      <c r="A199" s="344"/>
      <c r="B199" s="373">
        <f>INDEX($I$2:$I$28,MATCH(C196,$E$2:$E$28,0))</f>
        <v>-40</v>
      </c>
      <c r="C199" s="363"/>
      <c r="E199" s="105" t="s">
        <v>604</v>
      </c>
      <c r="F199" s="115" t="s">
        <v>84</v>
      </c>
      <c r="G199" s="366">
        <v>9.5079858576910302E-4</v>
      </c>
      <c r="H199" s="366">
        <v>-1.5447829994645E-4</v>
      </c>
      <c r="I199" s="366">
        <v>8.0550366138575096E-6</v>
      </c>
      <c r="J199" s="366">
        <v>-1.5573269824507299E-7</v>
      </c>
      <c r="K199" s="366">
        <v>8.9258955612169E-10</v>
      </c>
      <c r="L199" s="117"/>
    </row>
    <row r="200" spans="1:18" x14ac:dyDescent="0.2">
      <c r="E200" s="105" t="s">
        <v>605</v>
      </c>
      <c r="F200" s="115" t="s">
        <v>85</v>
      </c>
      <c r="G200" s="366">
        <v>-4.4732875444217696E-6</v>
      </c>
      <c r="H200" s="366">
        <v>1.2370882496924101E-6</v>
      </c>
      <c r="I200" s="366">
        <v>-6.2183422903682898E-8</v>
      </c>
      <c r="J200" s="366">
        <v>1.1987246676915001E-9</v>
      </c>
      <c r="K200" s="366">
        <v>-6.86435601010155E-12</v>
      </c>
      <c r="L200" s="117"/>
    </row>
    <row r="201" spans="1:18" s="114" customFormat="1" ht="13.5" thickBot="1" x14ac:dyDescent="0.25">
      <c r="A201" s="353"/>
      <c r="B201" s="353"/>
      <c r="C201" s="353"/>
      <c r="E201" s="112"/>
      <c r="F201" s="354"/>
      <c r="G201" s="369"/>
      <c r="H201" s="369"/>
      <c r="I201" s="369"/>
      <c r="J201" s="369"/>
      <c r="K201" s="369"/>
      <c r="L201" s="294"/>
      <c r="M201" s="378"/>
      <c r="N201" s="378"/>
      <c r="O201" s="378"/>
      <c r="P201" s="379"/>
      <c r="Q201" s="378"/>
    </row>
    <row r="202" spans="1:18" x14ac:dyDescent="0.2">
      <c r="A202" s="345">
        <v>27</v>
      </c>
      <c r="B202" s="345">
        <f>INDEX($A$2:$A$28,MATCH(C202,$E$2:$E$28,0))</f>
        <v>27</v>
      </c>
      <c r="C202" s="348" t="s">
        <v>570</v>
      </c>
      <c r="D202" s="346"/>
      <c r="E202" s="348" t="s">
        <v>606</v>
      </c>
      <c r="F202" s="349" t="s">
        <v>81</v>
      </c>
      <c r="G202" s="370">
        <v>39073.527896342501</v>
      </c>
      <c r="H202" s="370">
        <v>18.842883797025902</v>
      </c>
      <c r="I202" s="370">
        <v>0.25581897208566801</v>
      </c>
      <c r="J202" s="370">
        <v>-5.3503036281571199E-3</v>
      </c>
      <c r="K202" s="370">
        <v>2.9654683038591102E-5</v>
      </c>
      <c r="L202" s="346"/>
      <c r="M202" s="347" t="s">
        <v>561</v>
      </c>
      <c r="N202" s="350"/>
      <c r="O202" s="346"/>
      <c r="P202" s="351"/>
      <c r="Q202" s="346"/>
      <c r="R202" s="346"/>
    </row>
    <row r="203" spans="1:18" x14ac:dyDescent="0.2">
      <c r="B203" s="373">
        <f>INDEX($F$2:$F$28,MATCH(C202,$E$2:$E$28,0))</f>
        <v>47000</v>
      </c>
      <c r="D203" s="105"/>
      <c r="E203" s="105" t="s">
        <v>607</v>
      </c>
      <c r="F203" s="115" t="s">
        <v>82</v>
      </c>
      <c r="G203" s="366">
        <v>246.69282823589299</v>
      </c>
      <c r="H203" s="366">
        <v>0.58969600356734198</v>
      </c>
      <c r="I203" s="366">
        <v>-1.50292158592613E-2</v>
      </c>
      <c r="J203" s="366">
        <v>2.7370985763503701E-4</v>
      </c>
      <c r="K203" s="366">
        <v>-1.54974531645501E-6</v>
      </c>
      <c r="M203" s="352" t="s">
        <v>560</v>
      </c>
      <c r="N203" s="342"/>
      <c r="O203" s="114"/>
    </row>
    <row r="204" spans="1:18" x14ac:dyDescent="0.2">
      <c r="A204" s="321"/>
      <c r="B204" s="373">
        <f>INDEX($H$2:$H$28,MATCH(C202,$E$2:$E$28,0))</f>
        <v>125</v>
      </c>
      <c r="C204" s="363"/>
      <c r="E204" s="105" t="s">
        <v>608</v>
      </c>
      <c r="F204" s="115" t="s">
        <v>83</v>
      </c>
      <c r="G204" s="366">
        <v>0.66104021479253205</v>
      </c>
      <c r="H204" s="366">
        <v>3.3113147669142202E-3</v>
      </c>
      <c r="I204" s="366">
        <v>-7.6584113134323996E-5</v>
      </c>
      <c r="J204" s="366">
        <v>1.25344071481677E-6</v>
      </c>
      <c r="K204" s="366">
        <v>-6.7085148182899501E-9</v>
      </c>
      <c r="M204" s="352" t="s">
        <v>559</v>
      </c>
      <c r="N204" s="342"/>
      <c r="O204" s="114"/>
    </row>
    <row r="205" spans="1:18" x14ac:dyDescent="0.2">
      <c r="A205" s="321"/>
      <c r="B205" s="373">
        <f>INDEX($I$2:$I$28,MATCH(C202,$E$2:$E$28,0))</f>
        <v>-40</v>
      </c>
      <c r="C205" s="363"/>
      <c r="E205" s="105" t="s">
        <v>609</v>
      </c>
      <c r="F205" s="115" t="s">
        <v>84</v>
      </c>
      <c r="G205" s="366">
        <v>9.5079858576910302E-4</v>
      </c>
      <c r="H205" s="366">
        <v>-1.5447829994645E-4</v>
      </c>
      <c r="I205" s="366">
        <v>8.0550366138575096E-6</v>
      </c>
      <c r="J205" s="366">
        <v>-1.5573269824507299E-7</v>
      </c>
      <c r="K205" s="366">
        <v>8.9258955612169E-10</v>
      </c>
      <c r="M205" s="352" t="s">
        <v>562</v>
      </c>
      <c r="N205" s="342"/>
      <c r="O205" s="114"/>
    </row>
    <row r="206" spans="1:18" x14ac:dyDescent="0.2">
      <c r="E206" s="105" t="s">
        <v>610</v>
      </c>
      <c r="F206" s="115" t="s">
        <v>85</v>
      </c>
      <c r="G206" s="366">
        <v>-4.4732875444217696E-6</v>
      </c>
      <c r="H206" s="366">
        <v>1.2370882496924101E-6</v>
      </c>
      <c r="I206" s="366">
        <v>-6.2183422903682898E-8</v>
      </c>
      <c r="J206" s="366">
        <v>1.1987246676915001E-9</v>
      </c>
      <c r="K206" s="366">
        <v>-6.86435601010155E-12</v>
      </c>
    </row>
    <row r="209" spans="1:14" x14ac:dyDescent="0.2">
      <c r="D209" s="105"/>
    </row>
    <row r="210" spans="1:14" x14ac:dyDescent="0.2">
      <c r="A210" s="321"/>
      <c r="B210" s="363"/>
      <c r="C210" s="363"/>
    </row>
    <row r="211" spans="1:14" x14ac:dyDescent="0.2">
      <c r="A211" s="321"/>
      <c r="B211" s="363"/>
      <c r="C211" s="363"/>
      <c r="N211" s="342"/>
    </row>
    <row r="213" spans="1:14" x14ac:dyDescent="0.2">
      <c r="F213" s="105"/>
    </row>
    <row r="214" spans="1:14" x14ac:dyDescent="0.2">
      <c r="E214" s="105"/>
    </row>
    <row r="215" spans="1:14" x14ac:dyDescent="0.2">
      <c r="D215" s="105"/>
    </row>
    <row r="216" spans="1:14" x14ac:dyDescent="0.2">
      <c r="A216" s="321"/>
      <c r="B216" s="363"/>
      <c r="C216" s="363"/>
    </row>
  </sheetData>
  <sheetProtection algorithmName="SHA-512" hashValue="3y+3Qxmux9bDLQOG8KBzr3GSTc7FOdcVmOGGiGIYQw7cuoRVCz0fqONnhIikARhm156i6Z26RfKw+httVCgiSw==" saltValue="vnqMK16YTxWdfwD9LEu6XQ=="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620"/>
  <sheetViews>
    <sheetView showGridLines="0" zoomScale="80" zoomScaleNormal="80" workbookViewId="0">
      <selection activeCell="A5" sqref="A5"/>
    </sheetView>
  </sheetViews>
  <sheetFormatPr defaultColWidth="0" defaultRowHeight="12.75" zeroHeight="1" x14ac:dyDescent="0.2"/>
  <cols>
    <col min="1" max="1" width="18.7109375" style="11" customWidth="1"/>
    <col min="2" max="2" width="24" style="11" customWidth="1"/>
    <col min="3" max="3" width="15.7109375" style="11" customWidth="1"/>
    <col min="4" max="4" width="16.42578125" style="222" customWidth="1"/>
    <col min="5" max="5" width="14.28515625" style="11" hidden="1" customWidth="1"/>
    <col min="6" max="6" width="15.7109375" style="11" customWidth="1"/>
    <col min="7" max="7" width="10.140625" style="222" customWidth="1"/>
    <col min="8" max="8" width="7.85546875" style="222" customWidth="1"/>
    <col min="9" max="9" width="7.28515625" style="11" customWidth="1"/>
    <col min="10" max="10" width="15.7109375" style="11" hidden="1" customWidth="1"/>
    <col min="11" max="11" width="15.7109375" style="222" hidden="1" customWidth="1"/>
    <col min="12" max="12" width="8.7109375" style="11" customWidth="1"/>
    <col min="13" max="13" width="19" style="11" customWidth="1"/>
    <col min="14" max="14" width="20" style="11" customWidth="1"/>
    <col min="15" max="17" width="15.7109375" style="11" customWidth="1"/>
    <col min="18" max="19" width="8.7109375" style="11" customWidth="1"/>
    <col min="20" max="20" width="5.28515625" style="11" customWidth="1"/>
    <col min="21" max="28" width="8.7109375" style="11" customWidth="1"/>
    <col min="29" max="40" width="0" style="11" hidden="1" customWidth="1"/>
    <col min="41" max="16384" width="9.140625" style="11" hidden="1"/>
  </cols>
  <sheetData>
    <row r="1" spans="1:39" s="2" customFormat="1" x14ac:dyDescent="0.2">
      <c r="A1" s="748"/>
      <c r="B1" s="748"/>
      <c r="C1" s="748"/>
      <c r="D1" s="748"/>
      <c r="E1" s="748"/>
      <c r="F1" s="748"/>
      <c r="G1" s="748"/>
      <c r="H1" s="748"/>
      <c r="I1" s="748"/>
      <c r="J1" s="748"/>
      <c r="K1" s="748"/>
      <c r="L1" s="748"/>
      <c r="M1" s="748"/>
      <c r="N1" s="748"/>
      <c r="O1" s="748"/>
      <c r="P1" s="748"/>
      <c r="Q1" s="748"/>
      <c r="R1" s="748"/>
      <c r="S1" s="748"/>
      <c r="T1" s="748"/>
      <c r="U1" s="748"/>
      <c r="V1" s="748"/>
      <c r="W1" s="748"/>
      <c r="X1" s="748"/>
      <c r="Y1" s="1"/>
      <c r="Z1" s="1"/>
      <c r="AA1" s="1"/>
      <c r="AB1" s="1"/>
      <c r="AC1" s="1"/>
      <c r="AD1" s="1"/>
      <c r="AE1" s="1"/>
      <c r="AF1" s="1"/>
      <c r="AG1" s="1"/>
      <c r="AH1" s="1"/>
      <c r="AI1" s="1"/>
      <c r="AJ1" s="1"/>
      <c r="AK1" s="1"/>
      <c r="AL1" s="1"/>
      <c r="AM1" s="1"/>
    </row>
    <row r="2" spans="1:39" s="2" customFormat="1" x14ac:dyDescent="0.2">
      <c r="A2" s="748"/>
      <c r="B2" s="748"/>
      <c r="C2" s="748"/>
      <c r="D2" s="748"/>
      <c r="E2" s="748"/>
      <c r="F2" s="748"/>
      <c r="G2" s="748"/>
      <c r="H2" s="748"/>
      <c r="I2" s="748"/>
      <c r="J2" s="748"/>
      <c r="K2" s="748"/>
      <c r="L2" s="748"/>
      <c r="M2" s="748"/>
      <c r="N2" s="748"/>
      <c r="O2" s="748"/>
      <c r="P2" s="748"/>
      <c r="Q2" s="748"/>
      <c r="R2" s="748"/>
      <c r="S2" s="748"/>
      <c r="T2" s="748"/>
      <c r="U2" s="748"/>
      <c r="V2" s="748"/>
      <c r="W2" s="748"/>
      <c r="X2" s="748"/>
      <c r="Y2" s="1"/>
      <c r="Z2" s="1"/>
      <c r="AA2" s="1"/>
      <c r="AB2" s="1"/>
      <c r="AC2" s="1"/>
      <c r="AD2" s="1"/>
      <c r="AE2" s="1"/>
      <c r="AF2" s="1"/>
      <c r="AG2" s="1"/>
      <c r="AH2" s="1"/>
      <c r="AI2" s="1"/>
      <c r="AJ2" s="1"/>
      <c r="AK2" s="1"/>
      <c r="AL2" s="1"/>
      <c r="AM2" s="1"/>
    </row>
    <row r="3" spans="1:39" s="2" customFormat="1" x14ac:dyDescent="0.2">
      <c r="A3" s="748"/>
      <c r="B3" s="748"/>
      <c r="C3" s="748"/>
      <c r="D3" s="748"/>
      <c r="E3" s="748"/>
      <c r="F3" s="748"/>
      <c r="G3" s="748"/>
      <c r="H3" s="748"/>
      <c r="I3" s="748"/>
      <c r="J3" s="748"/>
      <c r="K3" s="748"/>
      <c r="L3" s="748"/>
      <c r="M3" s="748"/>
      <c r="N3" s="748"/>
      <c r="O3" s="748"/>
      <c r="P3" s="748"/>
      <c r="Q3" s="748"/>
      <c r="R3" s="748"/>
      <c r="S3" s="748"/>
      <c r="T3" s="748"/>
      <c r="U3" s="748"/>
      <c r="V3" s="748"/>
      <c r="W3" s="748"/>
      <c r="X3" s="748"/>
      <c r="Y3" s="1"/>
      <c r="Z3" s="1"/>
      <c r="AA3" s="1"/>
      <c r="AB3" s="1"/>
      <c r="AC3" s="1"/>
      <c r="AD3" s="1"/>
      <c r="AE3" s="1"/>
      <c r="AF3" s="1"/>
      <c r="AG3" s="1"/>
      <c r="AH3" s="1"/>
      <c r="AI3" s="1"/>
      <c r="AJ3" s="1"/>
      <c r="AK3" s="1"/>
      <c r="AL3" s="1"/>
      <c r="AM3" s="1"/>
    </row>
    <row r="4" spans="1:39" s="2" customFormat="1" ht="12.75" customHeight="1" x14ac:dyDescent="0.2">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750"/>
      <c r="AA4" s="750"/>
      <c r="AB4" s="750"/>
      <c r="AC4" s="1"/>
      <c r="AD4" s="1"/>
      <c r="AE4" s="1"/>
      <c r="AF4" s="1"/>
      <c r="AG4" s="1"/>
      <c r="AH4" s="1"/>
      <c r="AI4" s="1"/>
      <c r="AJ4" s="1"/>
      <c r="AK4" s="1"/>
      <c r="AL4" s="1"/>
      <c r="AM4" s="1"/>
    </row>
    <row r="5" spans="1:39" ht="15" x14ac:dyDescent="0.2">
      <c r="A5" s="417" t="s">
        <v>246</v>
      </c>
      <c r="B5" s="122"/>
      <c r="C5" s="13"/>
      <c r="D5" s="223"/>
      <c r="E5" s="13"/>
      <c r="F5" s="57"/>
      <c r="G5" s="175"/>
      <c r="H5" s="175"/>
      <c r="I5" s="13"/>
      <c r="J5" s="13"/>
      <c r="K5" s="223"/>
      <c r="L5" s="75"/>
      <c r="M5" s="75"/>
      <c r="N5" s="75"/>
      <c r="O5" s="75"/>
      <c r="P5" s="75"/>
      <c r="Q5" s="75"/>
      <c r="R5" s="75"/>
      <c r="S5" s="75"/>
      <c r="T5" s="20"/>
      <c r="U5" s="13"/>
      <c r="V5" s="13"/>
    </row>
    <row r="6" spans="1:39" ht="15.75" x14ac:dyDescent="0.25">
      <c r="A6" s="138"/>
      <c r="B6" s="138"/>
      <c r="C6" s="120"/>
      <c r="D6" s="241"/>
      <c r="E6" s="121"/>
      <c r="F6" s="57"/>
      <c r="G6" s="175"/>
      <c r="H6" s="175"/>
      <c r="I6" s="13"/>
      <c r="J6" s="13"/>
      <c r="K6" s="223"/>
      <c r="L6" s="20"/>
      <c r="M6" s="20"/>
      <c r="N6" s="20"/>
      <c r="O6" s="20"/>
      <c r="P6" s="20"/>
      <c r="Q6" s="20"/>
      <c r="R6" s="20"/>
      <c r="S6" s="20"/>
      <c r="T6" s="20"/>
      <c r="U6" s="13"/>
      <c r="V6" s="13"/>
    </row>
    <row r="7" spans="1:39" x14ac:dyDescent="0.2">
      <c r="C7" s="40"/>
      <c r="D7" s="226"/>
      <c r="E7" s="57"/>
      <c r="F7" s="57"/>
      <c r="G7" s="175"/>
      <c r="H7" s="175"/>
      <c r="I7" s="13"/>
      <c r="J7" s="13"/>
      <c r="K7" s="223"/>
      <c r="L7" s="20"/>
      <c r="M7" s="20"/>
      <c r="N7" s="20"/>
      <c r="O7" s="20"/>
      <c r="P7" s="20"/>
      <c r="Q7" s="20"/>
      <c r="R7" s="20"/>
      <c r="S7" s="20"/>
      <c r="T7" s="20"/>
      <c r="U7" s="13"/>
      <c r="V7" s="13"/>
    </row>
    <row r="8" spans="1:39" x14ac:dyDescent="0.2">
      <c r="A8" s="13"/>
      <c r="B8" s="13"/>
      <c r="C8" s="13"/>
      <c r="D8" s="223"/>
      <c r="E8" s="13"/>
      <c r="F8" s="57"/>
      <c r="G8" s="175"/>
      <c r="H8" s="175"/>
      <c r="I8" s="13"/>
      <c r="J8" s="13"/>
      <c r="K8" s="223"/>
      <c r="L8" s="13"/>
      <c r="M8" s="13"/>
      <c r="N8" s="13"/>
      <c r="O8" s="13"/>
      <c r="P8" s="13"/>
      <c r="Q8" s="13"/>
      <c r="R8" s="13"/>
      <c r="S8" s="13"/>
      <c r="T8" s="13"/>
      <c r="U8" s="13"/>
      <c r="V8" s="13"/>
    </row>
    <row r="9" spans="1:39" x14ac:dyDescent="0.2">
      <c r="A9" s="13"/>
      <c r="B9" s="13"/>
      <c r="C9" s="13"/>
      <c r="D9" s="223"/>
      <c r="E9" s="13"/>
      <c r="F9" s="57"/>
      <c r="G9" s="175"/>
      <c r="H9" s="175"/>
      <c r="I9" s="13"/>
      <c r="J9" s="13"/>
      <c r="K9" s="223"/>
      <c r="L9" s="13"/>
      <c r="M9" s="13"/>
      <c r="N9" s="13"/>
      <c r="O9" s="13"/>
      <c r="P9" s="13"/>
      <c r="Q9" s="13"/>
      <c r="R9" s="13"/>
      <c r="S9" s="13"/>
      <c r="T9" s="13"/>
    </row>
    <row r="10" spans="1:39" x14ac:dyDescent="0.2">
      <c r="A10" s="13"/>
      <c r="B10" s="13"/>
      <c r="C10" s="13"/>
      <c r="D10" s="223"/>
      <c r="E10" s="13"/>
      <c r="F10" s="57"/>
      <c r="G10" s="175"/>
      <c r="H10" s="175"/>
      <c r="I10" s="13"/>
      <c r="J10" s="13"/>
      <c r="K10" s="223"/>
      <c r="L10" s="13"/>
      <c r="M10" s="13"/>
      <c r="N10" s="13"/>
      <c r="O10" s="13"/>
      <c r="P10" s="13"/>
      <c r="Q10" s="13"/>
      <c r="R10" s="13"/>
      <c r="S10" s="13"/>
      <c r="T10" s="13"/>
    </row>
    <row r="11" spans="1:39" x14ac:dyDescent="0.2">
      <c r="A11" s="13"/>
      <c r="B11" s="13"/>
      <c r="C11" s="13"/>
      <c r="D11" s="223"/>
      <c r="E11" s="13"/>
      <c r="F11" s="57"/>
      <c r="G11" s="175"/>
      <c r="H11" s="175"/>
      <c r="I11" s="13"/>
      <c r="J11" s="13"/>
      <c r="K11" s="223"/>
      <c r="L11" s="13"/>
      <c r="M11" s="13"/>
      <c r="N11" s="13"/>
      <c r="O11" s="13"/>
      <c r="P11" s="13"/>
      <c r="Q11" s="13"/>
      <c r="R11" s="13"/>
      <c r="S11" s="13"/>
      <c r="T11" s="13"/>
    </row>
    <row r="12" spans="1:39" x14ac:dyDescent="0.2">
      <c r="A12" s="13"/>
      <c r="B12" s="13"/>
      <c r="C12" s="13"/>
      <c r="D12" s="223"/>
      <c r="E12" s="13"/>
      <c r="F12" s="57"/>
      <c r="G12" s="175"/>
      <c r="H12" s="175"/>
      <c r="I12" s="13"/>
      <c r="J12" s="13"/>
      <c r="K12" s="223"/>
      <c r="L12" s="13"/>
      <c r="M12" s="13"/>
      <c r="N12" s="13"/>
      <c r="O12" s="13"/>
      <c r="P12" s="13"/>
      <c r="Q12" s="13"/>
      <c r="R12" s="13"/>
      <c r="S12" s="13"/>
      <c r="T12" s="13"/>
    </row>
    <row r="13" spans="1:39" ht="15.75" x14ac:dyDescent="0.25">
      <c r="A13" s="266" t="s">
        <v>300</v>
      </c>
      <c r="B13" s="254" t="str">
        <f>Main!$N$22</f>
        <v>TMP6131DECR</v>
      </c>
      <c r="C13" s="13"/>
      <c r="D13" s="223"/>
      <c r="E13" s="13"/>
      <c r="F13" s="57"/>
      <c r="G13" s="175"/>
      <c r="H13" s="175"/>
      <c r="I13" s="13"/>
      <c r="J13" s="13"/>
      <c r="K13" s="223"/>
      <c r="L13" s="13"/>
      <c r="M13" s="13"/>
      <c r="N13" s="13"/>
      <c r="O13" s="13"/>
      <c r="P13" s="13"/>
      <c r="Q13" s="13"/>
      <c r="R13" s="13"/>
      <c r="S13" s="13"/>
      <c r="T13" s="13"/>
    </row>
    <row r="14" spans="1:39" ht="15.75" x14ac:dyDescent="0.25">
      <c r="A14" s="266" t="s">
        <v>206</v>
      </c>
      <c r="B14" s="282">
        <f>Main!$N$25</f>
        <v>5</v>
      </c>
      <c r="C14" s="38" t="s">
        <v>2</v>
      </c>
      <c r="D14" s="223"/>
      <c r="E14" s="13"/>
      <c r="F14" s="57"/>
      <c r="G14" s="175"/>
      <c r="H14" s="175"/>
      <c r="I14" s="13"/>
      <c r="J14" s="13"/>
      <c r="K14" s="223"/>
      <c r="L14" s="13"/>
      <c r="M14" s="13"/>
      <c r="N14" s="13"/>
      <c r="O14" s="13"/>
      <c r="P14" s="13"/>
      <c r="Q14" s="13"/>
      <c r="R14" s="13"/>
      <c r="S14" s="13"/>
      <c r="T14" s="13"/>
    </row>
    <row r="15" spans="1:39" s="222" customFormat="1" ht="15" x14ac:dyDescent="0.25">
      <c r="A15" s="267" t="s">
        <v>251</v>
      </c>
      <c r="B15" s="273">
        <f>Main!$N$31</f>
        <v>10000</v>
      </c>
      <c r="C15" s="161" t="s">
        <v>1</v>
      </c>
      <c r="D15" s="223"/>
      <c r="E15" s="223"/>
      <c r="F15" s="175"/>
      <c r="G15" s="175"/>
      <c r="H15" s="175"/>
      <c r="I15" s="223"/>
      <c r="J15" s="223"/>
      <c r="K15" s="223"/>
      <c r="L15" s="223"/>
      <c r="M15" s="223"/>
      <c r="N15" s="223"/>
      <c r="O15" s="223"/>
      <c r="P15" s="223"/>
      <c r="Q15" s="223"/>
      <c r="R15" s="223"/>
      <c r="S15" s="223"/>
      <c r="T15" s="223"/>
    </row>
    <row r="16" spans="1:39" s="146" customFormat="1" x14ac:dyDescent="0.2">
      <c r="D16" s="223"/>
      <c r="G16" s="223"/>
      <c r="H16" s="223"/>
      <c r="K16" s="223"/>
    </row>
    <row r="17" spans="1:19" s="146" customFormat="1" ht="20.25" x14ac:dyDescent="0.3">
      <c r="A17" s="143" t="s">
        <v>248</v>
      </c>
      <c r="B17" s="417" t="s">
        <v>247</v>
      </c>
      <c r="D17" s="223"/>
      <c r="G17" s="223"/>
      <c r="H17" s="223"/>
      <c r="J17" s="160"/>
      <c r="K17" s="175"/>
      <c r="M17" s="143" t="s">
        <v>249</v>
      </c>
      <c r="N17" s="417" t="s">
        <v>247</v>
      </c>
    </row>
    <row r="18" spans="1:19" ht="15" x14ac:dyDescent="0.2">
      <c r="A18" s="21"/>
      <c r="B18" s="21"/>
      <c r="C18" s="20"/>
      <c r="D18" s="224"/>
      <c r="E18" s="77"/>
      <c r="F18" s="77"/>
      <c r="G18" s="77"/>
      <c r="H18" s="77"/>
      <c r="I18" s="77"/>
      <c r="J18" s="77"/>
      <c r="K18" s="77"/>
    </row>
    <row r="19" spans="1:19" s="178" customFormat="1" ht="47.25" x14ac:dyDescent="0.25">
      <c r="A19" s="656" t="s">
        <v>113</v>
      </c>
      <c r="B19" s="504" t="s">
        <v>74</v>
      </c>
      <c r="C19" s="657" t="s">
        <v>263</v>
      </c>
      <c r="D19" s="657" t="s">
        <v>266</v>
      </c>
      <c r="E19" s="657" t="s">
        <v>287</v>
      </c>
      <c r="F19" s="657" t="s">
        <v>265</v>
      </c>
      <c r="G19" s="658"/>
      <c r="H19" s="659"/>
      <c r="I19" s="660"/>
      <c r="J19" s="661" t="s">
        <v>62</v>
      </c>
      <c r="K19" s="662" t="s">
        <v>212</v>
      </c>
      <c r="L19" s="660"/>
      <c r="M19" s="656" t="s">
        <v>113</v>
      </c>
      <c r="N19" s="656" t="s">
        <v>74</v>
      </c>
      <c r="O19" s="657" t="s">
        <v>263</v>
      </c>
      <c r="P19" s="663" t="s">
        <v>262</v>
      </c>
      <c r="Q19" s="657" t="s">
        <v>265</v>
      </c>
      <c r="R19" s="660"/>
      <c r="S19" s="660"/>
    </row>
    <row r="20" spans="1:19" ht="15" x14ac:dyDescent="0.2">
      <c r="A20" s="505">
        <v>1</v>
      </c>
      <c r="B20" s="506">
        <v>-40</v>
      </c>
      <c r="C20" s="664">
        <f>IFERROR(D20*0.985,NA())</f>
        <v>6504.3818579246399</v>
      </c>
      <c r="D20" s="664">
        <f>IF(B20 &lt;= VLOOKUP(Main!$N$22,Coefficients!$E$2:$H$28,4,FALSE),E20,NA())</f>
        <v>6603.4333582991267</v>
      </c>
      <c r="E20" s="507">
        <f>'4th Order Polynomial TMP vs Res'!$B$41+'4th Order Polynomial TMP vs Res'!$C$41*POWER(B20,1)+'4th Order Polynomial TMP vs Res'!$D$41*POWER(B20,2)+'4th Order Polynomial TMP vs Res'!$E$41*POWER(B20,3)+'4th Order Polynomial TMP vs Res'!$F$41*POWER(B20,4)</f>
        <v>6603.4333582991267</v>
      </c>
      <c r="F20" s="664">
        <f>IFERROR(D20*1.015,NA())</f>
        <v>6702.4848586736125</v>
      </c>
      <c r="G20" s="665"/>
      <c r="H20" s="666"/>
      <c r="I20" s="436"/>
      <c r="J20" s="667">
        <f>'4th Order Polynomial TMP vs Res'!$I$41*E20^4 + '4th Order Polynomial TMP vs Res'!$J$41*E20^3 + '4th Order Polynomial TMP vs Res'!$K$41*E20^2 + '4th Order Polynomial TMP vs Res'!$L$41*E20 + '4th Order Polynomial TMP vs Res'!$M$41</f>
        <v>-39.819061094379521</v>
      </c>
      <c r="K20" s="667">
        <f t="shared" ref="K20:K51" si="0">B20-J20</f>
        <v>-0.18093890562047932</v>
      </c>
      <c r="L20" s="436"/>
      <c r="M20" s="518">
        <v>1</v>
      </c>
      <c r="N20" s="532">
        <v>-40</v>
      </c>
      <c r="O20" s="664">
        <f ca="1">IFERROR(P20*0.985,NA())</f>
        <v>6504.3818579246399</v>
      </c>
      <c r="P20" s="554">
        <f t="shared" ref="P20:P58" ca="1" si="1">IFERROR(OFFSET($D$20,(ROW(D1)-1)*5,0),NA())</f>
        <v>6603.4333582991267</v>
      </c>
      <c r="Q20" s="664">
        <f ca="1">IFERROR(P20*1.015,NA())</f>
        <v>6702.4848586736125</v>
      </c>
      <c r="R20" s="441"/>
      <c r="S20" s="436"/>
    </row>
    <row r="21" spans="1:19" ht="15" x14ac:dyDescent="0.2">
      <c r="A21" s="505">
        <v>2</v>
      </c>
      <c r="B21" s="506">
        <f>B20+1</f>
        <v>-39</v>
      </c>
      <c r="C21" s="664">
        <f t="shared" ref="C21:C59" si="2">IFERROR(D21*0.985,NA())</f>
        <v>6547.1899808229682</v>
      </c>
      <c r="D21" s="664">
        <f>IF(B21 &lt;= VLOOKUP(Main!$N$22,Coefficients!$E$2:$H$28,4,FALSE),E21,NA())</f>
        <v>6646.8933815461605</v>
      </c>
      <c r="E21" s="507">
        <f>'4th Order Polynomial TMP vs Res'!$B$41+'4th Order Polynomial TMP vs Res'!$C$41*POWER(B21,1)+'4th Order Polynomial TMP vs Res'!$D$41*POWER(B21,2)+'4th Order Polynomial TMP vs Res'!$E$41*POWER(B21,3)+'4th Order Polynomial TMP vs Res'!$F$41*POWER(B21,4)</f>
        <v>6646.8933815461605</v>
      </c>
      <c r="F21" s="664">
        <f t="shared" ref="F21:F59" si="3">IFERROR(D21*1.015,NA())</f>
        <v>6746.5967822693519</v>
      </c>
      <c r="G21" s="665"/>
      <c r="H21" s="666"/>
      <c r="I21" s="436"/>
      <c r="J21" s="667">
        <f>'4th Order Polynomial TMP vs Res'!$I$41*E21^4 + '4th Order Polynomial TMP vs Res'!$J$41*E21^3 + '4th Order Polynomial TMP vs Res'!$K$41*E21^2 + '4th Order Polynomial TMP vs Res'!$L$41*E21 + '4th Order Polynomial TMP vs Res'!$M$41</f>
        <v>-38.845469025873854</v>
      </c>
      <c r="K21" s="667">
        <f t="shared" si="0"/>
        <v>-0.15453097412614625</v>
      </c>
      <c r="L21" s="436"/>
      <c r="M21" s="518">
        <v>2</v>
      </c>
      <c r="N21" s="532">
        <v>-35</v>
      </c>
      <c r="O21" s="664">
        <f t="shared" ref="O21:O58" ca="1" si="4">IFERROR(P21*0.985,NA())</f>
        <v>6721.394269344145</v>
      </c>
      <c r="P21" s="554">
        <f t="shared" ca="1" si="1"/>
        <v>6823.7505272529388</v>
      </c>
      <c r="Q21" s="664">
        <f t="shared" ref="Q21:Q58" ca="1" si="5">IFERROR(P21*1.015,NA())</f>
        <v>6926.1067851617327</v>
      </c>
      <c r="R21" s="436"/>
      <c r="S21" s="436"/>
    </row>
    <row r="22" spans="1:19" ht="15" x14ac:dyDescent="0.2">
      <c r="A22" s="505">
        <v>3</v>
      </c>
      <c r="B22" s="506">
        <f t="shared" ref="B22:B85" si="6">B21+1</f>
        <v>-38</v>
      </c>
      <c r="C22" s="664">
        <f t="shared" si="2"/>
        <v>6590.2953277004672</v>
      </c>
      <c r="D22" s="664">
        <f>IF(B22 &lt;= VLOOKUP(Main!$N$22,Coefficients!$E$2:$H$28,4,FALSE),E22,NA())</f>
        <v>6690.6551550258555</v>
      </c>
      <c r="E22" s="507">
        <f>'4th Order Polynomial TMP vs Res'!$B$41+'4th Order Polynomial TMP vs Res'!$C$41*POWER(B22,1)+'4th Order Polynomial TMP vs Res'!$D$41*POWER(B22,2)+'4th Order Polynomial TMP vs Res'!$E$41*POWER(B22,3)+'4th Order Polynomial TMP vs Res'!$F$41*POWER(B22,4)</f>
        <v>6690.6551550258555</v>
      </c>
      <c r="F22" s="664">
        <f t="shared" si="3"/>
        <v>6791.0149823512429</v>
      </c>
      <c r="G22" s="665"/>
      <c r="H22" s="666"/>
      <c r="I22" s="436"/>
      <c r="J22" s="667">
        <f>'4th Order Polynomial TMP vs Res'!$I$41*E22^4 + '4th Order Polynomial TMP vs Res'!$J$41*E22^3 + '4th Order Polynomial TMP vs Res'!$K$41*E22^2 + '4th Order Polynomial TMP vs Res'!$L$41*E22 + '4th Order Polynomial TMP vs Res'!$M$41</f>
        <v>-37.870081001203033</v>
      </c>
      <c r="K22" s="667">
        <f t="shared" si="0"/>
        <v>-0.12991899879696689</v>
      </c>
      <c r="L22" s="436"/>
      <c r="M22" s="518">
        <v>3</v>
      </c>
      <c r="N22" s="532">
        <v>-30</v>
      </c>
      <c r="O22" s="664">
        <f t="shared" ca="1" si="4"/>
        <v>6945.8341433962214</v>
      </c>
      <c r="P22" s="554">
        <f t="shared" ca="1" si="1"/>
        <v>7051.6082674073314</v>
      </c>
      <c r="Q22" s="664">
        <f t="shared" ca="1" si="5"/>
        <v>7157.3823914184404</v>
      </c>
      <c r="R22" s="436"/>
      <c r="S22" s="436"/>
    </row>
    <row r="23" spans="1:19" ht="15" x14ac:dyDescent="0.2">
      <c r="A23" s="505">
        <v>4</v>
      </c>
      <c r="B23" s="506">
        <f t="shared" si="6"/>
        <v>-37</v>
      </c>
      <c r="C23" s="664">
        <f t="shared" si="2"/>
        <v>6633.697849964783</v>
      </c>
      <c r="D23" s="664">
        <f>IF(B23 &lt;= VLOOKUP(Main!$N$22,Coefficients!$E$2:$H$28,4,FALSE),E23,NA())</f>
        <v>6734.7186294058711</v>
      </c>
      <c r="E23" s="507">
        <f>'4th Order Polynomial TMP vs Res'!$B$41+'4th Order Polynomial TMP vs Res'!$C$41*POWER(B23,1)+'4th Order Polynomial TMP vs Res'!$D$41*POWER(B23,2)+'4th Order Polynomial TMP vs Res'!$E$41*POWER(B23,3)+'4th Order Polynomial TMP vs Res'!$F$41*POWER(B23,4)</f>
        <v>6734.7186294058711</v>
      </c>
      <c r="F23" s="664">
        <f t="shared" si="3"/>
        <v>6835.7394088469582</v>
      </c>
      <c r="G23" s="665"/>
      <c r="H23" s="666"/>
      <c r="I23" s="436"/>
      <c r="J23" s="667">
        <f>'4th Order Polynomial TMP vs Res'!$I$41*E23^4 + '4th Order Polynomial TMP vs Res'!$J$41*E23^3 + '4th Order Polynomial TMP vs Res'!$K$41*E23^2 + '4th Order Polynomial TMP vs Res'!$L$41*E23 + '4th Order Polynomial TMP vs Res'!$M$41</f>
        <v>-36.892961719831334</v>
      </c>
      <c r="K23" s="667">
        <f t="shared" si="0"/>
        <v>-0.10703828016866623</v>
      </c>
      <c r="L23" s="436"/>
      <c r="M23" s="518">
        <v>4</v>
      </c>
      <c r="N23" s="532">
        <v>-25</v>
      </c>
      <c r="O23" s="664">
        <f t="shared" ca="1" si="4"/>
        <v>7177.701864995398</v>
      </c>
      <c r="P23" s="554">
        <f t="shared" ca="1" si="1"/>
        <v>7287.0069695384755</v>
      </c>
      <c r="Q23" s="664">
        <f t="shared" ca="1" si="5"/>
        <v>7396.3120740815521</v>
      </c>
      <c r="R23" s="436"/>
      <c r="S23" s="436"/>
    </row>
    <row r="24" spans="1:19" ht="15" x14ac:dyDescent="0.2">
      <c r="A24" s="505">
        <v>5</v>
      </c>
      <c r="B24" s="506">
        <f t="shared" si="6"/>
        <v>-36</v>
      </c>
      <c r="C24" s="664">
        <f t="shared" si="2"/>
        <v>6677.3975076354982</v>
      </c>
      <c r="D24" s="664">
        <f>IF(B24 &lt;= VLOOKUP(Main!$N$22,Coefficients!$E$2:$H$28,4,FALSE),E24,NA())</f>
        <v>6779.083764096953</v>
      </c>
      <c r="E24" s="507">
        <f>'4th Order Polynomial TMP vs Res'!$B$41+'4th Order Polynomial TMP vs Res'!$C$41*POWER(B24,1)+'4th Order Polynomial TMP vs Res'!$D$41*POWER(B24,2)+'4th Order Polynomial TMP vs Res'!$E$41*POWER(B24,3)+'4th Order Polynomial TMP vs Res'!$F$41*POWER(B24,4)</f>
        <v>6779.083764096953</v>
      </c>
      <c r="F24" s="664">
        <f t="shared" si="3"/>
        <v>6880.7700205584069</v>
      </c>
      <c r="G24" s="665"/>
      <c r="H24" s="666"/>
      <c r="I24" s="436"/>
      <c r="J24" s="667">
        <f>'4th Order Polynomial TMP vs Res'!$I$41*E24^4 + '4th Order Polynomial TMP vs Res'!$J$41*E24^3 + '4th Order Polynomial TMP vs Res'!$K$41*E24^2 + '4th Order Polynomial TMP vs Res'!$L$41*E24 + '4th Order Polynomial TMP vs Res'!$M$41</f>
        <v>-35.914174948623184</v>
      </c>
      <c r="K24" s="667">
        <f t="shared" si="0"/>
        <v>-8.5825051376815509E-2</v>
      </c>
      <c r="L24" s="436"/>
      <c r="M24" s="518">
        <v>5</v>
      </c>
      <c r="N24" s="532">
        <v>-20</v>
      </c>
      <c r="O24" s="664">
        <f t="shared" ca="1" si="4"/>
        <v>7417.0032015224315</v>
      </c>
      <c r="P24" s="554">
        <f t="shared" ca="1" si="1"/>
        <v>7529.9524888552605</v>
      </c>
      <c r="Q24" s="664">
        <f t="shared" ca="1" si="5"/>
        <v>7642.9017761880887</v>
      </c>
      <c r="R24" s="436"/>
      <c r="S24" s="436"/>
    </row>
    <row r="25" spans="1:19" ht="15" x14ac:dyDescent="0.2">
      <c r="A25" s="505">
        <v>6</v>
      </c>
      <c r="B25" s="506">
        <f t="shared" si="6"/>
        <v>-35</v>
      </c>
      <c r="C25" s="664">
        <f t="shared" si="2"/>
        <v>6721.394269344145</v>
      </c>
      <c r="D25" s="664">
        <f>IF(B25 &lt;= VLOOKUP(Main!$N$22,Coefficients!$E$2:$H$28,4,FALSE),E25,NA())</f>
        <v>6823.7505272529388</v>
      </c>
      <c r="E25" s="507">
        <f>'4th Order Polynomial TMP vs Res'!$B$41+'4th Order Polynomial TMP vs Res'!$C$41*POWER(B25,1)+'4th Order Polynomial TMP vs Res'!$D$41*POWER(B25,2)+'4th Order Polynomial TMP vs Res'!$E$41*POWER(B25,3)+'4th Order Polynomial TMP vs Res'!$F$41*POWER(B25,4)</f>
        <v>6823.7505272529388</v>
      </c>
      <c r="F25" s="664">
        <f t="shared" si="3"/>
        <v>6926.1067851617327</v>
      </c>
      <c r="G25" s="665"/>
      <c r="H25" s="666"/>
      <c r="I25" s="436"/>
      <c r="J25" s="667">
        <f>'4th Order Polynomial TMP vs Res'!$I$41*E25^4 + '4th Order Polynomial TMP vs Res'!$J$41*E25^3 + '4th Order Polynomial TMP vs Res'!$K$41*E25^2 + '4th Order Polynomial TMP vs Res'!$L$41*E25 + '4th Order Polynomial TMP vs Res'!$M$41</f>
        <v>-34.933783512771981</v>
      </c>
      <c r="K25" s="667">
        <f t="shared" si="0"/>
        <v>-6.621648722801865E-2</v>
      </c>
      <c r="L25" s="436"/>
      <c r="M25" s="518">
        <v>6</v>
      </c>
      <c r="N25" s="532">
        <v>-15</v>
      </c>
      <c r="O25" s="664">
        <f t="shared" ca="1" si="4"/>
        <v>7663.7493028243007</v>
      </c>
      <c r="P25" s="554">
        <f t="shared" ca="1" si="1"/>
        <v>7780.4561449992898</v>
      </c>
      <c r="Q25" s="664">
        <f t="shared" ca="1" si="5"/>
        <v>7897.162987174278</v>
      </c>
      <c r="R25" s="436"/>
      <c r="S25" s="436"/>
    </row>
    <row r="26" spans="1:19" ht="15" x14ac:dyDescent="0.2">
      <c r="A26" s="505">
        <v>7</v>
      </c>
      <c r="B26" s="506">
        <f t="shared" si="6"/>
        <v>-34</v>
      </c>
      <c r="C26" s="664">
        <f t="shared" si="2"/>
        <v>6765.6881123342037</v>
      </c>
      <c r="D26" s="664">
        <f>IF(B26 &lt;= VLOOKUP(Main!$N$22,Coefficients!$E$2:$H$28,4,FALSE),E26,NA())</f>
        <v>6868.7188957707649</v>
      </c>
      <c r="E26" s="507">
        <f>'4th Order Polynomial TMP vs Res'!$B$41+'4th Order Polynomial TMP vs Res'!$C$41*POWER(B26,1)+'4th Order Polynomial TMP vs Res'!$D$41*POWER(B26,2)+'4th Order Polynomial TMP vs Res'!$E$41*POWER(B26,3)+'4th Order Polynomial TMP vs Res'!$F$41*POWER(B26,4)</f>
        <v>6868.7188957707649</v>
      </c>
      <c r="F26" s="664">
        <f t="shared" si="3"/>
        <v>6971.7496792073262</v>
      </c>
      <c r="G26" s="665"/>
      <c r="H26" s="666"/>
      <c r="I26" s="436"/>
      <c r="J26" s="667">
        <f>'4th Order Polynomial TMP vs Res'!$I$41*E26^4 + '4th Order Polynomial TMP vs Res'!$J$41*E26^3 + '4th Order Polynomial TMP vs Res'!$K$41*E26^2 + '4th Order Polynomial TMP vs Res'!$L$41*E26 + '4th Order Polynomial TMP vs Res'!$M$41</f>
        <v>-33.951849286959174</v>
      </c>
      <c r="K26" s="667">
        <f t="shared" si="0"/>
        <v>-4.8150713040826076E-2</v>
      </c>
      <c r="L26" s="436"/>
      <c r="M26" s="518">
        <v>7</v>
      </c>
      <c r="N26" s="532">
        <v>-10</v>
      </c>
      <c r="O26" s="664">
        <f t="shared" ca="1" si="4"/>
        <v>7917.9567012142088</v>
      </c>
      <c r="P26" s="554">
        <f t="shared" ca="1" si="1"/>
        <v>8038.5347220448821</v>
      </c>
      <c r="Q26" s="664">
        <f t="shared" ca="1" si="5"/>
        <v>8159.1127428755544</v>
      </c>
      <c r="R26" s="436"/>
      <c r="S26" s="436"/>
    </row>
    <row r="27" spans="1:19" ht="15" x14ac:dyDescent="0.2">
      <c r="A27" s="505">
        <v>8</v>
      </c>
      <c r="B27" s="506">
        <f t="shared" si="6"/>
        <v>-33</v>
      </c>
      <c r="C27" s="664">
        <f t="shared" si="2"/>
        <v>6810.2790224610972</v>
      </c>
      <c r="D27" s="664">
        <f>IF(B27 &lt;= VLOOKUP(Main!$N$22,Coefficients!$E$2:$H$28,4,FALSE),E27,NA())</f>
        <v>6913.988855290454</v>
      </c>
      <c r="E27" s="507">
        <f>'4th Order Polynomial TMP vs Res'!$B$41+'4th Order Polynomial TMP vs Res'!$C$41*POWER(B27,1)+'4th Order Polynomial TMP vs Res'!$D$41*POWER(B27,2)+'4th Order Polynomial TMP vs Res'!$E$41*POWER(B27,3)+'4th Order Polynomial TMP vs Res'!$F$41*POWER(B27,4)</f>
        <v>6913.988855290454</v>
      </c>
      <c r="F27" s="664">
        <f t="shared" si="3"/>
        <v>7017.69868811981</v>
      </c>
      <c r="G27" s="665"/>
      <c r="H27" s="666"/>
      <c r="I27" s="436"/>
      <c r="J27" s="667">
        <f>'4th Order Polynomial TMP vs Res'!$I$41*E27^4 + '4th Order Polynomial TMP vs Res'!$J$41*E27^3 + '4th Order Polynomial TMP vs Res'!$K$41*E27^2 + '4th Order Polynomial TMP vs Res'!$L$41*E27 + '4th Order Polynomial TMP vs Res'!$M$41</f>
        <v>-32.968433186747689</v>
      </c>
      <c r="K27" s="667">
        <f t="shared" si="0"/>
        <v>-3.1566813252311476E-2</v>
      </c>
      <c r="L27" s="436"/>
      <c r="M27" s="518">
        <v>8</v>
      </c>
      <c r="N27" s="532">
        <v>-5</v>
      </c>
      <c r="O27" s="664">
        <f t="shared" ca="1" si="4"/>
        <v>8179.6473114715818</v>
      </c>
      <c r="P27" s="554">
        <f t="shared" ca="1" si="1"/>
        <v>8304.2104684990682</v>
      </c>
      <c r="Q27" s="664">
        <f t="shared" ca="1" si="5"/>
        <v>8428.7736255265536</v>
      </c>
      <c r="R27" s="436"/>
      <c r="S27" s="436"/>
    </row>
    <row r="28" spans="1:19" ht="15" x14ac:dyDescent="0.2">
      <c r="A28" s="505">
        <v>9</v>
      </c>
      <c r="B28" s="506">
        <f t="shared" si="6"/>
        <v>-32</v>
      </c>
      <c r="C28" s="664">
        <f t="shared" si="2"/>
        <v>6855.1669941921955</v>
      </c>
      <c r="D28" s="664">
        <f>IF(B28 &lt;= VLOOKUP(Main!$N$22,Coefficients!$E$2:$H$28,4,FALSE),E28,NA())</f>
        <v>6959.5604001951224</v>
      </c>
      <c r="E28" s="507">
        <f>'4th Order Polynomial TMP vs Res'!$B$41+'4th Order Polynomial TMP vs Res'!$C$41*POWER(B28,1)+'4th Order Polynomial TMP vs Res'!$D$41*POWER(B28,2)+'4th Order Polynomial TMP vs Res'!$E$41*POWER(B28,3)+'4th Order Polynomial TMP vs Res'!$F$41*POWER(B28,4)</f>
        <v>6959.5604001951224</v>
      </c>
      <c r="F28" s="664">
        <f t="shared" si="3"/>
        <v>7063.9538061980484</v>
      </c>
      <c r="G28" s="665"/>
      <c r="H28" s="666"/>
      <c r="I28" s="436"/>
      <c r="J28" s="667">
        <f>'4th Order Polynomial TMP vs Res'!$I$41*E28^4 + '4th Order Polynomial TMP vs Res'!$J$41*E28^3 + '4th Order Polynomial TMP vs Res'!$K$41*E28^2 + '4th Order Polynomial TMP vs Res'!$L$41*E28 + '4th Order Polynomial TMP vs Res'!$M$41</f>
        <v>-31.983595160209461</v>
      </c>
      <c r="K28" s="667">
        <f t="shared" si="0"/>
        <v>-1.6404839790538972E-2</v>
      </c>
      <c r="L28" s="436"/>
      <c r="M28" s="518">
        <v>9</v>
      </c>
      <c r="N28" s="532">
        <v>0</v>
      </c>
      <c r="O28" s="664">
        <f ca="1">IFERROR(P28*0.99,NA())</f>
        <v>8491.7359863285874</v>
      </c>
      <c r="P28" s="554">
        <f t="shared" ca="1" si="1"/>
        <v>8577.5110973016035</v>
      </c>
      <c r="Q28" s="664">
        <f t="shared" ref="Q28:Q32" ca="1" si="7">IFERROR(P28*1.01,NA())</f>
        <v>8663.2862082746196</v>
      </c>
      <c r="R28" s="436"/>
      <c r="S28" s="436"/>
    </row>
    <row r="29" spans="1:19" ht="15" x14ac:dyDescent="0.2">
      <c r="A29" s="505">
        <v>10</v>
      </c>
      <c r="B29" s="506">
        <f t="shared" si="6"/>
        <v>-31</v>
      </c>
      <c r="C29" s="664">
        <f t="shared" si="2"/>
        <v>6900.3520306068158</v>
      </c>
      <c r="D29" s="664">
        <f>IF(B29 &lt;= VLOOKUP(Main!$N$22,Coefficients!$E$2:$H$28,4,FALSE),E29,NA())</f>
        <v>7005.4335336109807</v>
      </c>
      <c r="E29" s="507">
        <f>'4th Order Polynomial TMP vs Res'!$B$41+'4th Order Polynomial TMP vs Res'!$C$41*POWER(B29,1)+'4th Order Polynomial TMP vs Res'!$D$41*POWER(B29,2)+'4th Order Polynomial TMP vs Res'!$E$41*POWER(B29,3)+'4th Order Polynomial TMP vs Res'!$F$41*POWER(B29,4)</f>
        <v>7005.4335336109807</v>
      </c>
      <c r="F29" s="664">
        <f t="shared" si="3"/>
        <v>7110.5150366151447</v>
      </c>
      <c r="G29" s="665"/>
      <c r="H29" s="666"/>
      <c r="I29" s="436"/>
      <c r="J29" s="667">
        <f>'4th Order Polynomial TMP vs Res'!$I$41*E29^4 + '4th Order Polynomial TMP vs Res'!$J$41*E29^3 + '4th Order Polynomial TMP vs Res'!$K$41*E29^2 + '4th Order Polynomial TMP vs Res'!$L$41*E29 + '4th Order Polynomial TMP vs Res'!$M$41</f>
        <v>-30.997394179792309</v>
      </c>
      <c r="K29" s="667">
        <f t="shared" si="0"/>
        <v>-2.6058202076910675E-3</v>
      </c>
      <c r="L29" s="436"/>
      <c r="M29" s="518">
        <v>10</v>
      </c>
      <c r="N29" s="532">
        <v>5</v>
      </c>
      <c r="O29" s="664">
        <f t="shared" ref="O29:O42" ca="1" si="8">IFERROR(P29*0.99,NA())</f>
        <v>8769.8850879667007</v>
      </c>
      <c r="P29" s="554">
        <f t="shared" ca="1" si="1"/>
        <v>8858.469785824951</v>
      </c>
      <c r="Q29" s="664">
        <f t="shared" ca="1" si="7"/>
        <v>8947.0544836832014</v>
      </c>
      <c r="R29" s="436"/>
      <c r="S29" s="436"/>
    </row>
    <row r="30" spans="1:19" ht="15" x14ac:dyDescent="0.2">
      <c r="A30" s="505">
        <v>11</v>
      </c>
      <c r="B30" s="506">
        <f t="shared" si="6"/>
        <v>-30</v>
      </c>
      <c r="C30" s="664">
        <f t="shared" si="2"/>
        <v>6945.8341433962214</v>
      </c>
      <c r="D30" s="664">
        <f>IF(B30 &lt;= VLOOKUP(Main!$N$22,Coefficients!$E$2:$H$28,4,FALSE),E30,NA())</f>
        <v>7051.6082674073314</v>
      </c>
      <c r="E30" s="507">
        <f>'4th Order Polynomial TMP vs Res'!$B$41+'4th Order Polynomial TMP vs Res'!$C$41*POWER(B30,1)+'4th Order Polynomial TMP vs Res'!$D$41*POWER(B30,2)+'4th Order Polynomial TMP vs Res'!$E$41*POWER(B30,3)+'4th Order Polynomial TMP vs Res'!$F$41*POWER(B30,4)</f>
        <v>7051.6082674073314</v>
      </c>
      <c r="F30" s="664">
        <f t="shared" si="3"/>
        <v>7157.3823914184404</v>
      </c>
      <c r="G30" s="665"/>
      <c r="H30" s="666"/>
      <c r="I30" s="436"/>
      <c r="J30" s="667">
        <f>'4th Order Polynomial TMP vs Res'!$I$41*E30^4 + '4th Order Polynomial TMP vs Res'!$J$41*E30^3 + '4th Order Polynomial TMP vs Res'!$K$41*E30^2 + '4th Order Polynomial TMP vs Res'!$L$41*E30 + '4th Order Polynomial TMP vs Res'!$M$41</f>
        <v>-30.009888234427137</v>
      </c>
      <c r="K30" s="667">
        <f t="shared" si="0"/>
        <v>9.8882344271373768E-3</v>
      </c>
      <c r="L30" s="436"/>
      <c r="M30" s="518">
        <v>11</v>
      </c>
      <c r="N30" s="532">
        <v>10</v>
      </c>
      <c r="O30" s="664">
        <f t="shared" ca="1" si="8"/>
        <v>9055.6539241155424</v>
      </c>
      <c r="P30" s="554">
        <f t="shared" ca="1" si="1"/>
        <v>9147.1251758742856</v>
      </c>
      <c r="Q30" s="664">
        <f t="shared" ca="1" si="7"/>
        <v>9238.5964276330287</v>
      </c>
      <c r="R30" s="436"/>
      <c r="S30" s="436"/>
    </row>
    <row r="31" spans="1:19" ht="15" x14ac:dyDescent="0.2">
      <c r="A31" s="505">
        <v>12</v>
      </c>
      <c r="B31" s="506">
        <f t="shared" si="6"/>
        <v>-29</v>
      </c>
      <c r="C31" s="664">
        <f t="shared" si="2"/>
        <v>6991.6133528636183</v>
      </c>
      <c r="D31" s="664">
        <f>IF(B31 &lt;= VLOOKUP(Main!$N$22,Coefficients!$E$2:$H$28,4,FALSE),E31,NA())</f>
        <v>7098.0846221965667</v>
      </c>
      <c r="E31" s="507">
        <f>'4th Order Polynomial TMP vs Res'!$B$41+'4th Order Polynomial TMP vs Res'!$C$41*POWER(B31,1)+'4th Order Polynomial TMP vs Res'!$D$41*POWER(B31,2)+'4th Order Polynomial TMP vs Res'!$E$41*POWER(B31,3)+'4th Order Polynomial TMP vs Res'!$F$41*POWER(B31,4)</f>
        <v>7098.0846221965667</v>
      </c>
      <c r="F31" s="664">
        <f t="shared" si="3"/>
        <v>7204.5558915295142</v>
      </c>
      <c r="G31" s="665"/>
      <c r="H31" s="666"/>
      <c r="I31" s="436"/>
      <c r="J31" s="667">
        <f>'4th Order Polynomial TMP vs Res'!$I$41*E31^4 + '4th Order Polynomial TMP vs Res'!$J$41*E31^3 + '4th Order Polynomial TMP vs Res'!$K$41*E31^2 + '4th Order Polynomial TMP vs Res'!$L$41*E31 + '4th Order Polynomial TMP vs Res'!$M$41</f>
        <v>-29.021134321880083</v>
      </c>
      <c r="K31" s="667">
        <f t="shared" si="0"/>
        <v>2.1134321880083462E-2</v>
      </c>
      <c r="L31" s="436"/>
      <c r="M31" s="518">
        <v>12</v>
      </c>
      <c r="N31" s="532">
        <v>15</v>
      </c>
      <c r="O31" s="664">
        <f t="shared" ca="1" si="8"/>
        <v>9349.0861599506352</v>
      </c>
      <c r="P31" s="554">
        <f t="shared" ca="1" si="1"/>
        <v>9443.5213736875103</v>
      </c>
      <c r="Q31" s="664">
        <f t="shared" ca="1" si="7"/>
        <v>9537.9565874243854</v>
      </c>
      <c r="R31" s="436"/>
      <c r="S31" s="436"/>
    </row>
    <row r="32" spans="1:19" ht="15" x14ac:dyDescent="0.2">
      <c r="A32" s="505">
        <v>13</v>
      </c>
      <c r="B32" s="506">
        <f t="shared" si="6"/>
        <v>-28</v>
      </c>
      <c r="C32" s="664">
        <f t="shared" si="2"/>
        <v>7037.6896879241594</v>
      </c>
      <c r="D32" s="664">
        <f>IF(B32 &lt;= VLOOKUP(Main!$N$22,Coefficients!$E$2:$H$28,4,FALSE),E32,NA())</f>
        <v>7144.8626273341724</v>
      </c>
      <c r="E32" s="507">
        <f>'4th Order Polynomial TMP vs Res'!$B$41+'4th Order Polynomial TMP vs Res'!$C$41*POWER(B32,1)+'4th Order Polynomial TMP vs Res'!$D$41*POWER(B32,2)+'4th Order Polynomial TMP vs Res'!$E$41*POWER(B32,3)+'4th Order Polynomial TMP vs Res'!$F$41*POWER(B32,4)</f>
        <v>7144.8626273341724</v>
      </c>
      <c r="F32" s="664">
        <f t="shared" si="3"/>
        <v>7252.0355667441845</v>
      </c>
      <c r="G32" s="665"/>
      <c r="H32" s="666"/>
      <c r="I32" s="436"/>
      <c r="J32" s="667">
        <f>'4th Order Polynomial TMP vs Res'!$I$41*E32^4 + '4th Order Polynomial TMP vs Res'!$J$41*E32^3 + '4th Order Polynomial TMP vs Res'!$K$41*E32^2 + '4th Order Polynomial TMP vs Res'!$L$41*E32 + '4th Order Polynomial TMP vs Res'!$M$41</f>
        <v>-28.031188441350622</v>
      </c>
      <c r="K32" s="667">
        <f t="shared" si="0"/>
        <v>3.1188441350622043E-2</v>
      </c>
      <c r="L32" s="436"/>
      <c r="M32" s="518">
        <v>13</v>
      </c>
      <c r="N32" s="532">
        <v>20</v>
      </c>
      <c r="O32" s="664">
        <f t="shared" ca="1" si="8"/>
        <v>9650.2308704358802</v>
      </c>
      <c r="P32" s="554">
        <f t="shared" ca="1" si="1"/>
        <v>9747.707949935233</v>
      </c>
      <c r="Q32" s="664">
        <f t="shared" ca="1" si="7"/>
        <v>9845.1850294345859</v>
      </c>
      <c r="R32" s="436"/>
      <c r="S32" s="436"/>
    </row>
    <row r="33" spans="1:19" ht="15" x14ac:dyDescent="0.2">
      <c r="A33" s="505">
        <v>14</v>
      </c>
      <c r="B33" s="506">
        <f t="shared" si="6"/>
        <v>-27</v>
      </c>
      <c r="C33" s="664">
        <f t="shared" si="2"/>
        <v>7084.0631861049515</v>
      </c>
      <c r="D33" s="664">
        <f>IF(B33 &lt;= VLOOKUP(Main!$N$22,Coefficients!$E$2:$H$28,4,FALSE),E33,NA())</f>
        <v>7191.9423209187325</v>
      </c>
      <c r="E33" s="507">
        <f>'4th Order Polynomial TMP vs Res'!$B$41+'4th Order Polynomial TMP vs Res'!$C$41*POWER(B33,1)+'4th Order Polynomial TMP vs Res'!$D$41*POWER(B33,2)+'4th Order Polynomial TMP vs Res'!$E$41*POWER(B33,3)+'4th Order Polynomial TMP vs Res'!$F$41*POWER(B33,4)</f>
        <v>7191.9423209187325</v>
      </c>
      <c r="F33" s="664">
        <f t="shared" si="3"/>
        <v>7299.8214557325127</v>
      </c>
      <c r="G33" s="665"/>
      <c r="H33" s="666"/>
      <c r="I33" s="436"/>
      <c r="J33" s="667">
        <f>'4th Order Polynomial TMP vs Res'!$I$41*E33^4 + '4th Order Polynomial TMP vs Res'!$J$41*E33^3 + '4th Order Polynomial TMP vs Res'!$K$41*E33^2 + '4th Order Polynomial TMP vs Res'!$L$41*E33 + '4th Order Polynomial TMP vs Res'!$M$41</f>
        <v>-27.04010558632001</v>
      </c>
      <c r="K33" s="667">
        <f t="shared" si="0"/>
        <v>4.0105586320009934E-2</v>
      </c>
      <c r="L33" s="436"/>
      <c r="M33" s="518">
        <v>14</v>
      </c>
      <c r="N33" s="668">
        <v>25</v>
      </c>
      <c r="O33" s="664">
        <f t="shared" ca="1" si="8"/>
        <v>9959.1425403235735</v>
      </c>
      <c r="P33" s="554">
        <f t="shared" ca="1" si="1"/>
        <v>10059.739939720781</v>
      </c>
      <c r="Q33" s="664">
        <f ca="1">IFERROR(P33*1.01,NA())</f>
        <v>10160.337339117988</v>
      </c>
      <c r="R33" s="436"/>
      <c r="S33" s="436"/>
    </row>
    <row r="34" spans="1:19" ht="15" x14ac:dyDescent="0.2">
      <c r="A34" s="505">
        <v>15</v>
      </c>
      <c r="B34" s="506">
        <f t="shared" si="6"/>
        <v>-26</v>
      </c>
      <c r="C34" s="664">
        <f t="shared" si="2"/>
        <v>7130.7338935450325</v>
      </c>
      <c r="D34" s="664">
        <f>IF(B34 &lt;= VLOOKUP(Main!$N$22,Coefficients!$E$2:$H$28,4,FALSE),E34,NA())</f>
        <v>7239.3237497919117</v>
      </c>
      <c r="E34" s="507">
        <f>'4th Order Polynomial TMP vs Res'!$B$41+'4th Order Polynomial TMP vs Res'!$C$41*POWER(B34,1)+'4th Order Polynomial TMP vs Res'!$D$41*POWER(B34,2)+'4th Order Polynomial TMP vs Res'!$E$41*POWER(B34,3)+'4th Order Polynomial TMP vs Res'!$F$41*POWER(B34,4)</f>
        <v>7239.3237497919117</v>
      </c>
      <c r="F34" s="664">
        <f t="shared" si="3"/>
        <v>7347.91360603879</v>
      </c>
      <c r="G34" s="665"/>
      <c r="H34" s="666"/>
      <c r="I34" s="436"/>
      <c r="J34" s="667">
        <f>'4th Order Polynomial TMP vs Res'!$I$41*E34^4 + '4th Order Polynomial TMP vs Res'!$J$41*E34^3 + '4th Order Polynomial TMP vs Res'!$K$41*E34^2 + '4th Order Polynomial TMP vs Res'!$L$41*E34 + '4th Order Polynomial TMP vs Res'!$M$41</f>
        <v>-26.047939737653678</v>
      </c>
      <c r="K34" s="667">
        <f t="shared" si="0"/>
        <v>4.7939737653678094E-2</v>
      </c>
      <c r="L34" s="436"/>
      <c r="M34" s="518">
        <v>15</v>
      </c>
      <c r="N34" s="532">
        <v>30</v>
      </c>
      <c r="O34" s="664">
        <f t="shared" ca="1" si="8"/>
        <v>10275.881064154391</v>
      </c>
      <c r="P34" s="554">
        <f t="shared" ca="1" si="1"/>
        <v>10379.677842580193</v>
      </c>
      <c r="Q34" s="664">
        <f t="shared" ref="Q34:Q42" ca="1" si="9">IFERROR(P34*1.01,NA())</f>
        <v>10483.474621005995</v>
      </c>
      <c r="R34" s="436"/>
      <c r="S34" s="436"/>
    </row>
    <row r="35" spans="1:19" ht="15" x14ac:dyDescent="0.2">
      <c r="A35" s="505">
        <v>16</v>
      </c>
      <c r="B35" s="506">
        <f t="shared" si="6"/>
        <v>-25</v>
      </c>
      <c r="C35" s="664">
        <f t="shared" si="2"/>
        <v>7177.701864995398</v>
      </c>
      <c r="D35" s="664">
        <f>IF(B35 &lt;= VLOOKUP(Main!$N$22,Coefficients!$E$2:$H$28,4,FALSE),E35,NA())</f>
        <v>7287.0069695384755</v>
      </c>
      <c r="E35" s="507">
        <f>'4th Order Polynomial TMP vs Res'!$B$41+'4th Order Polynomial TMP vs Res'!$C$41*POWER(B35,1)+'4th Order Polynomial TMP vs Res'!$D$41*POWER(B35,2)+'4th Order Polynomial TMP vs Res'!$E$41*POWER(B35,3)+'4th Order Polynomial TMP vs Res'!$F$41*POWER(B35,4)</f>
        <v>7287.0069695384755</v>
      </c>
      <c r="F35" s="664">
        <f t="shared" si="3"/>
        <v>7396.3120740815521</v>
      </c>
      <c r="G35" s="665"/>
      <c r="H35" s="666"/>
      <c r="I35" s="436"/>
      <c r="J35" s="667">
        <f>'4th Order Polynomial TMP vs Res'!$I$41*E35^4 + '4th Order Polynomial TMP vs Res'!$J$41*E35^3 + '4th Order Polynomial TMP vs Res'!$K$41*E35^2 + '4th Order Polynomial TMP vs Res'!$L$41*E35 + '4th Order Polynomial TMP vs Res'!$M$41</f>
        <v>-25.054743856959135</v>
      </c>
      <c r="K35" s="667">
        <f t="shared" si="0"/>
        <v>5.4743856959134973E-2</v>
      </c>
      <c r="L35" s="436"/>
      <c r="M35" s="518">
        <v>16</v>
      </c>
      <c r="N35" s="532">
        <v>35</v>
      </c>
      <c r="O35" s="664">
        <f t="shared" ca="1" si="8"/>
        <v>10600.511746257409</v>
      </c>
      <c r="P35" s="554">
        <f t="shared" ca="1" si="1"/>
        <v>10707.587622482231</v>
      </c>
      <c r="Q35" s="664">
        <f t="shared" ca="1" si="9"/>
        <v>10814.663498707054</v>
      </c>
      <c r="R35" s="436"/>
      <c r="S35" s="436"/>
    </row>
    <row r="36" spans="1:19" ht="15" x14ac:dyDescent="0.2">
      <c r="A36" s="505">
        <v>17</v>
      </c>
      <c r="B36" s="506">
        <f t="shared" si="6"/>
        <v>-24</v>
      </c>
      <c r="C36" s="664">
        <f t="shared" si="2"/>
        <v>7224.9671638189866</v>
      </c>
      <c r="D36" s="664">
        <f>IF(B36 &lt;= VLOOKUP(Main!$N$22,Coefficients!$E$2:$H$28,4,FALSE),E36,NA())</f>
        <v>7334.992044486281</v>
      </c>
      <c r="E36" s="507">
        <f>'4th Order Polynomial TMP vs Res'!$B$41+'4th Order Polynomial TMP vs Res'!$C$41*POWER(B36,1)+'4th Order Polynomial TMP vs Res'!$D$41*POWER(B36,2)+'4th Order Polynomial TMP vs Res'!$E$41*POWER(B36,3)+'4th Order Polynomial TMP vs Res'!$F$41*POWER(B36,4)</f>
        <v>7334.992044486281</v>
      </c>
      <c r="F36" s="664">
        <f t="shared" si="3"/>
        <v>7445.0169251535744</v>
      </c>
      <c r="G36" s="665"/>
      <c r="H36" s="666"/>
      <c r="I36" s="436"/>
      <c r="J36" s="667">
        <f>'4th Order Polynomial TMP vs Res'!$I$41*E36^4 + '4th Order Polynomial TMP vs Res'!$J$41*E36^3 + '4th Order Polynomial TMP vs Res'!$K$41*E36^2 + '4th Order Polynomial TMP vs Res'!$L$41*E36 + '4th Order Polynomial TMP vs Res'!$M$41</f>
        <v>-24.060569880204412</v>
      </c>
      <c r="K36" s="667">
        <f t="shared" si="0"/>
        <v>6.0569880204411675E-2</v>
      </c>
      <c r="L36" s="436"/>
      <c r="M36" s="518">
        <v>17</v>
      </c>
      <c r="N36" s="532">
        <v>40</v>
      </c>
      <c r="O36" s="664">
        <f t="shared" ca="1" si="8"/>
        <v>10933.105300750083</v>
      </c>
      <c r="P36" s="554">
        <f t="shared" ca="1" si="1"/>
        <v>11043.540707828366</v>
      </c>
      <c r="Q36" s="664">
        <f t="shared" ca="1" si="9"/>
        <v>11153.976114906649</v>
      </c>
      <c r="R36" s="436"/>
      <c r="S36" s="436"/>
    </row>
    <row r="37" spans="1:19" ht="15" x14ac:dyDescent="0.2">
      <c r="A37" s="505">
        <v>18</v>
      </c>
      <c r="B37" s="506">
        <f t="shared" si="6"/>
        <v>-23</v>
      </c>
      <c r="C37" s="664">
        <f t="shared" si="2"/>
        <v>7272.5298619906816</v>
      </c>
      <c r="D37" s="664">
        <f>IF(B37 &lt;= VLOOKUP(Main!$N$22,Coefficients!$E$2:$H$28,4,FALSE),E37,NA())</f>
        <v>7383.2790477062763</v>
      </c>
      <c r="E37" s="507">
        <f>'4th Order Polynomial TMP vs Res'!$B$41+'4th Order Polynomial TMP vs Res'!$C$41*POWER(B37,1)+'4th Order Polynomial TMP vs Res'!$D$41*POWER(B37,2)+'4th Order Polynomial TMP vs Res'!$E$41*POWER(B37,3)+'4th Order Polynomial TMP vs Res'!$F$41*POWER(B37,4)</f>
        <v>7383.2790477062763</v>
      </c>
      <c r="F37" s="664">
        <f t="shared" si="3"/>
        <v>7494.02823342187</v>
      </c>
      <c r="G37" s="665"/>
      <c r="H37" s="666"/>
      <c r="I37" s="436"/>
      <c r="J37" s="667">
        <f>'4th Order Polynomial TMP vs Res'!$I$41*E37^4 + '4th Order Polynomial TMP vs Res'!$J$41*E37^3 + '4th Order Polynomial TMP vs Res'!$K$41*E37^2 + '4th Order Polynomial TMP vs Res'!$L$41*E37 + '4th Order Polynomial TMP vs Res'!$M$41</f>
        <v>-23.065468711600175</v>
      </c>
      <c r="K37" s="667">
        <f t="shared" si="0"/>
        <v>6.5468711600175311E-2</v>
      </c>
      <c r="L37" s="436"/>
      <c r="M37" s="518">
        <v>18</v>
      </c>
      <c r="N37" s="532">
        <v>45</v>
      </c>
      <c r="O37" s="664">
        <f t="shared" ca="1" si="8"/>
        <v>11273.737851538255</v>
      </c>
      <c r="P37" s="554">
        <f t="shared" ca="1" si="1"/>
        <v>11387.613991452783</v>
      </c>
      <c r="Q37" s="664">
        <f t="shared" ca="1" si="9"/>
        <v>11501.490131367311</v>
      </c>
      <c r="R37" s="436"/>
      <c r="S37" s="436"/>
    </row>
    <row r="38" spans="1:19" ht="15" x14ac:dyDescent="0.2">
      <c r="A38" s="505">
        <v>19</v>
      </c>
      <c r="B38" s="506">
        <f t="shared" si="6"/>
        <v>-22</v>
      </c>
      <c r="C38" s="664">
        <f t="shared" si="2"/>
        <v>7320.3900400973125</v>
      </c>
      <c r="D38" s="664">
        <f>IF(B38 &lt;= VLOOKUP(Main!$N$22,Coefficients!$E$2:$H$28,4,FALSE),E38,NA())</f>
        <v>7431.8680610125002</v>
      </c>
      <c r="E38" s="507">
        <f>'4th Order Polynomial TMP vs Res'!$B$41+'4th Order Polynomial TMP vs Res'!$C$41*POWER(B38,1)+'4th Order Polynomial TMP vs Res'!$D$41*POWER(B38,2)+'4th Order Polynomial TMP vs Res'!$E$41*POWER(B38,3)+'4th Order Polynomial TMP vs Res'!$F$41*POWER(B38,4)</f>
        <v>7431.8680610125002</v>
      </c>
      <c r="F38" s="664">
        <f t="shared" si="3"/>
        <v>7543.346081927687</v>
      </c>
      <c r="G38" s="665"/>
      <c r="H38" s="666"/>
      <c r="I38" s="436"/>
      <c r="J38" s="667">
        <f>'4th Order Polynomial TMP vs Res'!$I$41*E38^4 + '4th Order Polynomial TMP vs Res'!$J$41*E38^3 + '4th Order Polynomial TMP vs Res'!$K$41*E38^2 + '4th Order Polynomial TMP vs Res'!$L$41*E38 + '4th Order Polynomial TMP vs Res'!$M$41</f>
        <v>-22.069490217748324</v>
      </c>
      <c r="K38" s="667">
        <f t="shared" si="0"/>
        <v>6.9490217748324312E-2</v>
      </c>
      <c r="L38" s="436"/>
      <c r="M38" s="518">
        <v>19</v>
      </c>
      <c r="N38" s="532">
        <v>50</v>
      </c>
      <c r="O38" s="664">
        <f t="shared" ca="1" si="8"/>
        <v>11622.490932316163</v>
      </c>
      <c r="P38" s="554">
        <f t="shared" ca="1" si="1"/>
        <v>11739.889830622387</v>
      </c>
      <c r="Q38" s="664">
        <f t="shared" ca="1" si="9"/>
        <v>11857.288728928612</v>
      </c>
      <c r="R38" s="436"/>
      <c r="S38" s="436"/>
    </row>
    <row r="39" spans="1:19" ht="15" x14ac:dyDescent="0.2">
      <c r="A39" s="505">
        <v>20</v>
      </c>
      <c r="B39" s="506">
        <f t="shared" si="6"/>
        <v>-21</v>
      </c>
      <c r="C39" s="664">
        <f t="shared" si="2"/>
        <v>7368.5477873376558</v>
      </c>
      <c r="D39" s="664">
        <f>IF(B39 &lt;= VLOOKUP(Main!$N$22,Coefficients!$E$2:$H$28,4,FALSE),E39,NA())</f>
        <v>7480.7591749620869</v>
      </c>
      <c r="E39" s="507">
        <f>'4th Order Polynomial TMP vs Res'!$B$41+'4th Order Polynomial TMP vs Res'!$C$41*POWER(B39,1)+'4th Order Polynomial TMP vs Res'!$D$41*POWER(B39,2)+'4th Order Polynomial TMP vs Res'!$E$41*POWER(B39,3)+'4th Order Polynomial TMP vs Res'!$F$41*POWER(B39,4)</f>
        <v>7480.7591749620869</v>
      </c>
      <c r="F39" s="664">
        <f t="shared" si="3"/>
        <v>7592.9705625865172</v>
      </c>
      <c r="G39" s="665"/>
      <c r="H39" s="666"/>
      <c r="I39" s="436"/>
      <c r="J39" s="667">
        <f>'4th Order Polynomial TMP vs Res'!$I$41*E39^4 + '4th Order Polynomial TMP vs Res'!$J$41*E39^3 + '4th Order Polynomial TMP vs Res'!$K$41*E39^2 + '4th Order Polynomial TMP vs Res'!$L$41*E39 + '4th Order Polynomial TMP vs Res'!$M$41</f>
        <v>-21.072683222062722</v>
      </c>
      <c r="K39" s="667">
        <f t="shared" si="0"/>
        <v>7.2683222062721597E-2</v>
      </c>
      <c r="L39" s="436"/>
      <c r="M39" s="518">
        <v>20</v>
      </c>
      <c r="N39" s="532">
        <v>55</v>
      </c>
      <c r="O39" s="664">
        <f t="shared" ca="1" si="8"/>
        <v>11979.451486566433</v>
      </c>
      <c r="P39" s="554">
        <f t="shared" ca="1" si="1"/>
        <v>12100.456047036801</v>
      </c>
      <c r="Q39" s="664">
        <f t="shared" ca="1" si="9"/>
        <v>12221.46060750717</v>
      </c>
      <c r="R39" s="436"/>
      <c r="S39" s="436"/>
    </row>
    <row r="40" spans="1:19" ht="15" x14ac:dyDescent="0.2">
      <c r="A40" s="505">
        <v>21</v>
      </c>
      <c r="B40" s="506">
        <f t="shared" si="6"/>
        <v>-20</v>
      </c>
      <c r="C40" s="664">
        <f t="shared" si="2"/>
        <v>7417.0032015224315</v>
      </c>
      <c r="D40" s="664">
        <f>IF(B40 &lt;= VLOOKUP(Main!$N$22,Coefficients!$E$2:$H$28,4,FALSE),E40,NA())</f>
        <v>7529.9524888552605</v>
      </c>
      <c r="E40" s="507">
        <f>'4th Order Polynomial TMP vs Res'!$B$41+'4th Order Polynomial TMP vs Res'!$C$41*POWER(B40,1)+'4th Order Polynomial TMP vs Res'!$D$41*POWER(B40,2)+'4th Order Polynomial TMP vs Res'!$E$41*POWER(B40,3)+'4th Order Polynomial TMP vs Res'!$F$41*POWER(B40,4)</f>
        <v>7529.9524888552605</v>
      </c>
      <c r="F40" s="664">
        <f t="shared" si="3"/>
        <v>7642.9017761880887</v>
      </c>
      <c r="G40" s="665"/>
      <c r="H40" s="666"/>
      <c r="I40" s="436"/>
      <c r="J40" s="667">
        <f>'4th Order Polynomial TMP vs Res'!$I$41*E40^4 + '4th Order Polynomial TMP vs Res'!$J$41*E40^3 + '4th Order Polynomial TMP vs Res'!$K$41*E40^2 + '4th Order Polynomial TMP vs Res'!$L$41*E40 + '4th Order Polynomial TMP vs Res'!$M$41</f>
        <v>-20.075095499463742</v>
      </c>
      <c r="K40" s="667">
        <f t="shared" si="0"/>
        <v>7.5095499463742499E-2</v>
      </c>
      <c r="L40" s="436"/>
      <c r="M40" s="518">
        <v>21</v>
      </c>
      <c r="N40" s="532">
        <v>60</v>
      </c>
      <c r="O40" s="664">
        <f t="shared" ca="1" si="8"/>
        <v>12344.711867560069</v>
      </c>
      <c r="P40" s="554">
        <f t="shared" ca="1" si="1"/>
        <v>12469.405926828353</v>
      </c>
      <c r="Q40" s="664">
        <f t="shared" ca="1" si="9"/>
        <v>12594.099986096637</v>
      </c>
      <c r="R40" s="436"/>
      <c r="S40" s="436"/>
    </row>
    <row r="41" spans="1:19" ht="15" x14ac:dyDescent="0.2">
      <c r="A41" s="505">
        <v>22</v>
      </c>
      <c r="B41" s="506">
        <f t="shared" si="6"/>
        <v>-19</v>
      </c>
      <c r="C41" s="664">
        <f t="shared" si="2"/>
        <v>7465.7563890743095</v>
      </c>
      <c r="D41" s="664">
        <f>IF(B41 &lt;= VLOOKUP(Main!$N$22,Coefficients!$E$2:$H$28,4,FALSE),E41,NA())</f>
        <v>7579.4481107353395</v>
      </c>
      <c r="E41" s="507">
        <f>'4th Order Polynomial TMP vs Res'!$B$41+'4th Order Polynomial TMP vs Res'!$C$41*POWER(B41,1)+'4th Order Polynomial TMP vs Res'!$D$41*POWER(B41,2)+'4th Order Polynomial TMP vs Res'!$E$41*POWER(B41,3)+'4th Order Polynomial TMP vs Res'!$F$41*POWER(B41,4)</f>
        <v>7579.4481107353395</v>
      </c>
      <c r="F41" s="664">
        <f t="shared" si="3"/>
        <v>7693.1398323963685</v>
      </c>
      <c r="G41" s="665"/>
      <c r="H41" s="666"/>
      <c r="I41" s="436"/>
      <c r="J41" s="667">
        <f>'4th Order Polynomial TMP vs Res'!$I$41*E41^4 + '4th Order Polynomial TMP vs Res'!$J$41*E41^3 + '4th Order Polynomial TMP vs Res'!$K$41*E41^2 + '4th Order Polynomial TMP vs Res'!$L$41*E41 + '4th Order Polynomial TMP vs Res'!$M$41</f>
        <v>-19.076773771352322</v>
      </c>
      <c r="K41" s="667">
        <f t="shared" si="0"/>
        <v>7.6773771352321774E-2</v>
      </c>
      <c r="L41" s="436"/>
      <c r="M41" s="518">
        <v>22</v>
      </c>
      <c r="N41" s="532">
        <v>65</v>
      </c>
      <c r="O41" s="664">
        <f t="shared" ca="1" si="8"/>
        <v>12718.369838356477</v>
      </c>
      <c r="P41" s="554">
        <f t="shared" ca="1" si="1"/>
        <v>12846.838220562098</v>
      </c>
      <c r="Q41" s="664">
        <f t="shared" ca="1" si="9"/>
        <v>12975.30660276772</v>
      </c>
      <c r="R41" s="436"/>
      <c r="S41" s="436"/>
    </row>
    <row r="42" spans="1:19" ht="15" x14ac:dyDescent="0.2">
      <c r="A42" s="505">
        <v>23</v>
      </c>
      <c r="B42" s="506">
        <f t="shared" si="6"/>
        <v>-18</v>
      </c>
      <c r="C42" s="664">
        <f t="shared" si="2"/>
        <v>7514.8074650279041</v>
      </c>
      <c r="D42" s="664">
        <f>IF(B42 &lt;= VLOOKUP(Main!$N$22,Coefficients!$E$2:$H$28,4,FALSE),E42,NA())</f>
        <v>7629.2461573887349</v>
      </c>
      <c r="E42" s="507">
        <f>'4th Order Polynomial TMP vs Res'!$B$41+'4th Order Polynomial TMP vs Res'!$C$41*POWER(B42,1)+'4th Order Polynomial TMP vs Res'!$D$41*POWER(B42,2)+'4th Order Polynomial TMP vs Res'!$E$41*POWER(B42,3)+'4th Order Polynomial TMP vs Res'!$F$41*POWER(B42,4)</f>
        <v>7629.2461573887349</v>
      </c>
      <c r="F42" s="664">
        <f t="shared" si="3"/>
        <v>7743.6848497495648</v>
      </c>
      <c r="G42" s="665"/>
      <c r="H42" s="666"/>
      <c r="I42" s="436"/>
      <c r="J42" s="667">
        <f>'4th Order Polynomial TMP vs Res'!$I$41*E42^4 + '4th Order Polynomial TMP vs Res'!$J$41*E42^3 + '4th Order Polynomial TMP vs Res'!$K$41*E42^2 + '4th Order Polynomial TMP vs Res'!$L$41*E42 + '4th Order Polynomial TMP vs Res'!$M$41</f>
        <v>-18.077763700867138</v>
      </c>
      <c r="K42" s="667">
        <f t="shared" si="0"/>
        <v>7.7763700867137686E-2</v>
      </c>
      <c r="L42" s="436"/>
      <c r="M42" s="518">
        <v>23</v>
      </c>
      <c r="N42" s="532">
        <v>70</v>
      </c>
      <c r="O42" s="664">
        <f t="shared" ca="1" si="8"/>
        <v>13100.528571803439</v>
      </c>
      <c r="P42" s="554">
        <f t="shared" ca="1" si="1"/>
        <v>13232.857143235797</v>
      </c>
      <c r="Q42" s="664">
        <f t="shared" ca="1" si="9"/>
        <v>13365.185714668154</v>
      </c>
      <c r="R42" s="436"/>
      <c r="S42" s="436"/>
    </row>
    <row r="43" spans="1:19" ht="15" x14ac:dyDescent="0.2">
      <c r="A43" s="505">
        <v>24</v>
      </c>
      <c r="B43" s="506">
        <f t="shared" si="6"/>
        <v>-17</v>
      </c>
      <c r="C43" s="664">
        <f t="shared" si="2"/>
        <v>7564.1565530297712</v>
      </c>
      <c r="D43" s="664">
        <f>IF(B43 &lt;= VLOOKUP(Main!$N$22,Coefficients!$E$2:$H$28,4,FALSE),E43,NA())</f>
        <v>7679.3467543449451</v>
      </c>
      <c r="E43" s="507">
        <f>'4th Order Polynomial TMP vs Res'!$B$41+'4th Order Polynomial TMP vs Res'!$C$41*POWER(B43,1)+'4th Order Polynomial TMP vs Res'!$D$41*POWER(B43,2)+'4th Order Polynomial TMP vs Res'!$E$41*POWER(B43,3)+'4th Order Polynomial TMP vs Res'!$F$41*POWER(B43,4)</f>
        <v>7679.3467543449451</v>
      </c>
      <c r="F43" s="664">
        <f t="shared" si="3"/>
        <v>7794.5369556601181</v>
      </c>
      <c r="G43" s="665"/>
      <c r="H43" s="666"/>
      <c r="I43" s="436"/>
      <c r="J43" s="667">
        <f>'4th Order Polynomial TMP vs Res'!$I$41*E43^4 + '4th Order Polynomial TMP vs Res'!$J$41*E43^3 + '4th Order Polynomial TMP vs Res'!$K$41*E43^2 + '4th Order Polynomial TMP vs Res'!$L$41*E43 + '4th Order Polynomial TMP vs Res'!$M$41</f>
        <v>-17.078109888429339</v>
      </c>
      <c r="K43" s="667">
        <f t="shared" si="0"/>
        <v>7.8109888429338525E-2</v>
      </c>
      <c r="L43" s="436"/>
      <c r="M43" s="518">
        <v>24</v>
      </c>
      <c r="N43" s="532">
        <v>75</v>
      </c>
      <c r="O43" s="664">
        <f t="shared" ca="1" si="4"/>
        <v>13423.158788665734</v>
      </c>
      <c r="P43" s="554">
        <f t="shared" ca="1" si="1"/>
        <v>13627.572374279933</v>
      </c>
      <c r="Q43" s="664">
        <f t="shared" ca="1" si="5"/>
        <v>13831.985959894131</v>
      </c>
      <c r="R43" s="436"/>
      <c r="S43" s="436"/>
    </row>
    <row r="44" spans="1:19" ht="15" x14ac:dyDescent="0.2">
      <c r="A44" s="505">
        <v>25</v>
      </c>
      <c r="B44" s="506">
        <f t="shared" si="6"/>
        <v>-16</v>
      </c>
      <c r="C44" s="664">
        <f t="shared" si="2"/>
        <v>7613.8037853384194</v>
      </c>
      <c r="D44" s="664">
        <f>IF(B44 &lt;= VLOOKUP(Main!$N$22,Coefficients!$E$2:$H$28,4,FALSE),E44,NA())</f>
        <v>7729.7500358765683</v>
      </c>
      <c r="E44" s="507">
        <f>'4th Order Polynomial TMP vs Res'!$B$41+'4th Order Polynomial TMP vs Res'!$C$41*POWER(B44,1)+'4th Order Polynomial TMP vs Res'!$D$41*POWER(B44,2)+'4th Order Polynomial TMP vs Res'!$E$41*POWER(B44,3)+'4th Order Polynomial TMP vs Res'!$F$41*POWER(B44,4)</f>
        <v>7729.7500358765683</v>
      </c>
      <c r="F44" s="664">
        <f t="shared" si="3"/>
        <v>7845.6962864147163</v>
      </c>
      <c r="G44" s="665"/>
      <c r="H44" s="666"/>
      <c r="I44" s="436"/>
      <c r="J44" s="667">
        <f>'4th Order Polynomial TMP vs Res'!$I$41*E44^4 + '4th Order Polynomial TMP vs Res'!$J$41*E44^3 + '4th Order Polynomial TMP vs Res'!$K$41*E44^2 + '4th Order Polynomial TMP vs Res'!$L$41*E44 + '4th Order Polynomial TMP vs Res'!$M$41</f>
        <v>-16.077855867578933</v>
      </c>
      <c r="K44" s="667">
        <f t="shared" si="0"/>
        <v>7.7855867578932703E-2</v>
      </c>
      <c r="L44" s="436"/>
      <c r="M44" s="518">
        <v>25</v>
      </c>
      <c r="N44" s="532">
        <v>80</v>
      </c>
      <c r="O44" s="664">
        <f t="shared" ca="1" si="4"/>
        <v>13820.63257169433</v>
      </c>
      <c r="P44" s="554">
        <f t="shared" ca="1" si="1"/>
        <v>14031.099057557696</v>
      </c>
      <c r="Q44" s="664">
        <f t="shared" ca="1" si="5"/>
        <v>14241.56554342106</v>
      </c>
      <c r="R44" s="436"/>
      <c r="S44" s="436"/>
    </row>
    <row r="45" spans="1:19" ht="15" x14ac:dyDescent="0.2">
      <c r="A45" s="505">
        <v>26</v>
      </c>
      <c r="B45" s="506">
        <f t="shared" si="6"/>
        <v>-15</v>
      </c>
      <c r="C45" s="664">
        <f t="shared" si="2"/>
        <v>7663.7493028243007</v>
      </c>
      <c r="D45" s="664">
        <f>IF(B45 &lt;= VLOOKUP(Main!$N$22,Coefficients!$E$2:$H$28,4,FALSE),E45,NA())</f>
        <v>7780.4561449992898</v>
      </c>
      <c r="E45" s="507">
        <f>'4th Order Polynomial TMP vs Res'!$B$41+'4th Order Polynomial TMP vs Res'!$C$41*POWER(B45,1)+'4th Order Polynomial TMP vs Res'!$D$41*POWER(B45,2)+'4th Order Polynomial TMP vs Res'!$E$41*POWER(B45,3)+'4th Order Polynomial TMP vs Res'!$F$41*POWER(B45,4)</f>
        <v>7780.4561449992898</v>
      </c>
      <c r="F45" s="664">
        <f t="shared" si="3"/>
        <v>7897.162987174278</v>
      </c>
      <c r="G45" s="665"/>
      <c r="H45" s="666"/>
      <c r="I45" s="436"/>
      <c r="J45" s="667">
        <f>'4th Order Polynomial TMP vs Res'!$I$41*E45^4 + '4th Order Polynomial TMP vs Res'!$J$41*E45^3 + '4th Order Polynomial TMP vs Res'!$K$41*E45^2 + '4th Order Polynomial TMP vs Res'!$L$41*E45 + '4th Order Polynomial TMP vs Res'!$M$41</f>
        <v>-15.077044101108243</v>
      </c>
      <c r="K45" s="667">
        <f t="shared" si="0"/>
        <v>7.7044101108242558E-2</v>
      </c>
      <c r="L45" s="436"/>
      <c r="M45" s="518">
        <v>26</v>
      </c>
      <c r="N45" s="532">
        <v>85</v>
      </c>
      <c r="O45" s="664">
        <f t="shared" ca="1" si="4"/>
        <v>14226.904434344529</v>
      </c>
      <c r="P45" s="554">
        <f t="shared" ca="1" si="1"/>
        <v>14443.557801365005</v>
      </c>
      <c r="Q45" s="664">
        <f t="shared" ca="1" si="5"/>
        <v>14660.211168385478</v>
      </c>
      <c r="R45" s="436"/>
      <c r="S45" s="436"/>
    </row>
    <row r="46" spans="1:19" ht="15" x14ac:dyDescent="0.2">
      <c r="A46" s="505">
        <v>27</v>
      </c>
      <c r="B46" s="506">
        <f t="shared" si="6"/>
        <v>-14</v>
      </c>
      <c r="C46" s="664">
        <f t="shared" si="2"/>
        <v>7713.9932549698096</v>
      </c>
      <c r="D46" s="664">
        <f>IF(B46 &lt;= VLOOKUP(Main!$N$22,Coefficients!$E$2:$H$28,4,FALSE),E46,NA())</f>
        <v>7831.4652334718885</v>
      </c>
      <c r="E46" s="507">
        <f>'4th Order Polynomial TMP vs Res'!$B$41+'4th Order Polynomial TMP vs Res'!$C$41*POWER(B46,1)+'4th Order Polynomial TMP vs Res'!$D$41*POWER(B46,2)+'4th Order Polynomial TMP vs Res'!$E$41*POWER(B46,3)+'4th Order Polynomial TMP vs Res'!$F$41*POWER(B46,4)</f>
        <v>7831.4652334718885</v>
      </c>
      <c r="F46" s="664">
        <f t="shared" si="3"/>
        <v>7948.9372119739664</v>
      </c>
      <c r="G46" s="665"/>
      <c r="H46" s="666"/>
      <c r="I46" s="436"/>
      <c r="J46" s="667">
        <f>'4th Order Polynomial TMP vs Res'!$I$41*E46^4 + '4th Order Polynomial TMP vs Res'!$J$41*E46^3 + '4th Order Polynomial TMP vs Res'!$K$41*E46^2 + '4th Order Polynomial TMP vs Res'!$L$41*E46 + '4th Order Polynomial TMP vs Res'!$M$41</f>
        <v>-14.075715977496543</v>
      </c>
      <c r="K46" s="667">
        <f t="shared" si="0"/>
        <v>7.5715977496543019E-2</v>
      </c>
      <c r="L46" s="436"/>
      <c r="M46" s="518">
        <v>27</v>
      </c>
      <c r="N46" s="532">
        <v>90</v>
      </c>
      <c r="O46" s="664">
        <f t="shared" ca="1" si="4"/>
        <v>14642.098558254023</v>
      </c>
      <c r="P46" s="554">
        <f t="shared" ca="1" si="1"/>
        <v>14865.074678430481</v>
      </c>
      <c r="Q46" s="664">
        <f t="shared" ca="1" si="5"/>
        <v>15088.050798606937</v>
      </c>
      <c r="R46" s="436"/>
      <c r="S46" s="436"/>
    </row>
    <row r="47" spans="1:19" ht="15" x14ac:dyDescent="0.2">
      <c r="A47" s="505">
        <v>28</v>
      </c>
      <c r="B47" s="506">
        <f t="shared" si="6"/>
        <v>-13</v>
      </c>
      <c r="C47" s="664">
        <f t="shared" si="2"/>
        <v>7764.5357998692944</v>
      </c>
      <c r="D47" s="664">
        <f>IF(B47 &lt;= VLOOKUP(Main!$N$22,Coefficients!$E$2:$H$28,4,FALSE),E47,NA())</f>
        <v>7882.7774617962377</v>
      </c>
      <c r="E47" s="507">
        <f>'4th Order Polynomial TMP vs Res'!$B$41+'4th Order Polynomial TMP vs Res'!$C$41*POWER(B47,1)+'4th Order Polynomial TMP vs Res'!$D$41*POWER(B47,2)+'4th Order Polynomial TMP vs Res'!$E$41*POWER(B47,3)+'4th Order Polynomial TMP vs Res'!$F$41*POWER(B47,4)</f>
        <v>7882.7774617962377</v>
      </c>
      <c r="F47" s="664">
        <f t="shared" si="3"/>
        <v>8001.0191237231802</v>
      </c>
      <c r="G47" s="665"/>
      <c r="H47" s="666"/>
      <c r="I47" s="436"/>
      <c r="J47" s="667">
        <f>'4th Order Polynomial TMP vs Res'!$I$41*E47^4 + '4th Order Polynomial TMP vs Res'!$J$41*E47^3 + '4th Order Polynomial TMP vs Res'!$K$41*E47^2 + '4th Order Polynomial TMP vs Res'!$L$41*E47 + '4th Order Polynomial TMP vs Res'!$M$41</f>
        <v>-13.073911807650518</v>
      </c>
      <c r="K47" s="667">
        <f t="shared" si="0"/>
        <v>7.3911807650517858E-2</v>
      </c>
      <c r="L47" s="436"/>
      <c r="M47" s="518">
        <v>28</v>
      </c>
      <c r="N47" s="532">
        <v>95</v>
      </c>
      <c r="O47" s="664">
        <f t="shared" ca="1" si="4"/>
        <v>15066.344507526734</v>
      </c>
      <c r="P47" s="554">
        <f t="shared" ca="1" si="1"/>
        <v>15295.781225915465</v>
      </c>
      <c r="Q47" s="664">
        <f t="shared" ca="1" si="5"/>
        <v>15525.217944304195</v>
      </c>
      <c r="R47" s="436"/>
      <c r="S47" s="436"/>
    </row>
    <row r="48" spans="1:19" ht="15" x14ac:dyDescent="0.2">
      <c r="A48" s="505">
        <v>29</v>
      </c>
      <c r="B48" s="506">
        <f t="shared" si="6"/>
        <v>-12</v>
      </c>
      <c r="C48" s="664">
        <f t="shared" si="2"/>
        <v>7815.3771042290391</v>
      </c>
      <c r="D48" s="664">
        <f>IF(B48 &lt;= VLOOKUP(Main!$N$22,Coefficients!$E$2:$H$28,4,FALSE),E48,NA())</f>
        <v>7934.3929992172989</v>
      </c>
      <c r="E48" s="507">
        <f>'4th Order Polynomial TMP vs Res'!$B$41+'4th Order Polynomial TMP vs Res'!$C$41*POWER(B48,1)+'4th Order Polynomial TMP vs Res'!$D$41*POWER(B48,2)+'4th Order Polynomial TMP vs Res'!$E$41*POWER(B48,3)+'4th Order Polynomial TMP vs Res'!$F$41*POWER(B48,4)</f>
        <v>7934.3929992172989</v>
      </c>
      <c r="F48" s="664">
        <f t="shared" si="3"/>
        <v>8053.4088942055578</v>
      </c>
      <c r="G48" s="665"/>
      <c r="H48" s="666"/>
      <c r="I48" s="436"/>
      <c r="J48" s="667">
        <f>'4th Order Polynomial TMP vs Res'!$I$41*E48^4 + '4th Order Polynomial TMP vs Res'!$J$41*E48^3 + '4th Order Polynomial TMP vs Res'!$K$41*E48^2 + '4th Order Polynomial TMP vs Res'!$L$41*E48 + '4th Order Polynomial TMP vs Res'!$M$41</f>
        <v>-12.071670821957184</v>
      </c>
      <c r="K48" s="667">
        <f t="shared" si="0"/>
        <v>7.1670821957184216E-2</v>
      </c>
      <c r="L48" s="436"/>
      <c r="M48" s="518">
        <v>29</v>
      </c>
      <c r="N48" s="532">
        <v>100</v>
      </c>
      <c r="O48" s="664">
        <f t="shared" ca="1" si="4"/>
        <v>15499.77722873281</v>
      </c>
      <c r="P48" s="554">
        <f t="shared" ca="1" si="1"/>
        <v>15735.81444541402</v>
      </c>
      <c r="Q48" s="664">
        <f t="shared" ca="1" si="5"/>
        <v>15971.851662095229</v>
      </c>
      <c r="R48" s="436"/>
      <c r="S48" s="436"/>
    </row>
    <row r="49" spans="1:19" ht="15" x14ac:dyDescent="0.2">
      <c r="A49" s="505">
        <v>30</v>
      </c>
      <c r="B49" s="506">
        <f t="shared" si="6"/>
        <v>-11</v>
      </c>
      <c r="C49" s="664">
        <f t="shared" si="2"/>
        <v>7866.5173433672844</v>
      </c>
      <c r="D49" s="664">
        <f>IF(B49 &lt;= VLOOKUP(Main!$N$22,Coefficients!$E$2:$H$28,4,FALSE),E49,NA())</f>
        <v>7986.3120237231315</v>
      </c>
      <c r="E49" s="507">
        <f>'4th Order Polynomial TMP vs Res'!$B$41+'4th Order Polynomial TMP vs Res'!$C$41*POWER(B49,1)+'4th Order Polynomial TMP vs Res'!$D$41*POWER(B49,2)+'4th Order Polynomial TMP vs Res'!$E$41*POWER(B49,3)+'4th Order Polynomial TMP vs Res'!$F$41*POWER(B49,4)</f>
        <v>7986.3120237231315</v>
      </c>
      <c r="F49" s="664">
        <f t="shared" si="3"/>
        <v>8106.1067040789776</v>
      </c>
      <c r="G49" s="665"/>
      <c r="H49" s="666"/>
      <c r="I49" s="436"/>
      <c r="J49" s="667">
        <f>'4th Order Polynomial TMP vs Res'!$I$41*E49^4 + '4th Order Polynomial TMP vs Res'!$J$41*E49^3 + '4th Order Polynomial TMP vs Res'!$K$41*E49^2 + '4th Order Polynomial TMP vs Res'!$L$41*E49 + '4th Order Polynomial TMP vs Res'!$M$41</f>
        <v>-11.069031167652554</v>
      </c>
      <c r="K49" s="667">
        <f t="shared" si="0"/>
        <v>6.9031167652553904E-2</v>
      </c>
      <c r="L49" s="436"/>
      <c r="M49" s="518">
        <v>30</v>
      </c>
      <c r="N49" s="532">
        <v>105</v>
      </c>
      <c r="O49" s="664">
        <f t="shared" ca="1" si="4"/>
        <v>15942.537050908622</v>
      </c>
      <c r="P49" s="554">
        <f t="shared" ca="1" si="1"/>
        <v>16185.316802952917</v>
      </c>
      <c r="Q49" s="664">
        <f t="shared" ca="1" si="5"/>
        <v>16428.09655499721</v>
      </c>
      <c r="R49" s="436"/>
      <c r="S49" s="436"/>
    </row>
    <row r="50" spans="1:19" ht="15" x14ac:dyDescent="0.2">
      <c r="A50" s="505">
        <v>31</v>
      </c>
      <c r="B50" s="506">
        <f t="shared" si="6"/>
        <v>-10</v>
      </c>
      <c r="C50" s="664">
        <f t="shared" si="2"/>
        <v>7917.9567012142088</v>
      </c>
      <c r="D50" s="664">
        <f>IF(B50 &lt;= VLOOKUP(Main!$N$22,Coefficients!$E$2:$H$28,4,FALSE),E50,NA())</f>
        <v>8038.5347220448821</v>
      </c>
      <c r="E50" s="507">
        <f>'4th Order Polynomial TMP vs Res'!$B$41+'4th Order Polynomial TMP vs Res'!$C$41*POWER(B50,1)+'4th Order Polynomial TMP vs Res'!$D$41*POWER(B50,2)+'4th Order Polynomial TMP vs Res'!$E$41*POWER(B50,3)+'4th Order Polynomial TMP vs Res'!$F$41*POWER(B50,4)</f>
        <v>8038.5347220448821</v>
      </c>
      <c r="F50" s="664">
        <f t="shared" si="3"/>
        <v>8159.1127428755544</v>
      </c>
      <c r="G50" s="665"/>
      <c r="H50" s="666"/>
      <c r="I50" s="436"/>
      <c r="J50" s="667">
        <f>'4th Order Polynomial TMP vs Res'!$I$41*E50^4 + '4th Order Polynomial TMP vs Res'!$J$41*E50^3 + '4th Order Polynomial TMP vs Res'!$K$41*E50^2 + '4th Order Polynomial TMP vs Res'!$L$41*E50 + '4th Order Polynomial TMP vs Res'!$M$41</f>
        <v>-10.066029906512711</v>
      </c>
      <c r="K50" s="667">
        <f t="shared" si="0"/>
        <v>6.6029906512710568E-2</v>
      </c>
      <c r="L50" s="436"/>
      <c r="M50" s="518">
        <v>31</v>
      </c>
      <c r="N50" s="532">
        <v>110</v>
      </c>
      <c r="O50" s="664">
        <f t="shared" ca="1" si="4"/>
        <v>16394.769685556766</v>
      </c>
      <c r="P50" s="554">
        <f t="shared" ca="1" si="1"/>
        <v>16644.436228991643</v>
      </c>
      <c r="Q50" s="664">
        <f t="shared" ca="1" si="5"/>
        <v>16894.102772426515</v>
      </c>
      <c r="R50" s="436"/>
      <c r="S50" s="436"/>
    </row>
    <row r="51" spans="1:19" ht="15" x14ac:dyDescent="0.2">
      <c r="A51" s="505">
        <v>32</v>
      </c>
      <c r="B51" s="506">
        <f t="shared" si="6"/>
        <v>-9</v>
      </c>
      <c r="C51" s="664">
        <f t="shared" si="2"/>
        <v>7969.6953703119379</v>
      </c>
      <c r="D51" s="664">
        <f>IF(B51 &lt;= VLOOKUP(Main!$N$22,Coefficients!$E$2:$H$28,4,FALSE),E51,NA())</f>
        <v>8091.06128965679</v>
      </c>
      <c r="E51" s="507">
        <f>'4th Order Polynomial TMP vs Res'!$B$41+'4th Order Polynomial TMP vs Res'!$C$41*POWER(B51,1)+'4th Order Polynomial TMP vs Res'!$D$41*POWER(B51,2)+'4th Order Polynomial TMP vs Res'!$E$41*POWER(B51,3)+'4th Order Polynomial TMP vs Res'!$F$41*POWER(B51,4)</f>
        <v>8091.06128965679</v>
      </c>
      <c r="F51" s="664">
        <f t="shared" si="3"/>
        <v>8212.4272090016402</v>
      </c>
      <c r="G51" s="665"/>
      <c r="H51" s="666"/>
      <c r="I51" s="436"/>
      <c r="J51" s="667">
        <f>'4th Order Polynomial TMP vs Res'!$I$41*E51^4 + '4th Order Polynomial TMP vs Res'!$J$41*E51^3 + '4th Order Polynomial TMP vs Res'!$K$41*E51^2 + '4th Order Polynomial TMP vs Res'!$L$41*E51 + '4th Order Polynomial TMP vs Res'!$M$41</f>
        <v>-9.0627030128727597</v>
      </c>
      <c r="K51" s="667">
        <f t="shared" si="0"/>
        <v>6.27030128727597E-2</v>
      </c>
      <c r="L51" s="436"/>
      <c r="M51" s="518">
        <v>32</v>
      </c>
      <c r="N51" s="532">
        <v>115</v>
      </c>
      <c r="O51" s="664">
        <f t="shared" ca="1" si="4"/>
        <v>16856.626226646058</v>
      </c>
      <c r="P51" s="554">
        <f t="shared" ca="1" si="1"/>
        <v>17113.326118422396</v>
      </c>
      <c r="Q51" s="664">
        <f t="shared" ca="1" si="5"/>
        <v>17370.02601019873</v>
      </c>
      <c r="R51" s="436"/>
      <c r="S51" s="436"/>
    </row>
    <row r="52" spans="1:19" ht="15" x14ac:dyDescent="0.2">
      <c r="A52" s="505">
        <v>33</v>
      </c>
      <c r="B52" s="506">
        <f t="shared" si="6"/>
        <v>-8</v>
      </c>
      <c r="C52" s="664">
        <f t="shared" si="2"/>
        <v>8021.7335518145483</v>
      </c>
      <c r="D52" s="664">
        <f>IF(B52 &lt;= VLOOKUP(Main!$N$22,Coefficients!$E$2:$H$28,4,FALSE),E52,NA())</f>
        <v>8143.8919307761917</v>
      </c>
      <c r="E52" s="507">
        <f>'4th Order Polynomial TMP vs Res'!$B$41+'4th Order Polynomial TMP vs Res'!$C$41*POWER(B52,1)+'4th Order Polynomial TMP vs Res'!$D$41*POWER(B52,2)+'4th Order Polynomial TMP vs Res'!$E$41*POWER(B52,3)+'4th Order Polynomial TMP vs Res'!$F$41*POWER(B52,4)</f>
        <v>8143.8919307761917</v>
      </c>
      <c r="F52" s="664">
        <f t="shared" si="3"/>
        <v>8266.0503097378332</v>
      </c>
      <c r="G52" s="665"/>
      <c r="H52" s="666"/>
      <c r="I52" s="436"/>
      <c r="J52" s="667">
        <f>'4th Order Polynomial TMP vs Res'!$I$41*E52^4 + '4th Order Polynomial TMP vs Res'!$J$41*E52^3 + '4th Order Polynomial TMP vs Res'!$K$41*E52^2 + '4th Order Polynomial TMP vs Res'!$L$41*E52 + '4th Order Polynomial TMP vs Res'!$M$41</f>
        <v>-8.0590853719786537</v>
      </c>
      <c r="K52" s="667">
        <f t="shared" ref="K52:K83" si="10">B52-J52</f>
        <v>5.9085371978653711E-2</v>
      </c>
      <c r="L52" s="436"/>
      <c r="M52" s="518">
        <v>33</v>
      </c>
      <c r="N52" s="532">
        <v>120</v>
      </c>
      <c r="O52" s="664">
        <f t="shared" ca="1" si="4"/>
        <v>17328.263150611547</v>
      </c>
      <c r="P52" s="554">
        <f t="shared" ca="1" si="1"/>
        <v>17592.1453305701</v>
      </c>
      <c r="Q52" s="664">
        <f t="shared" ca="1" si="5"/>
        <v>17856.027510528649</v>
      </c>
      <c r="R52" s="436"/>
      <c r="S52" s="436"/>
    </row>
    <row r="53" spans="1:19" ht="15" x14ac:dyDescent="0.2">
      <c r="A53" s="505">
        <v>34</v>
      </c>
      <c r="B53" s="506">
        <f t="shared" si="6"/>
        <v>-7</v>
      </c>
      <c r="C53" s="664">
        <f t="shared" si="2"/>
        <v>8074.0714554880569</v>
      </c>
      <c r="D53" s="664">
        <f>IF(B53 &lt;= VLOOKUP(Main!$N$22,Coefficients!$E$2:$H$28,4,FALSE),E53,NA())</f>
        <v>8197.0268583635097</v>
      </c>
      <c r="E53" s="507">
        <f>'4th Order Polynomial TMP vs Res'!$B$41+'4th Order Polynomial TMP vs Res'!$C$41*POWER(B53,1)+'4th Order Polynomial TMP vs Res'!$D$41*POWER(B53,2)+'4th Order Polynomial TMP vs Res'!$E$41*POWER(B53,3)+'4th Order Polynomial TMP vs Res'!$F$41*POWER(B53,4)</f>
        <v>8197.0268583635097</v>
      </c>
      <c r="F53" s="664">
        <f t="shared" si="3"/>
        <v>8319.9822612389617</v>
      </c>
      <c r="G53" s="665"/>
      <c r="H53" s="666"/>
      <c r="I53" s="436"/>
      <c r="J53" s="667">
        <f>'4th Order Polynomial TMP vs Res'!$I$41*E53^4 + '4th Order Polynomial TMP vs Res'!$J$41*E53^3 + '4th Order Polynomial TMP vs Res'!$K$41*E53^2 + '4th Order Polynomial TMP vs Res'!$L$41*E53 + '4th Order Polynomial TMP vs Res'!$M$41</f>
        <v>-7.0552107786792249</v>
      </c>
      <c r="K53" s="667">
        <f t="shared" si="10"/>
        <v>5.5210778679224859E-2</v>
      </c>
      <c r="L53" s="436"/>
      <c r="M53" s="518">
        <v>34</v>
      </c>
      <c r="N53" s="532">
        <v>125</v>
      </c>
      <c r="O53" s="664">
        <f t="shared" ca="1" si="4"/>
        <v>17809.842316354505</v>
      </c>
      <c r="P53" s="554">
        <f t="shared" ca="1" si="1"/>
        <v>18081.05818919239</v>
      </c>
      <c r="Q53" s="664">
        <f t="shared" ca="1" si="5"/>
        <v>18352.274062030276</v>
      </c>
      <c r="R53" s="436"/>
      <c r="S53" s="436"/>
    </row>
    <row r="54" spans="1:19" ht="15" x14ac:dyDescent="0.2">
      <c r="A54" s="505">
        <v>35</v>
      </c>
      <c r="B54" s="506">
        <f t="shared" si="6"/>
        <v>-6</v>
      </c>
      <c r="C54" s="664">
        <f t="shared" si="2"/>
        <v>8126.7092997104328</v>
      </c>
      <c r="D54" s="664">
        <f>IF(B54 &lt;= VLOOKUP(Main!$N$22,Coefficients!$E$2:$H$28,4,FALSE),E54,NA())</f>
        <v>8250.4662941222668</v>
      </c>
      <c r="E54" s="507">
        <f>'4th Order Polynomial TMP vs Res'!$B$41+'4th Order Polynomial TMP vs Res'!$C$41*POWER(B54,1)+'4th Order Polynomial TMP vs Res'!$D$41*POWER(B54,2)+'4th Order Polynomial TMP vs Res'!$E$41*POWER(B54,3)+'4th Order Polynomial TMP vs Res'!$F$41*POWER(B54,4)</f>
        <v>8250.4662941222668</v>
      </c>
      <c r="F54" s="664">
        <f t="shared" si="3"/>
        <v>8374.2232885341</v>
      </c>
      <c r="G54" s="665"/>
      <c r="H54" s="666"/>
      <c r="I54" s="436"/>
      <c r="J54" s="667">
        <f>'4th Order Polynomial TMP vs Res'!$I$41*E54^4 + '4th Order Polynomial TMP vs Res'!$J$41*E54^3 + '4th Order Polynomial TMP vs Res'!$K$41*E54^2 + '4th Order Polynomial TMP vs Res'!$L$41*E54 + '4th Order Polynomial TMP vs Res'!$M$41</f>
        <v>-6.0511119364626325</v>
      </c>
      <c r="K54" s="667">
        <f t="shared" si="10"/>
        <v>5.1111936462632457E-2</v>
      </c>
      <c r="L54" s="436"/>
      <c r="M54" s="518">
        <v>35</v>
      </c>
      <c r="N54" s="532">
        <v>130</v>
      </c>
      <c r="O54" s="664" t="e">
        <f t="shared" ca="1" si="4"/>
        <v>#N/A</v>
      </c>
      <c r="P54" s="554" t="e">
        <f t="shared" ca="1" si="1"/>
        <v>#N/A</v>
      </c>
      <c r="Q54" s="664" t="e">
        <f t="shared" ca="1" si="5"/>
        <v>#N/A</v>
      </c>
      <c r="R54" s="436"/>
      <c r="S54" s="436"/>
    </row>
    <row r="55" spans="1:19" ht="15" x14ac:dyDescent="0.2">
      <c r="A55" s="505">
        <v>36</v>
      </c>
      <c r="B55" s="506">
        <f t="shared" si="6"/>
        <v>-5</v>
      </c>
      <c r="C55" s="664">
        <f t="shared" si="2"/>
        <v>8179.6473114715818</v>
      </c>
      <c r="D55" s="664">
        <f>IF(B55 &lt;= VLOOKUP(Main!$N$22,Coefficients!$E$2:$H$28,4,FALSE),E55,NA())</f>
        <v>8304.2104684990682</v>
      </c>
      <c r="E55" s="507">
        <f>'4th Order Polynomial TMP vs Res'!$B$41+'4th Order Polynomial TMP vs Res'!$C$41*POWER(B55,1)+'4th Order Polynomial TMP vs Res'!$D$41*POWER(B55,2)+'4th Order Polynomial TMP vs Res'!$E$41*POWER(B55,3)+'4th Order Polynomial TMP vs Res'!$F$41*POWER(B55,4)</f>
        <v>8304.2104684990682</v>
      </c>
      <c r="F55" s="664">
        <f t="shared" si="3"/>
        <v>8428.7736255265536</v>
      </c>
      <c r="G55" s="665"/>
      <c r="H55" s="666"/>
      <c r="I55" s="436"/>
      <c r="J55" s="667">
        <f>'4th Order Polynomial TMP vs Res'!$I$41*E55^4 + '4th Order Polynomial TMP vs Res'!$J$41*E55^3 + '4th Order Polynomial TMP vs Res'!$K$41*E55^2 + '4th Order Polynomial TMP vs Res'!$L$41*E55 + '4th Order Polynomial TMP vs Res'!$M$41</f>
        <v>-5.0468204568463193</v>
      </c>
      <c r="K55" s="667">
        <f t="shared" si="10"/>
        <v>4.6820456846319303E-2</v>
      </c>
      <c r="L55" s="436"/>
      <c r="M55" s="518">
        <v>36</v>
      </c>
      <c r="N55" s="532">
        <v>135</v>
      </c>
      <c r="O55" s="664" t="e">
        <f t="shared" ca="1" si="4"/>
        <v>#N/A</v>
      </c>
      <c r="P55" s="554" t="e">
        <f t="shared" ca="1" si="1"/>
        <v>#N/A</v>
      </c>
      <c r="Q55" s="664" t="e">
        <f t="shared" ca="1" si="5"/>
        <v>#N/A</v>
      </c>
      <c r="R55" s="436"/>
      <c r="S55" s="436"/>
    </row>
    <row r="56" spans="1:19" ht="15" x14ac:dyDescent="0.2">
      <c r="A56" s="505">
        <v>37</v>
      </c>
      <c r="B56" s="506">
        <f t="shared" si="6"/>
        <v>-4</v>
      </c>
      <c r="C56" s="664">
        <f t="shared" si="2"/>
        <v>8232.885726373368</v>
      </c>
      <c r="D56" s="664">
        <f>IF(B56 &lt;= VLOOKUP(Main!$N$22,Coefficients!$E$2:$H$28,4,FALSE),E56,NA())</f>
        <v>8358.2596206836224</v>
      </c>
      <c r="E56" s="507">
        <f>'4th Order Polynomial TMP vs Res'!$B$41+'4th Order Polynomial TMP vs Res'!$C$41*POWER(B56,1)+'4th Order Polynomial TMP vs Res'!$D$41*POWER(B56,2)+'4th Order Polynomial TMP vs Res'!$E$41*POWER(B56,3)+'4th Order Polynomial TMP vs Res'!$F$41*POWER(B56,4)</f>
        <v>8358.2596206836224</v>
      </c>
      <c r="F56" s="664">
        <f t="shared" si="3"/>
        <v>8483.6335149938768</v>
      </c>
      <c r="G56" s="665"/>
      <c r="H56" s="666"/>
      <c r="I56" s="436"/>
      <c r="J56" s="667">
        <f>'4th Order Polynomial TMP vs Res'!$I$41*E56^4 + '4th Order Polynomial TMP vs Res'!$J$41*E56^3 + '4th Order Polynomial TMP vs Res'!$K$41*E56^2 + '4th Order Polynomial TMP vs Res'!$L$41*E56 + '4th Order Polynomial TMP vs Res'!$M$41</f>
        <v>-4.042366859123149</v>
      </c>
      <c r="K56" s="667">
        <f t="shared" si="10"/>
        <v>4.236685912314897E-2</v>
      </c>
      <c r="L56" s="436"/>
      <c r="M56" s="518">
        <v>37</v>
      </c>
      <c r="N56" s="532">
        <v>140</v>
      </c>
      <c r="O56" s="664" t="e">
        <f t="shared" ca="1" si="4"/>
        <v>#N/A</v>
      </c>
      <c r="P56" s="554" t="e">
        <f t="shared" ca="1" si="1"/>
        <v>#N/A</v>
      </c>
      <c r="Q56" s="664" t="e">
        <f t="shared" ca="1" si="5"/>
        <v>#N/A</v>
      </c>
      <c r="R56" s="436"/>
      <c r="S56" s="436"/>
    </row>
    <row r="57" spans="1:19" ht="15" x14ac:dyDescent="0.2">
      <c r="A57" s="505">
        <v>38</v>
      </c>
      <c r="B57" s="506">
        <f t="shared" si="6"/>
        <v>-3</v>
      </c>
      <c r="C57" s="664">
        <f t="shared" si="2"/>
        <v>8286.4247886295852</v>
      </c>
      <c r="D57" s="664">
        <f>IF(B57 &lt;= VLOOKUP(Main!$N$22,Coefficients!$E$2:$H$28,4,FALSE),E57,NA())</f>
        <v>8412.6139986087164</v>
      </c>
      <c r="E57" s="507">
        <f>'4th Order Polynomial TMP vs Res'!$B$41+'4th Order Polynomial TMP vs Res'!$C$41*POWER(B57,1)+'4th Order Polynomial TMP vs Res'!$D$41*POWER(B57,2)+'4th Order Polynomial TMP vs Res'!$E$41*POWER(B57,3)+'4th Order Polynomial TMP vs Res'!$F$41*POWER(B57,4)</f>
        <v>8412.6139986087164</v>
      </c>
      <c r="F57" s="664">
        <f t="shared" si="3"/>
        <v>8538.8032085878458</v>
      </c>
      <c r="G57" s="665"/>
      <c r="H57" s="666"/>
      <c r="I57" s="436"/>
      <c r="J57" s="667">
        <f>'4th Order Polynomial TMP vs Res'!$I$41*E57^4 + '4th Order Polynomial TMP vs Res'!$J$41*E57^3 + '4th Order Polynomial TMP vs Res'!$K$41*E57^2 + '4th Order Polynomial TMP vs Res'!$L$41*E57 + '4th Order Polynomial TMP vs Res'!$M$41</f>
        <v>-3.0377805704749221</v>
      </c>
      <c r="K57" s="667">
        <f t="shared" si="10"/>
        <v>3.7780570474922115E-2</v>
      </c>
      <c r="L57" s="436"/>
      <c r="M57" s="518">
        <v>38</v>
      </c>
      <c r="N57" s="532">
        <v>145</v>
      </c>
      <c r="O57" s="664" t="e">
        <f t="shared" ca="1" si="4"/>
        <v>#N/A</v>
      </c>
      <c r="P57" s="554" t="e">
        <f t="shared" ca="1" si="1"/>
        <v>#N/A</v>
      </c>
      <c r="Q57" s="664" t="e">
        <f t="shared" ca="1" si="5"/>
        <v>#N/A</v>
      </c>
      <c r="R57" s="436"/>
      <c r="S57" s="436"/>
    </row>
    <row r="58" spans="1:19" ht="15" x14ac:dyDescent="0.2">
      <c r="A58" s="505">
        <v>39</v>
      </c>
      <c r="B58" s="506">
        <f t="shared" si="6"/>
        <v>-2</v>
      </c>
      <c r="C58" s="664">
        <f t="shared" si="2"/>
        <v>8340.2647510659881</v>
      </c>
      <c r="D58" s="664">
        <f>IF(B58 &lt;= VLOOKUP(Main!$N$22,Coefficients!$E$2:$H$28,4,FALSE),E58,NA())</f>
        <v>8467.2738589502424</v>
      </c>
      <c r="E58" s="507">
        <f>'4th Order Polynomial TMP vs Res'!$B$41+'4th Order Polynomial TMP vs Res'!$C$41*POWER(B58,1)+'4th Order Polynomial TMP vs Res'!$D$41*POWER(B58,2)+'4th Order Polynomial TMP vs Res'!$E$41*POWER(B58,3)+'4th Order Polynomial TMP vs Res'!$F$41*POWER(B58,4)</f>
        <v>8467.2738589502424</v>
      </c>
      <c r="F58" s="664">
        <f t="shared" si="3"/>
        <v>8594.2829668344948</v>
      </c>
      <c r="G58" s="665"/>
      <c r="H58" s="666"/>
      <c r="I58" s="436"/>
      <c r="J58" s="667">
        <f>'4th Order Polynomial TMP vs Res'!$I$41*E58^4 + '4th Order Polynomial TMP vs Res'!$J$41*E58^3 + '4th Order Polynomial TMP vs Res'!$K$41*E58^2 + '4th Order Polynomial TMP vs Res'!$L$41*E58 + '4th Order Polynomial TMP vs Res'!$M$41</f>
        <v>-2.0330899264559434</v>
      </c>
      <c r="K58" s="667">
        <f t="shared" si="10"/>
        <v>3.3089926455943441E-2</v>
      </c>
      <c r="L58" s="436"/>
      <c r="M58" s="518">
        <v>39</v>
      </c>
      <c r="N58" s="532">
        <v>150</v>
      </c>
      <c r="O58" s="664" t="e">
        <f t="shared" ca="1" si="4"/>
        <v>#N/A</v>
      </c>
      <c r="P58" s="554" t="e">
        <f t="shared" ca="1" si="1"/>
        <v>#N/A</v>
      </c>
      <c r="Q58" s="664" t="e">
        <f t="shared" ca="1" si="5"/>
        <v>#N/A</v>
      </c>
      <c r="R58" s="436"/>
      <c r="S58" s="436"/>
    </row>
    <row r="59" spans="1:19" ht="15" x14ac:dyDescent="0.2">
      <c r="A59" s="505">
        <v>40</v>
      </c>
      <c r="B59" s="506">
        <f t="shared" si="6"/>
        <v>-1</v>
      </c>
      <c r="C59" s="664">
        <f t="shared" si="2"/>
        <v>8394.4058751202756</v>
      </c>
      <c r="D59" s="664">
        <f>IF(B59 &lt;= VLOOKUP(Main!$N$22,Coefficients!$E$2:$H$28,4,FALSE),E59,NA())</f>
        <v>8522.2394671271832</v>
      </c>
      <c r="E59" s="507">
        <f>'4th Order Polynomial TMP vs Res'!$B$41+'4th Order Polynomial TMP vs Res'!$C$41*POWER(B59,1)+'4th Order Polynomial TMP vs Res'!$D$41*POWER(B59,2)+'4th Order Polynomial TMP vs Res'!$E$41*POWER(B59,3)+'4th Order Polynomial TMP vs Res'!$F$41*POWER(B59,4)</f>
        <v>8522.2394671271832</v>
      </c>
      <c r="F59" s="664">
        <f t="shared" si="3"/>
        <v>8650.0730591340907</v>
      </c>
      <c r="G59" s="665"/>
      <c r="H59" s="666"/>
      <c r="I59" s="436"/>
      <c r="J59" s="667">
        <f>'4th Order Polynomial TMP vs Res'!$I$41*E59^4 + '4th Order Polynomial TMP vs Res'!$J$41*E59^3 + '4th Order Polynomial TMP vs Res'!$K$41*E59^2 + '4th Order Polynomial TMP vs Res'!$L$41*E59 + '4th Order Polynomial TMP vs Res'!$M$41</f>
        <v>-1.0283221718567006</v>
      </c>
      <c r="K59" s="667">
        <f t="shared" si="10"/>
        <v>2.8322171856700606E-2</v>
      </c>
      <c r="L59" s="436"/>
      <c r="M59" s="518">
        <v>40</v>
      </c>
      <c r="N59" s="532">
        <v>155</v>
      </c>
      <c r="O59" s="664" t="e">
        <f t="shared" ref="O59:O62" ca="1" si="11">IFERROR(P59*0.985,NA())</f>
        <v>#N/A</v>
      </c>
      <c r="P59" s="554" t="e">
        <f t="shared" ref="P59:P62" ca="1" si="12">IFERROR(OFFSET($D$20,(ROW(D40)-1)*5,0),NA())</f>
        <v>#N/A</v>
      </c>
      <c r="Q59" s="664" t="e">
        <f t="shared" ref="Q59:Q62" ca="1" si="13">IFERROR(P59*1.015,NA())</f>
        <v>#N/A</v>
      </c>
      <c r="R59" s="436"/>
      <c r="S59" s="436"/>
    </row>
    <row r="60" spans="1:19" ht="15" x14ac:dyDescent="0.2">
      <c r="A60" s="505">
        <v>41</v>
      </c>
      <c r="B60" s="506">
        <f t="shared" si="6"/>
        <v>0</v>
      </c>
      <c r="C60" s="664">
        <f>IFERROR(D60*0.99,NA())</f>
        <v>8491.7359863285874</v>
      </c>
      <c r="D60" s="664">
        <f>IF(B60 &lt;= VLOOKUP(Main!$N$22,Coefficients!$E$2:$H$28,4,FALSE),E60,NA())</f>
        <v>8577.5110973016035</v>
      </c>
      <c r="E60" s="507">
        <f>'4th Order Polynomial TMP vs Res'!$B$41+'4th Order Polynomial TMP vs Res'!$C$41*POWER(B60,1)+'4th Order Polynomial TMP vs Res'!$D$41*POWER(B60,2)+'4th Order Polynomial TMP vs Res'!$E$41*POWER(B60,3)+'4th Order Polynomial TMP vs Res'!$F$41*POWER(B60,4)</f>
        <v>8577.5110973016035</v>
      </c>
      <c r="F60" s="664">
        <f>IFERROR(D60*1.01,NA())</f>
        <v>8663.2862082746196</v>
      </c>
      <c r="G60" s="665"/>
      <c r="H60" s="666"/>
      <c r="I60" s="436"/>
      <c r="J60" s="667">
        <f>'4th Order Polynomial TMP vs Res'!$I$41*E60^4 + '4th Order Polynomial TMP vs Res'!$J$41*E60^3 + '4th Order Polynomial TMP vs Res'!$K$41*E60^2 + '4th Order Polynomial TMP vs Res'!$L$41*E60 + '4th Order Polynomial TMP vs Res'!$M$41</f>
        <v>-2.3503461954078375E-2</v>
      </c>
      <c r="K60" s="667">
        <f t="shared" si="10"/>
        <v>2.3503461954078375E-2</v>
      </c>
      <c r="L60" s="436"/>
      <c r="M60" s="518">
        <v>41</v>
      </c>
      <c r="N60" s="532">
        <v>160</v>
      </c>
      <c r="O60" s="664" t="e">
        <f t="shared" ca="1" si="11"/>
        <v>#N/A</v>
      </c>
      <c r="P60" s="554" t="e">
        <f t="shared" ca="1" si="12"/>
        <v>#N/A</v>
      </c>
      <c r="Q60" s="664" t="e">
        <f t="shared" ca="1" si="13"/>
        <v>#N/A</v>
      </c>
      <c r="R60" s="436"/>
      <c r="S60" s="436"/>
    </row>
    <row r="61" spans="1:19" ht="15" x14ac:dyDescent="0.2">
      <c r="A61" s="505">
        <v>42</v>
      </c>
      <c r="B61" s="506">
        <f t="shared" si="6"/>
        <v>1</v>
      </c>
      <c r="C61" s="664">
        <f t="shared" ref="C61:C124" si="14">IFERROR(D61*0.99,NA())</f>
        <v>8546.7581420548868</v>
      </c>
      <c r="D61" s="664">
        <f>IF(B61 &lt;= VLOOKUP(Main!$N$22,Coefficients!$E$2:$H$28,4,FALSE),E61,NA())</f>
        <v>8633.0890323786734</v>
      </c>
      <c r="E61" s="507">
        <f>'4th Order Polynomial TMP vs Res'!$B$41+'4th Order Polynomial TMP vs Res'!$C$41*POWER(B61,1)+'4th Order Polynomial TMP vs Res'!$D$41*POWER(B61,2)+'4th Order Polynomial TMP vs Res'!$E$41*POWER(B61,3)+'4th Order Polynomial TMP vs Res'!$F$41*POWER(B61,4)</f>
        <v>8633.0890323786734</v>
      </c>
      <c r="F61" s="664">
        <f t="shared" ref="F61:F124" si="15">IFERROR(D61*1.01,NA())</f>
        <v>8719.4199227024601</v>
      </c>
      <c r="G61" s="665"/>
      <c r="H61" s="666"/>
      <c r="I61" s="436"/>
      <c r="J61" s="667">
        <f>'4th Order Polynomial TMP vs Res'!$I$41*E61^4 + '4th Order Polynomial TMP vs Res'!$J$41*E61^3 + '4th Order Polynomial TMP vs Res'!$K$41*E61^2 + '4th Order Polynomial TMP vs Res'!$L$41*E61 + '4th Order Polynomial TMP vs Res'!$M$41</f>
        <v>0.98134113584518445</v>
      </c>
      <c r="K61" s="667">
        <f t="shared" si="10"/>
        <v>1.8658864154815546E-2</v>
      </c>
      <c r="L61" s="441"/>
      <c r="M61" s="518">
        <v>42</v>
      </c>
      <c r="N61" s="532">
        <v>165</v>
      </c>
      <c r="O61" s="664" t="e">
        <f t="shared" ca="1" si="11"/>
        <v>#N/A</v>
      </c>
      <c r="P61" s="554" t="e">
        <f t="shared" ca="1" si="12"/>
        <v>#N/A</v>
      </c>
      <c r="Q61" s="664" t="e">
        <f t="shared" ca="1" si="13"/>
        <v>#N/A</v>
      </c>
      <c r="R61" s="436"/>
      <c r="S61" s="436"/>
    </row>
    <row r="62" spans="1:19" ht="15" x14ac:dyDescent="0.2">
      <c r="A62" s="505">
        <v>43</v>
      </c>
      <c r="B62" s="506">
        <f t="shared" si="6"/>
        <v>2</v>
      </c>
      <c r="C62" s="664">
        <f t="shared" si="14"/>
        <v>8602.0838283665817</v>
      </c>
      <c r="D62" s="664">
        <f>IF(B62 &lt;= VLOOKUP(Main!$N$22,Coefficients!$E$2:$H$28,4,FALSE),E62,NA())</f>
        <v>8688.9735640066483</v>
      </c>
      <c r="E62" s="507">
        <f>'4th Order Polynomial TMP vs Res'!$B$41+'4th Order Polynomial TMP vs Res'!$C$41*POWER(B62,1)+'4th Order Polynomial TMP vs Res'!$D$41*POWER(B62,2)+'4th Order Polynomial TMP vs Res'!$E$41*POWER(B62,3)+'4th Order Polynomial TMP vs Res'!$F$41*POWER(B62,4)</f>
        <v>8688.9735640066483</v>
      </c>
      <c r="F62" s="664">
        <f t="shared" si="15"/>
        <v>8775.8632996467149</v>
      </c>
      <c r="G62" s="665"/>
      <c r="H62" s="666"/>
      <c r="I62" s="436"/>
      <c r="J62" s="667">
        <f>'4th Order Polynomial TMP vs Res'!$I$41*E62^4 + '4th Order Polynomial TMP vs Res'!$J$41*E62^3 + '4th Order Polynomial TMP vs Res'!$K$41*E62^2 + '4th Order Polynomial TMP vs Res'!$L$41*E62 + '4th Order Polynomial TMP vs Res'!$M$41</f>
        <v>1.9861876399585867</v>
      </c>
      <c r="K62" s="667">
        <f t="shared" si="10"/>
        <v>1.3812360041413285E-2</v>
      </c>
      <c r="L62" s="436"/>
      <c r="M62" s="518">
        <v>43</v>
      </c>
      <c r="N62" s="532">
        <v>170</v>
      </c>
      <c r="O62" s="664" t="e">
        <f t="shared" ca="1" si="11"/>
        <v>#N/A</v>
      </c>
      <c r="P62" s="554" t="e">
        <f t="shared" ca="1" si="12"/>
        <v>#N/A</v>
      </c>
      <c r="Q62" s="664" t="e">
        <f t="shared" ca="1" si="13"/>
        <v>#N/A</v>
      </c>
      <c r="R62" s="436"/>
      <c r="S62" s="436"/>
    </row>
    <row r="63" spans="1:19" ht="15" x14ac:dyDescent="0.2">
      <c r="A63" s="505">
        <v>44</v>
      </c>
      <c r="B63" s="506">
        <f t="shared" si="6"/>
        <v>3</v>
      </c>
      <c r="C63" s="664">
        <f t="shared" si="14"/>
        <v>8657.7133426511064</v>
      </c>
      <c r="D63" s="664">
        <f>IF(B63 &lt;= VLOOKUP(Main!$N$22,Coefficients!$E$2:$H$28,4,FALSE),E63,NA())</f>
        <v>8745.1649925768743</v>
      </c>
      <c r="E63" s="507">
        <f>'4th Order Polynomial TMP vs Res'!$B$41+'4th Order Polynomial TMP vs Res'!$C$41*POWER(B63,1)+'4th Order Polynomial TMP vs Res'!$D$41*POWER(B63,2)+'4th Order Polynomial TMP vs Res'!$E$41*POWER(B63,3)+'4th Order Polynomial TMP vs Res'!$F$41*POWER(B63,4)</f>
        <v>8745.1649925768743</v>
      </c>
      <c r="F63" s="664">
        <f t="shared" si="15"/>
        <v>8832.6166425026422</v>
      </c>
      <c r="G63" s="665"/>
      <c r="H63" s="666"/>
      <c r="I63" s="436"/>
      <c r="J63" s="667">
        <f>'4th Order Polynomial TMP vs Res'!$I$41*E63^4 + '4th Order Polynomial TMP vs Res'!$J$41*E63^3 + '4th Order Polynomial TMP vs Res'!$K$41*E63^2 + '4th Order Polynomial TMP vs Res'!$L$41*E63 + '4th Order Polynomial TMP vs Res'!$M$41</f>
        <v>2.9910131521725134</v>
      </c>
      <c r="K63" s="667">
        <f t="shared" si="10"/>
        <v>8.9868478274865993E-3</v>
      </c>
      <c r="L63" s="436"/>
      <c r="M63" s="526"/>
      <c r="N63" s="669"/>
      <c r="O63" s="670"/>
      <c r="P63" s="671"/>
      <c r="Q63" s="670"/>
      <c r="R63" s="436"/>
      <c r="S63" s="436"/>
    </row>
    <row r="64" spans="1:19" ht="15" x14ac:dyDescent="0.2">
      <c r="A64" s="505">
        <v>45</v>
      </c>
      <c r="B64" s="506">
        <f t="shared" si="6"/>
        <v>4</v>
      </c>
      <c r="C64" s="664">
        <f t="shared" si="14"/>
        <v>8713.6469909515599</v>
      </c>
      <c r="D64" s="664">
        <f>IF(B64 &lt;= VLOOKUP(Main!$N$22,Coefficients!$E$2:$H$28,4,FALSE),E64,NA())</f>
        <v>8801.6636272237974</v>
      </c>
      <c r="E64" s="507">
        <f>'4th Order Polynomial TMP vs Res'!$B$41+'4th Order Polynomial TMP vs Res'!$C$41*POWER(B64,1)+'4th Order Polynomial TMP vs Res'!$D$41*POWER(B64,2)+'4th Order Polynomial TMP vs Res'!$E$41*POWER(B64,3)+'4th Order Polynomial TMP vs Res'!$F$41*POWER(B64,4)</f>
        <v>8801.6636272237974</v>
      </c>
      <c r="F64" s="664">
        <f t="shared" si="15"/>
        <v>8889.680263496035</v>
      </c>
      <c r="G64" s="665"/>
      <c r="H64" s="666"/>
      <c r="I64" s="436"/>
      <c r="J64" s="667">
        <f>'4th Order Polynomial TMP vs Res'!$I$41*E64^4 + '4th Order Polynomial TMP vs Res'!$J$41*E64^3 + '4th Order Polynomial TMP vs Res'!$K$41*E64^2 + '4th Order Polynomial TMP vs Res'!$L$41*E64 + '4th Order Polynomial TMP vs Res'!$M$41</f>
        <v>3.9957958547690851</v>
      </c>
      <c r="K64" s="667">
        <f t="shared" si="10"/>
        <v>4.2041452309149463E-3</v>
      </c>
      <c r="L64" s="436"/>
      <c r="M64" s="436"/>
      <c r="N64" s="436"/>
      <c r="O64" s="436"/>
      <c r="P64" s="436"/>
      <c r="Q64" s="436"/>
      <c r="R64" s="436"/>
      <c r="S64" s="436"/>
    </row>
    <row r="65" spans="1:19" ht="15" x14ac:dyDescent="0.2">
      <c r="A65" s="505">
        <v>46</v>
      </c>
      <c r="B65" s="506">
        <f t="shared" si="6"/>
        <v>5</v>
      </c>
      <c r="C65" s="664">
        <f t="shared" si="14"/>
        <v>8769.8850879667007</v>
      </c>
      <c r="D65" s="664">
        <f>IF(B65 &lt;= VLOOKUP(Main!$N$22,Coefficients!$E$2:$H$28,4,FALSE),E65,NA())</f>
        <v>8858.469785824951</v>
      </c>
      <c r="E65" s="507">
        <f>'4th Order Polynomial TMP vs Res'!$B$41+'4th Order Polynomial TMP vs Res'!$C$41*POWER(B65,1)+'4th Order Polynomial TMP vs Res'!$D$41*POWER(B65,2)+'4th Order Polynomial TMP vs Res'!$E$41*POWER(B65,3)+'4th Order Polynomial TMP vs Res'!$F$41*POWER(B65,4)</f>
        <v>8858.469785824951</v>
      </c>
      <c r="F65" s="664">
        <f t="shared" si="15"/>
        <v>8947.0544836832014</v>
      </c>
      <c r="G65" s="665"/>
      <c r="H65" s="666"/>
      <c r="I65" s="436"/>
      <c r="J65" s="667">
        <f>'4th Order Polynomial TMP vs Res'!$I$41*E65^4 + '4th Order Polynomial TMP vs Res'!$J$41*E65^3 + '4th Order Polynomial TMP vs Res'!$K$41*E65^2 + '4th Order Polynomial TMP vs Res'!$L$41*E65 + '4th Order Polynomial TMP vs Res'!$M$41</f>
        <v>5.0005150072263405</v>
      </c>
      <c r="K65" s="667">
        <f t="shared" si="10"/>
        <v>-5.1500722634045815E-4</v>
      </c>
      <c r="L65" s="436"/>
      <c r="M65" s="436"/>
      <c r="N65" s="436"/>
      <c r="O65" s="436"/>
      <c r="P65" s="436"/>
      <c r="Q65" s="436"/>
      <c r="R65" s="436"/>
      <c r="S65" s="436"/>
    </row>
    <row r="66" spans="1:19" ht="15" x14ac:dyDescent="0.2">
      <c r="A66" s="505">
        <v>47</v>
      </c>
      <c r="B66" s="506">
        <f t="shared" si="6"/>
        <v>6</v>
      </c>
      <c r="C66" s="664">
        <f t="shared" si="14"/>
        <v>8826.4279570509461</v>
      </c>
      <c r="D66" s="664">
        <f>IF(B66 &lt;= VLOOKUP(Main!$N$22,Coefficients!$E$2:$H$28,4,FALSE),E66,NA())</f>
        <v>8915.5837950009554</v>
      </c>
      <c r="E66" s="507">
        <f>'4th Order Polynomial TMP vs Res'!$B$41+'4th Order Polynomial TMP vs Res'!$C$41*POWER(B66,1)+'4th Order Polynomial TMP vs Res'!$D$41*POWER(B66,2)+'4th Order Polynomial TMP vs Res'!$E$41*POWER(B66,3)+'4th Order Polynomial TMP vs Res'!$F$41*POWER(B66,4)</f>
        <v>8915.5837950009554</v>
      </c>
      <c r="F66" s="664">
        <f t="shared" si="15"/>
        <v>9004.7396329509647</v>
      </c>
      <c r="G66" s="665"/>
      <c r="H66" s="666"/>
      <c r="I66" s="436"/>
      <c r="J66" s="667">
        <f>'4th Order Polynomial TMP vs Res'!$I$41*E66^4 + '4th Order Polynomial TMP vs Res'!$J$41*E66^3 + '4th Order Polynomial TMP vs Res'!$K$41*E66^2 + '4th Order Polynomial TMP vs Res'!$L$41*E66 + '4th Order Polynomial TMP vs Res'!$M$41</f>
        <v>6.0051509424831693</v>
      </c>
      <c r="K66" s="667">
        <f t="shared" si="10"/>
        <v>-5.1509424831692741E-3</v>
      </c>
      <c r="L66" s="436"/>
      <c r="M66" s="436"/>
      <c r="N66" s="436"/>
      <c r="O66" s="436"/>
      <c r="P66" s="436"/>
      <c r="Q66" s="436"/>
      <c r="R66" s="436"/>
      <c r="S66" s="436"/>
    </row>
    <row r="67" spans="1:19" ht="15" x14ac:dyDescent="0.2">
      <c r="A67" s="505">
        <v>48</v>
      </c>
      <c r="B67" s="506">
        <f t="shared" si="6"/>
        <v>7</v>
      </c>
      <c r="C67" s="664">
        <f t="shared" si="14"/>
        <v>8883.2759302143786</v>
      </c>
      <c r="D67" s="664">
        <f>IF(B67 &lt;= VLOOKUP(Main!$N$22,Coefficients!$E$2:$H$28,4,FALSE),E67,NA())</f>
        <v>8973.0059901155346</v>
      </c>
      <c r="E67" s="507">
        <f>'4th Order Polynomial TMP vs Res'!$B$41+'4th Order Polynomial TMP vs Res'!$C$41*POWER(B67,1)+'4th Order Polynomial TMP vs Res'!$D$41*POWER(B67,2)+'4th Order Polynomial TMP vs Res'!$E$41*POWER(B67,3)+'4th Order Polynomial TMP vs Res'!$F$41*POWER(B67,4)</f>
        <v>8973.0059901155346</v>
      </c>
      <c r="F67" s="664">
        <f t="shared" si="15"/>
        <v>9062.7360500166906</v>
      </c>
      <c r="G67" s="665"/>
      <c r="H67" s="666"/>
      <c r="I67" s="436"/>
      <c r="J67" s="667">
        <f>'4th Order Polynomial TMP vs Res'!$I$41*E67^4 + '4th Order Polynomial TMP vs Res'!$J$41*E67^3 + '4th Order Polynomial TMP vs Res'!$K$41*E67^2 + '4th Order Polynomial TMP vs Res'!$L$41*E67 + '4th Order Polynomial TMP vs Res'!$M$41</f>
        <v>7.0096850627607523</v>
      </c>
      <c r="K67" s="667">
        <f t="shared" si="10"/>
        <v>-9.6850627607523165E-3</v>
      </c>
      <c r="L67" s="436"/>
      <c r="M67" s="436"/>
      <c r="N67" s="436"/>
      <c r="O67" s="436"/>
      <c r="P67" s="436"/>
      <c r="Q67" s="436"/>
      <c r="R67" s="436"/>
      <c r="S67" s="436"/>
    </row>
    <row r="68" spans="1:19" ht="15" x14ac:dyDescent="0.2">
      <c r="A68" s="505">
        <v>49</v>
      </c>
      <c r="B68" s="506">
        <f t="shared" si="6"/>
        <v>8</v>
      </c>
      <c r="C68" s="664">
        <f t="shared" si="14"/>
        <v>8940.4293481227451</v>
      </c>
      <c r="D68" s="664">
        <f>IF(B68 &lt;= VLOOKUP(Main!$N$22,Coefficients!$E$2:$H$28,4,FALSE),E68,NA())</f>
        <v>9030.7367152754996</v>
      </c>
      <c r="E68" s="507">
        <f>'4th Order Polynomial TMP vs Res'!$B$41+'4th Order Polynomial TMP vs Res'!$C$41*POWER(B68,1)+'4th Order Polynomial TMP vs Res'!$D$41*POWER(B68,2)+'4th Order Polynomial TMP vs Res'!$E$41*POWER(B68,3)+'4th Order Polynomial TMP vs Res'!$F$41*POWER(B68,4)</f>
        <v>9030.7367152754996</v>
      </c>
      <c r="F68" s="664">
        <f t="shared" si="15"/>
        <v>9121.0440824282541</v>
      </c>
      <c r="G68" s="665"/>
      <c r="H68" s="666"/>
      <c r="I68" s="436"/>
      <c r="J68" s="667">
        <f>'4th Order Polynomial TMP vs Res'!$I$41*E68^4 + '4th Order Polynomial TMP vs Res'!$J$41*E68^3 + '4th Order Polynomial TMP vs Res'!$K$41*E68^2 + '4th Order Polynomial TMP vs Res'!$L$41*E68 + '4th Order Polynomial TMP vs Res'!$M$41</f>
        <v>8.0140998349303345</v>
      </c>
      <c r="K68" s="667">
        <f t="shared" si="10"/>
        <v>-1.4099834930334509E-2</v>
      </c>
      <c r="L68" s="436"/>
      <c r="M68" s="436"/>
      <c r="N68" s="436"/>
      <c r="O68" s="436"/>
      <c r="P68" s="436"/>
      <c r="Q68" s="436"/>
      <c r="R68" s="436"/>
      <c r="S68" s="436"/>
    </row>
    <row r="69" spans="1:19" ht="15" x14ac:dyDescent="0.2">
      <c r="A69" s="505">
        <v>50</v>
      </c>
      <c r="B69" s="506">
        <f t="shared" si="6"/>
        <v>9</v>
      </c>
      <c r="C69" s="664">
        <f t="shared" si="14"/>
        <v>8997.8885600974445</v>
      </c>
      <c r="D69" s="664">
        <f>IF(B69 &lt;= VLOOKUP(Main!$N$22,Coefficients!$E$2:$H$28,4,FALSE),E69,NA())</f>
        <v>9088.7763233307523</v>
      </c>
      <c r="E69" s="507">
        <f>'4th Order Polynomial TMP vs Res'!$B$41+'4th Order Polynomial TMP vs Res'!$C$41*POWER(B69,1)+'4th Order Polynomial TMP vs Res'!$D$41*POWER(B69,2)+'4th Order Polynomial TMP vs Res'!$E$41*POWER(B69,3)+'4th Order Polynomial TMP vs Res'!$F$41*POWER(B69,4)</f>
        <v>9088.7763233307523</v>
      </c>
      <c r="F69" s="664">
        <f t="shared" si="15"/>
        <v>9179.6640865640602</v>
      </c>
      <c r="G69" s="665"/>
      <c r="H69" s="666"/>
      <c r="I69" s="436"/>
      <c r="J69" s="667">
        <f>'4th Order Polynomial TMP vs Res'!$I$41*E69^4 + '4th Order Polynomial TMP vs Res'!$J$41*E69^3 + '4th Order Polynomial TMP vs Res'!$K$41*E69^2 + '4th Order Polynomial TMP vs Res'!$L$41*E69 + '4th Order Polynomial TMP vs Res'!$M$41</f>
        <v>9.0183787854180082</v>
      </c>
      <c r="K69" s="667">
        <f t="shared" si="10"/>
        <v>-1.8378785418008192E-2</v>
      </c>
      <c r="L69" s="436"/>
      <c r="M69" s="436"/>
      <c r="N69" s="436"/>
      <c r="O69" s="436"/>
      <c r="P69" s="436"/>
      <c r="Q69" s="436"/>
      <c r="R69" s="436"/>
      <c r="S69" s="436"/>
    </row>
    <row r="70" spans="1:19" ht="15" x14ac:dyDescent="0.2">
      <c r="A70" s="505">
        <v>51</v>
      </c>
      <c r="B70" s="506">
        <f t="shared" si="6"/>
        <v>10</v>
      </c>
      <c r="C70" s="664">
        <f t="shared" si="14"/>
        <v>9055.6539241155424</v>
      </c>
      <c r="D70" s="664">
        <f>IF(B70 &lt;= VLOOKUP(Main!$N$22,Coefficients!$E$2:$H$28,4,FALSE),E70,NA())</f>
        <v>9147.1251758742856</v>
      </c>
      <c r="E70" s="507">
        <f>'4th Order Polynomial TMP vs Res'!$B$41+'4th Order Polynomial TMP vs Res'!$C$41*POWER(B70,1)+'4th Order Polynomial TMP vs Res'!$D$41*POWER(B70,2)+'4th Order Polynomial TMP vs Res'!$E$41*POWER(B70,3)+'4th Order Polynomial TMP vs Res'!$F$41*POWER(B70,4)</f>
        <v>9147.1251758742856</v>
      </c>
      <c r="F70" s="664">
        <f t="shared" si="15"/>
        <v>9238.5964276330287</v>
      </c>
      <c r="G70" s="665"/>
      <c r="H70" s="666"/>
      <c r="I70" s="436"/>
      <c r="J70" s="667">
        <f>'4th Order Polynomial TMP vs Res'!$I$41*E70^4 + '4th Order Polynomial TMP vs Res'!$J$41*E70^3 + '4th Order Polynomial TMP vs Res'!$K$41*E70^2 + '4th Order Polynomial TMP vs Res'!$L$41*E70 + '4th Order Polynomial TMP vs Res'!$M$41</f>
        <v>10.02250649463798</v>
      </c>
      <c r="K70" s="667">
        <f t="shared" si="10"/>
        <v>-2.2506494637980268E-2</v>
      </c>
      <c r="L70" s="436"/>
      <c r="M70" s="436"/>
      <c r="N70" s="436"/>
      <c r="O70" s="436"/>
      <c r="P70" s="436"/>
      <c r="Q70" s="436"/>
      <c r="R70" s="436"/>
      <c r="S70" s="436"/>
    </row>
    <row r="71" spans="1:19" ht="15" x14ac:dyDescent="0.2">
      <c r="A71" s="505">
        <v>52</v>
      </c>
      <c r="B71" s="506">
        <f t="shared" si="6"/>
        <v>11</v>
      </c>
      <c r="C71" s="664">
        <f t="shared" si="14"/>
        <v>9113.725806809769</v>
      </c>
      <c r="D71" s="664">
        <f>IF(B71 &lt;= VLOOKUP(Main!$N$22,Coefficients!$E$2:$H$28,4,FALSE),E71,NA())</f>
        <v>9205.7836432421918</v>
      </c>
      <c r="E71" s="507">
        <f>'4th Order Polynomial TMP vs Res'!$B$41+'4th Order Polynomial TMP vs Res'!$C$41*POWER(B71,1)+'4th Order Polynomial TMP vs Res'!$D$41*POWER(B71,2)+'4th Order Polynomial TMP vs Res'!$E$41*POWER(B71,3)+'4th Order Polynomial TMP vs Res'!$F$41*POWER(B71,4)</f>
        <v>9205.7836432421918</v>
      </c>
      <c r="F71" s="664">
        <f t="shared" si="15"/>
        <v>9297.8414796746147</v>
      </c>
      <c r="G71" s="665"/>
      <c r="H71" s="666"/>
      <c r="I71" s="436"/>
      <c r="J71" s="667">
        <f>'4th Order Polynomial TMP vs Res'!$I$41*E71^4 + '4th Order Polynomial TMP vs Res'!$J$41*E71^3 + '4th Order Polynomial TMP vs Res'!$K$41*E71^2 + '4th Order Polynomial TMP vs Res'!$L$41*E71 + '4th Order Polynomial TMP vs Res'!$M$41</f>
        <v>11.026468590942443</v>
      </c>
      <c r="K71" s="667">
        <f t="shared" si="10"/>
        <v>-2.6468590942442916E-2</v>
      </c>
      <c r="L71" s="436"/>
      <c r="M71" s="436"/>
      <c r="N71" s="436"/>
      <c r="O71" s="436"/>
      <c r="P71" s="436"/>
      <c r="Q71" s="436"/>
      <c r="R71" s="436"/>
      <c r="S71" s="436"/>
    </row>
    <row r="72" spans="1:19" ht="15" x14ac:dyDescent="0.2">
      <c r="A72" s="505">
        <v>53</v>
      </c>
      <c r="B72" s="506">
        <f t="shared" si="6"/>
        <v>12</v>
      </c>
      <c r="C72" s="664">
        <f t="shared" si="14"/>
        <v>9172.1045834685119</v>
      </c>
      <c r="D72" s="664">
        <f>IF(B72 &lt;= VLOOKUP(Main!$N$22,Coefficients!$E$2:$H$28,4,FALSE),E72,NA())</f>
        <v>9264.7521045136491</v>
      </c>
      <c r="E72" s="507">
        <f>'4th Order Polynomial TMP vs Res'!$B$41+'4th Order Polynomial TMP vs Res'!$C$41*POWER(B72,1)+'4th Order Polynomial TMP vs Res'!$D$41*POWER(B72,2)+'4th Order Polynomial TMP vs Res'!$E$41*POWER(B72,3)+'4th Order Polynomial TMP vs Res'!$F$41*POWER(B72,4)</f>
        <v>9264.7521045136491</v>
      </c>
      <c r="F72" s="664">
        <f t="shared" si="15"/>
        <v>9357.3996255587863</v>
      </c>
      <c r="G72" s="665"/>
      <c r="H72" s="666"/>
      <c r="I72" s="436"/>
      <c r="J72" s="667">
        <f>'4th Order Polynomial TMP vs Res'!$I$41*E72^4 + '4th Order Polynomial TMP vs Res'!$J$41*E72^3 + '4th Order Polynomial TMP vs Res'!$K$41*E72^2 + '4th Order Polynomial TMP vs Res'!$L$41*E72 + '4th Order Polynomial TMP vs Res'!$M$41</f>
        <v>12.030251744079294</v>
      </c>
      <c r="K72" s="667">
        <f t="shared" si="10"/>
        <v>-3.0251744079293985E-2</v>
      </c>
      <c r="L72" s="436"/>
      <c r="M72" s="436"/>
      <c r="N72" s="436"/>
      <c r="O72" s="436"/>
      <c r="P72" s="436"/>
      <c r="Q72" s="436"/>
      <c r="R72" s="436"/>
      <c r="S72" s="436"/>
    </row>
    <row r="73" spans="1:19" ht="15" x14ac:dyDescent="0.2">
      <c r="A73" s="505">
        <v>54</v>
      </c>
      <c r="B73" s="506">
        <f t="shared" si="6"/>
        <v>13</v>
      </c>
      <c r="C73" s="664">
        <f t="shared" si="14"/>
        <v>9230.7906380358163</v>
      </c>
      <c r="D73" s="664">
        <f>IF(B73 &lt;= VLOOKUP(Main!$N$22,Coefficients!$E$2:$H$28,4,FALSE),E73,NA())</f>
        <v>9324.0309475109261</v>
      </c>
      <c r="E73" s="507">
        <f>'4th Order Polynomial TMP vs Res'!$B$41+'4th Order Polynomial TMP vs Res'!$C$41*POWER(B73,1)+'4th Order Polynomial TMP vs Res'!$D$41*POWER(B73,2)+'4th Order Polynomial TMP vs Res'!$E$41*POWER(B73,3)+'4th Order Polynomial TMP vs Res'!$F$41*POWER(B73,4)</f>
        <v>9324.0309475109261</v>
      </c>
      <c r="F73" s="664">
        <f t="shared" si="15"/>
        <v>9417.271256986036</v>
      </c>
      <c r="G73" s="665"/>
      <c r="H73" s="666"/>
      <c r="I73" s="436"/>
      <c r="J73" s="667">
        <f>'4th Order Polynomial TMP vs Res'!$I$41*E73^4 + '4th Order Polynomial TMP vs Res'!$J$41*E73^3 + '4th Order Polynomial TMP vs Res'!$K$41*E73^2 + '4th Order Polynomial TMP vs Res'!$L$41*E73 + '4th Order Polynomial TMP vs Res'!$M$41</f>
        <v>13.033843658147305</v>
      </c>
      <c r="K73" s="667">
        <f t="shared" si="10"/>
        <v>-3.3843658147304723E-2</v>
      </c>
      <c r="L73" s="436"/>
      <c r="M73" s="436"/>
      <c r="N73" s="436"/>
      <c r="O73" s="436"/>
      <c r="P73" s="436"/>
      <c r="Q73" s="436"/>
      <c r="R73" s="436"/>
      <c r="S73" s="436"/>
    </row>
    <row r="74" spans="1:19" ht="15" x14ac:dyDescent="0.2">
      <c r="A74" s="505">
        <v>55</v>
      </c>
      <c r="B74" s="506">
        <f t="shared" si="6"/>
        <v>14</v>
      </c>
      <c r="C74" s="664">
        <f t="shared" si="14"/>
        <v>9289.784363111401</v>
      </c>
      <c r="D74" s="664">
        <f>IF(B74 &lt;= VLOOKUP(Main!$N$22,Coefficients!$E$2:$H$28,4,FALSE),E74,NA())</f>
        <v>9383.6205687993952</v>
      </c>
      <c r="E74" s="507">
        <f>'4th Order Polynomial TMP vs Res'!$B$41+'4th Order Polynomial TMP vs Res'!$C$41*POWER(B74,1)+'4th Order Polynomial TMP vs Res'!$D$41*POWER(B74,2)+'4th Order Polynomial TMP vs Res'!$E$41*POWER(B74,3)+'4th Order Polynomial TMP vs Res'!$F$41*POWER(B74,4)</f>
        <v>9383.6205687993952</v>
      </c>
      <c r="F74" s="664">
        <f t="shared" si="15"/>
        <v>9477.4567744873893</v>
      </c>
      <c r="G74" s="665"/>
      <c r="H74" s="666"/>
      <c r="I74" s="436"/>
      <c r="J74" s="667">
        <f>'4th Order Polynomial TMP vs Res'!$I$41*E74^4 + '4th Order Polynomial TMP vs Res'!$J$41*E74^3 + '4th Order Polynomial TMP vs Res'!$K$41*E74^2 + '4th Order Polynomial TMP vs Res'!$L$41*E74 + '4th Order Polynomial TMP vs Res'!$M$41</f>
        <v>14.037233064035433</v>
      </c>
      <c r="K74" s="667">
        <f t="shared" si="10"/>
        <v>-3.7233064035433472E-2</v>
      </c>
      <c r="L74" s="436"/>
      <c r="M74" s="436"/>
      <c r="N74" s="436"/>
      <c r="O74" s="436"/>
      <c r="P74" s="436"/>
      <c r="Q74" s="436"/>
      <c r="R74" s="436"/>
      <c r="S74" s="436"/>
    </row>
    <row r="75" spans="1:19" ht="15" x14ac:dyDescent="0.2">
      <c r="A75" s="505">
        <v>56</v>
      </c>
      <c r="B75" s="506">
        <f t="shared" si="6"/>
        <v>15</v>
      </c>
      <c r="C75" s="664">
        <f t="shared" si="14"/>
        <v>9349.0861599506352</v>
      </c>
      <c r="D75" s="664">
        <f>IF(B75 &lt;= VLOOKUP(Main!$N$22,Coefficients!$E$2:$H$28,4,FALSE),E75,NA())</f>
        <v>9443.5213736875103</v>
      </c>
      <c r="E75" s="507">
        <f>'4th Order Polynomial TMP vs Res'!$B$41+'4th Order Polynomial TMP vs Res'!$C$41*POWER(B75,1)+'4th Order Polynomial TMP vs Res'!$D$41*POWER(B75,2)+'4th Order Polynomial TMP vs Res'!$E$41*POWER(B75,3)+'4th Order Polynomial TMP vs Res'!$F$41*POWER(B75,4)</f>
        <v>9443.5213736875103</v>
      </c>
      <c r="F75" s="664">
        <f t="shared" si="15"/>
        <v>9537.9565874243854</v>
      </c>
      <c r="G75" s="665"/>
      <c r="H75" s="666"/>
      <c r="I75" s="436"/>
      <c r="J75" s="667">
        <f>'4th Order Polynomial TMP vs Res'!$I$41*E75^4 + '4th Order Polynomial TMP vs Res'!$J$41*E75^3 + '4th Order Polynomial TMP vs Res'!$K$41*E75^2 + '4th Order Polynomial TMP vs Res'!$L$41*E75 + '4th Order Polynomial TMP vs Res'!$M$41</f>
        <v>15.040409711339237</v>
      </c>
      <c r="K75" s="667">
        <f t="shared" si="10"/>
        <v>-4.0409711339236765E-2</v>
      </c>
      <c r="L75" s="436"/>
      <c r="M75" s="436"/>
      <c r="N75" s="436"/>
      <c r="O75" s="436"/>
      <c r="P75" s="436"/>
      <c r="Q75" s="436"/>
      <c r="R75" s="436"/>
      <c r="S75" s="436"/>
    </row>
    <row r="76" spans="1:19" ht="15" x14ac:dyDescent="0.2">
      <c r="A76" s="505">
        <v>57</v>
      </c>
      <c r="B76" s="506">
        <f t="shared" si="6"/>
        <v>16</v>
      </c>
      <c r="C76" s="664">
        <f t="shared" si="14"/>
        <v>9408.6964384645507</v>
      </c>
      <c r="D76" s="664">
        <f>IF(B76 &lt;= VLOOKUP(Main!$N$22,Coefficients!$E$2:$H$28,4,FALSE),E76,NA())</f>
        <v>9503.7337762268198</v>
      </c>
      <c r="E76" s="507">
        <f>'4th Order Polynomial TMP vs Res'!$B$41+'4th Order Polynomial TMP vs Res'!$C$41*POWER(B76,1)+'4th Order Polynomial TMP vs Res'!$D$41*POWER(B76,2)+'4th Order Polynomial TMP vs Res'!$E$41*POWER(B76,3)+'4th Order Polynomial TMP vs Res'!$F$41*POWER(B76,4)</f>
        <v>9503.7337762268198</v>
      </c>
      <c r="F76" s="664">
        <f t="shared" si="15"/>
        <v>9598.7711139890889</v>
      </c>
      <c r="G76" s="665"/>
      <c r="H76" s="666"/>
      <c r="I76" s="436"/>
      <c r="J76" s="667">
        <f>'4th Order Polynomial TMP vs Res'!$I$41*E76^4 + '4th Order Polynomial TMP vs Res'!$J$41*E76^3 + '4th Order Polynomial TMP vs Res'!$K$41*E76^2 + '4th Order Polynomial TMP vs Res'!$L$41*E76 + '4th Order Polynomial TMP vs Res'!$M$41</f>
        <v>16.043364359739144</v>
      </c>
      <c r="K76" s="667">
        <f t="shared" si="10"/>
        <v>-4.3364359739143765E-2</v>
      </c>
      <c r="L76" s="436"/>
      <c r="M76" s="436"/>
      <c r="N76" s="436"/>
      <c r="O76" s="436"/>
      <c r="P76" s="436"/>
      <c r="Q76" s="436"/>
      <c r="R76" s="436"/>
      <c r="S76" s="436"/>
    </row>
    <row r="77" spans="1:19" ht="15" x14ac:dyDescent="0.2">
      <c r="A77" s="505">
        <v>58</v>
      </c>
      <c r="B77" s="506">
        <f t="shared" si="6"/>
        <v>17</v>
      </c>
      <c r="C77" s="664">
        <f t="shared" si="14"/>
        <v>9468.6156172198444</v>
      </c>
      <c r="D77" s="664">
        <f>IF(B77 &lt;= VLOOKUP(Main!$N$22,Coefficients!$E$2:$H$28,4,FALSE),E77,NA())</f>
        <v>9564.2581992119649</v>
      </c>
      <c r="E77" s="507">
        <f>'4th Order Polynomial TMP vs Res'!$B$41+'4th Order Polynomial TMP vs Res'!$C$41*POWER(B77,1)+'4th Order Polynomial TMP vs Res'!$D$41*POWER(B77,2)+'4th Order Polynomial TMP vs Res'!$E$41*POWER(B77,3)+'4th Order Polynomial TMP vs Res'!$F$41*POWER(B77,4)</f>
        <v>9564.2581992119649</v>
      </c>
      <c r="F77" s="664">
        <f t="shared" si="15"/>
        <v>9659.9007812040854</v>
      </c>
      <c r="G77" s="665"/>
      <c r="H77" s="666"/>
      <c r="I77" s="436"/>
      <c r="J77" s="667">
        <f>'4th Order Polynomial TMP vs Res'!$I$41*E77^4 + '4th Order Polynomial TMP vs Res'!$J$41*E77^3 + '4th Order Polynomial TMP vs Res'!$K$41*E77^2 + '4th Order Polynomial TMP vs Res'!$L$41*E77 + '4th Order Polynomial TMP vs Res'!$M$41</f>
        <v>17.046088769831101</v>
      </c>
      <c r="K77" s="667">
        <f t="shared" si="10"/>
        <v>-4.6088769831101217E-2</v>
      </c>
      <c r="L77" s="436"/>
      <c r="M77" s="436"/>
      <c r="N77" s="436"/>
      <c r="O77" s="436"/>
      <c r="P77" s="436"/>
      <c r="Q77" s="436"/>
      <c r="R77" s="436"/>
      <c r="S77" s="436"/>
    </row>
    <row r="78" spans="1:19" ht="15" x14ac:dyDescent="0.2">
      <c r="A78" s="505">
        <v>59</v>
      </c>
      <c r="B78" s="506">
        <f t="shared" si="6"/>
        <v>18</v>
      </c>
      <c r="C78" s="664">
        <f t="shared" si="14"/>
        <v>9528.8441234388756</v>
      </c>
      <c r="D78" s="664">
        <f>IF(B78 &lt;= VLOOKUP(Main!$N$22,Coefficients!$E$2:$H$28,4,FALSE),E78,NA())</f>
        <v>9625.0950741806828</v>
      </c>
      <c r="E78" s="507">
        <f>'4th Order Polynomial TMP vs Res'!$B$41+'4th Order Polynomial TMP vs Res'!$C$41*POWER(B78,1)+'4th Order Polynomial TMP vs Res'!$D$41*POWER(B78,2)+'4th Order Polynomial TMP vs Res'!$E$41*POWER(B78,3)+'4th Order Polynomial TMP vs Res'!$F$41*POWER(B78,4)</f>
        <v>9625.0950741806828</v>
      </c>
      <c r="F78" s="664">
        <f t="shared" si="15"/>
        <v>9721.34602492249</v>
      </c>
      <c r="G78" s="665"/>
      <c r="H78" s="666"/>
      <c r="I78" s="436"/>
      <c r="J78" s="667">
        <f>'4th Order Polynomial TMP vs Res'!$I$41*E78^4 + '4th Order Polynomial TMP vs Res'!$J$41*E78^3 + '4th Order Polynomial TMP vs Res'!$K$41*E78^2 + '4th Order Polynomial TMP vs Res'!$L$41*E78 + '4th Order Polynomial TMP vs Res'!$M$41</f>
        <v>18.048575693397481</v>
      </c>
      <c r="K78" s="667">
        <f t="shared" si="10"/>
        <v>-4.8575693397481245E-2</v>
      </c>
      <c r="L78" s="436"/>
      <c r="M78" s="436"/>
      <c r="N78" s="436"/>
      <c r="O78" s="436"/>
      <c r="P78" s="436"/>
      <c r="Q78" s="436"/>
      <c r="R78" s="436"/>
      <c r="S78" s="436"/>
    </row>
    <row r="79" spans="1:19" ht="15" x14ac:dyDescent="0.2">
      <c r="A79" s="505">
        <v>60</v>
      </c>
      <c r="B79" s="506">
        <f t="shared" si="6"/>
        <v>19</v>
      </c>
      <c r="C79" s="664">
        <f t="shared" si="14"/>
        <v>9589.3823929996615</v>
      </c>
      <c r="D79" s="664">
        <f>IF(B79 &lt;= VLOOKUP(Main!$N$22,Coefficients!$E$2:$H$28,4,FALSE),E79,NA())</f>
        <v>9686.2448414137998</v>
      </c>
      <c r="E79" s="507">
        <f>'4th Order Polynomial TMP vs Res'!$B$41+'4th Order Polynomial TMP vs Res'!$C$41*POWER(B79,1)+'4th Order Polynomial TMP vs Res'!$D$41*POWER(B79,2)+'4th Order Polynomial TMP vs Res'!$E$41*POWER(B79,3)+'4th Order Polynomial TMP vs Res'!$F$41*POWER(B79,4)</f>
        <v>9686.2448414137998</v>
      </c>
      <c r="F79" s="664">
        <f t="shared" si="15"/>
        <v>9783.1072898279381</v>
      </c>
      <c r="G79" s="665"/>
      <c r="H79" s="666"/>
      <c r="I79" s="436"/>
      <c r="J79" s="667">
        <f>'4th Order Polynomial TMP vs Res'!$I$41*E79^4 + '4th Order Polynomial TMP vs Res'!$J$41*E79^3 + '4th Order Polynomial TMP vs Res'!$K$41*E79^2 + '4th Order Polynomial TMP vs Res'!$L$41*E79 + '4th Order Polynomial TMP vs Res'!$M$41</f>
        <v>19.050818863104325</v>
      </c>
      <c r="K79" s="667">
        <f t="shared" si="10"/>
        <v>-5.0818863104325374E-2</v>
      </c>
      <c r="L79" s="436"/>
      <c r="M79" s="436"/>
      <c r="N79" s="436"/>
      <c r="O79" s="436"/>
      <c r="P79" s="436"/>
      <c r="Q79" s="436"/>
      <c r="R79" s="436"/>
      <c r="S79" s="436"/>
    </row>
    <row r="80" spans="1:19" ht="15" x14ac:dyDescent="0.2">
      <c r="A80" s="505">
        <v>61</v>
      </c>
      <c r="B80" s="506">
        <f t="shared" si="6"/>
        <v>20</v>
      </c>
      <c r="C80" s="664">
        <f t="shared" si="14"/>
        <v>9650.2308704358802</v>
      </c>
      <c r="D80" s="664">
        <f>IF(B80 &lt;= VLOOKUP(Main!$N$22,Coefficients!$E$2:$H$28,4,FALSE),E80,NA())</f>
        <v>9747.707949935233</v>
      </c>
      <c r="E80" s="507">
        <f>'4th Order Polynomial TMP vs Res'!$B$41+'4th Order Polynomial TMP vs Res'!$C$41*POWER(B80,1)+'4th Order Polynomial TMP vs Res'!$D$41*POWER(B80,2)+'4th Order Polynomial TMP vs Res'!$E$41*POWER(B80,3)+'4th Order Polynomial TMP vs Res'!$F$41*POWER(B80,4)</f>
        <v>9747.707949935233</v>
      </c>
      <c r="F80" s="664">
        <f t="shared" si="15"/>
        <v>9845.1850294345859</v>
      </c>
      <c r="G80" s="665"/>
      <c r="H80" s="666"/>
      <c r="I80" s="436"/>
      <c r="J80" s="667">
        <f>'4th Order Polynomial TMP vs Res'!$I$41*E80^4 + '4th Order Polynomial TMP vs Res'!$J$41*E80^3 + '4th Order Polynomial TMP vs Res'!$K$41*E80^2 + '4th Order Polynomial TMP vs Res'!$L$41*E80 + '4th Order Polynomial TMP vs Res'!$M$41</f>
        <v>20.052812981613954</v>
      </c>
      <c r="K80" s="667">
        <f t="shared" si="10"/>
        <v>-5.281298161395398E-2</v>
      </c>
      <c r="L80" s="436"/>
      <c r="M80" s="436"/>
      <c r="N80" s="436"/>
      <c r="O80" s="436"/>
      <c r="P80" s="436"/>
      <c r="Q80" s="436"/>
      <c r="R80" s="436"/>
      <c r="S80" s="436"/>
    </row>
    <row r="81" spans="1:19" ht="15" x14ac:dyDescent="0.2">
      <c r="A81" s="505">
        <v>62</v>
      </c>
      <c r="B81" s="506">
        <f t="shared" si="6"/>
        <v>21</v>
      </c>
      <c r="C81" s="664">
        <f t="shared" si="14"/>
        <v>9711.3900089368744</v>
      </c>
      <c r="D81" s="664">
        <f>IF(B81 &lt;= VLOOKUP(Main!$N$22,Coefficients!$E$2:$H$28,4,FALSE),E81,NA())</f>
        <v>9809.4848575119941</v>
      </c>
      <c r="E81" s="507">
        <f>'4th Order Polynomial TMP vs Res'!$B$41+'4th Order Polynomial TMP vs Res'!$C$41*POWER(B81,1)+'4th Order Polynomial TMP vs Res'!$D$41*POWER(B81,2)+'4th Order Polynomial TMP vs Res'!$E$41*POWER(B81,3)+'4th Order Polynomial TMP vs Res'!$F$41*POWER(B81,4)</f>
        <v>9809.4848575119941</v>
      </c>
      <c r="F81" s="664">
        <f t="shared" si="15"/>
        <v>9907.5797060871137</v>
      </c>
      <c r="G81" s="665"/>
      <c r="H81" s="666"/>
      <c r="I81" s="436"/>
      <c r="J81" s="667">
        <f>'4th Order Polynomial TMP vs Res'!$I$41*E81^4 + '4th Order Polynomial TMP vs Res'!$J$41*E81^3 + '4th Order Polynomial TMP vs Res'!$K$41*E81^2 + '4th Order Polynomial TMP vs Res'!$L$41*E81 + '4th Order Polynomial TMP vs Res'!$M$41</f>
        <v>21.05455371009964</v>
      </c>
      <c r="K81" s="667">
        <f t="shared" si="10"/>
        <v>-5.4553710099639829E-2</v>
      </c>
      <c r="L81" s="436"/>
      <c r="M81" s="436"/>
      <c r="N81" s="436"/>
      <c r="O81" s="436"/>
      <c r="P81" s="436"/>
      <c r="Q81" s="436"/>
      <c r="R81" s="436"/>
      <c r="S81" s="436"/>
    </row>
    <row r="82" spans="1:19" ht="15" x14ac:dyDescent="0.2">
      <c r="A82" s="505">
        <v>63</v>
      </c>
      <c r="B82" s="506">
        <f t="shared" si="6"/>
        <v>22</v>
      </c>
      <c r="C82" s="664">
        <f t="shared" si="14"/>
        <v>9772.8602703476445</v>
      </c>
      <c r="D82" s="664">
        <f>IF(B82 &lt;= VLOOKUP(Main!$N$22,Coefficients!$E$2:$H$28,4,FALSE),E82,NA())</f>
        <v>9871.576030654187</v>
      </c>
      <c r="E82" s="507">
        <f>'4th Order Polynomial TMP vs Res'!$B$41+'4th Order Polynomial TMP vs Res'!$C$41*POWER(B82,1)+'4th Order Polynomial TMP vs Res'!$D$41*POWER(B82,2)+'4th Order Polynomial TMP vs Res'!$E$41*POWER(B82,3)+'4th Order Polynomial TMP vs Res'!$F$41*POWER(B82,4)</f>
        <v>9871.576030654187</v>
      </c>
      <c r="F82" s="664">
        <f t="shared" si="15"/>
        <v>9970.2917909607295</v>
      </c>
      <c r="G82" s="665"/>
      <c r="H82" s="666"/>
      <c r="I82" s="436"/>
      <c r="J82" s="667">
        <f>'4th Order Polynomial TMP vs Res'!$I$41*E82^4 + '4th Order Polynomial TMP vs Res'!$J$41*E82^3 + '4th Order Polynomial TMP vs Res'!$K$41*E82^2 + '4th Order Polynomial TMP vs Res'!$L$41*E82 + '4th Order Polynomial TMP vs Res'!$M$41</f>
        <v>22.056037656148135</v>
      </c>
      <c r="K82" s="667">
        <f t="shared" si="10"/>
        <v>-5.6037656148134829E-2</v>
      </c>
      <c r="L82" s="436"/>
      <c r="M82" s="436"/>
      <c r="N82" s="436"/>
      <c r="O82" s="436"/>
      <c r="P82" s="436"/>
      <c r="Q82" s="436"/>
      <c r="R82" s="436"/>
      <c r="S82" s="436"/>
    </row>
    <row r="83" spans="1:19" ht="15" x14ac:dyDescent="0.2">
      <c r="A83" s="505">
        <v>64</v>
      </c>
      <c r="B83" s="506">
        <f t="shared" si="6"/>
        <v>23</v>
      </c>
      <c r="C83" s="664">
        <f t="shared" si="14"/>
        <v>9834.6421251688571</v>
      </c>
      <c r="D83" s="664">
        <f>IF(B83 &lt;= VLOOKUP(Main!$N$22,Coefficients!$E$2:$H$28,4,FALSE),E83,NA())</f>
        <v>9933.9819446150068</v>
      </c>
      <c r="E83" s="507">
        <f>'4th Order Polynomial TMP vs Res'!$B$41+'4th Order Polynomial TMP vs Res'!$C$41*POWER(B83,1)+'4th Order Polynomial TMP vs Res'!$D$41*POWER(B83,2)+'4th Order Polynomial TMP vs Res'!$E$41*POWER(B83,3)+'4th Order Polynomial TMP vs Res'!$F$41*POWER(B83,4)</f>
        <v>9933.9819446150068</v>
      </c>
      <c r="F83" s="664">
        <f t="shared" si="15"/>
        <v>10033.321764061157</v>
      </c>
      <c r="G83" s="665"/>
      <c r="H83" s="666"/>
      <c r="I83" s="436"/>
      <c r="J83" s="667">
        <f>'4th Order Polynomial TMP vs Res'!$I$41*E83^4 + '4th Order Polynomial TMP vs Res'!$J$41*E83^3 + '4th Order Polynomial TMP vs Res'!$K$41*E83^2 + '4th Order Polynomial TMP vs Res'!$L$41*E83 + '4th Order Polynomial TMP vs Res'!$M$41</f>
        <v>23.057262361037544</v>
      </c>
      <c r="K83" s="667">
        <f t="shared" si="10"/>
        <v>-5.7262361037544451E-2</v>
      </c>
      <c r="L83" s="436"/>
      <c r="M83" s="436"/>
      <c r="N83" s="436"/>
      <c r="O83" s="436"/>
      <c r="P83" s="436"/>
      <c r="Q83" s="436"/>
      <c r="R83" s="436"/>
      <c r="S83" s="436"/>
    </row>
    <row r="84" spans="1:19" ht="15" x14ac:dyDescent="0.2">
      <c r="A84" s="505">
        <v>65</v>
      </c>
      <c r="B84" s="506">
        <f t="shared" si="6"/>
        <v>24</v>
      </c>
      <c r="C84" s="664">
        <f t="shared" si="14"/>
        <v>9896.7360525568347</v>
      </c>
      <c r="D84" s="664">
        <f>IF(B84 &lt;= VLOOKUP(Main!$N$22,Coefficients!$E$2:$H$28,4,FALSE),E84,NA())</f>
        <v>9996.7030833907429</v>
      </c>
      <c r="E84" s="507">
        <f>'4th Order Polynomial TMP vs Res'!$B$41+'4th Order Polynomial TMP vs Res'!$C$41*POWER(B84,1)+'4th Order Polynomial TMP vs Res'!$D$41*POWER(B84,2)+'4th Order Polynomial TMP vs Res'!$E$41*POWER(B84,3)+'4th Order Polynomial TMP vs Res'!$F$41*POWER(B84,4)</f>
        <v>9996.7030833907429</v>
      </c>
      <c r="F84" s="664">
        <f t="shared" si="15"/>
        <v>10096.670114224651</v>
      </c>
      <c r="G84" s="665"/>
      <c r="H84" s="666"/>
      <c r="I84" s="436"/>
      <c r="J84" s="667">
        <f>'4th Order Polynomial TMP vs Res'!$I$41*E84^4 + '4th Order Polynomial TMP vs Res'!$J$41*E84^3 + '4th Order Polynomial TMP vs Res'!$K$41*E84^2 + '4th Order Polynomial TMP vs Res'!$L$41*E84 + '4th Order Polynomial TMP vs Res'!$M$41</f>
        <v>24.058226286375259</v>
      </c>
      <c r="K84" s="667">
        <f t="shared" ref="K84:K115" si="16">B84-J84</f>
        <v>-5.8226286375258951E-2</v>
      </c>
      <c r="L84" s="436"/>
      <c r="M84" s="436"/>
      <c r="N84" s="436"/>
      <c r="O84" s="436"/>
      <c r="P84" s="436"/>
      <c r="Q84" s="436"/>
      <c r="R84" s="436"/>
      <c r="S84" s="436"/>
    </row>
    <row r="85" spans="1:19" ht="15" x14ac:dyDescent="0.2">
      <c r="A85" s="505">
        <v>66</v>
      </c>
      <c r="B85" s="508">
        <f t="shared" si="6"/>
        <v>25</v>
      </c>
      <c r="C85" s="664">
        <f t="shared" si="14"/>
        <v>9959.1425403235735</v>
      </c>
      <c r="D85" s="664">
        <f>IF(B85 &lt;= VLOOKUP(Main!$N$22,Coefficients!$E$2:$H$28,4,FALSE),E85,NA())</f>
        <v>10059.739939720781</v>
      </c>
      <c r="E85" s="507">
        <f>'4th Order Polynomial TMP vs Res'!$B$41+'4th Order Polynomial TMP vs Res'!$C$41*POWER(B85,1)+'4th Order Polynomial TMP vs Res'!$D$41*POWER(B85,2)+'4th Order Polynomial TMP vs Res'!$E$41*POWER(B85,3)+'4th Order Polynomial TMP vs Res'!$F$41*POWER(B85,4)</f>
        <v>10059.739939720781</v>
      </c>
      <c r="F85" s="664">
        <f t="shared" si="15"/>
        <v>10160.337339117988</v>
      </c>
      <c r="G85" s="665"/>
      <c r="H85" s="666"/>
      <c r="I85" s="436"/>
      <c r="J85" s="667">
        <f>'4th Order Polynomial TMP vs Res'!$I$41*E85^4 + '4th Order Polynomial TMP vs Res'!$J$41*E85^3 + '4th Order Polynomial TMP vs Res'!$K$41*E85^2 + '4th Order Polynomial TMP vs Res'!$L$41*E85 + '4th Order Polynomial TMP vs Res'!$M$41</f>
        <v>25.058928800083379</v>
      </c>
      <c r="K85" s="667">
        <f t="shared" si="16"/>
        <v>-5.8928800083378974E-2</v>
      </c>
      <c r="L85" s="436"/>
      <c r="M85" s="436"/>
      <c r="N85" s="436"/>
      <c r="O85" s="436"/>
      <c r="P85" s="436"/>
      <c r="Q85" s="436"/>
      <c r="R85" s="436"/>
      <c r="S85" s="436"/>
    </row>
    <row r="86" spans="1:19" ht="15" x14ac:dyDescent="0.2">
      <c r="A86" s="505">
        <v>67</v>
      </c>
      <c r="B86" s="506">
        <f t="shared" ref="B86:B149" si="17">B85+1</f>
        <v>26</v>
      </c>
      <c r="C86" s="664">
        <f t="shared" si="14"/>
        <v>10021.862084936709</v>
      </c>
      <c r="D86" s="664">
        <f>IF(B86 &lt;= VLOOKUP(Main!$N$22,Coefficients!$E$2:$H$28,4,FALSE),E86,NA())</f>
        <v>10123.093015087585</v>
      </c>
      <c r="E86" s="507">
        <f>'4th Order Polynomial TMP vs Res'!$B$41+'4th Order Polynomial TMP vs Res'!$C$41*POWER(B86,1)+'4th Order Polynomial TMP vs Res'!$D$41*POWER(B86,2)+'4th Order Polynomial TMP vs Res'!$E$41*POWER(B86,3)+'4th Order Polynomial TMP vs Res'!$F$41*POWER(B86,4)</f>
        <v>10123.093015087585</v>
      </c>
      <c r="F86" s="664">
        <f t="shared" si="15"/>
        <v>10224.323945238461</v>
      </c>
      <c r="G86" s="665"/>
      <c r="H86" s="666"/>
      <c r="I86" s="436"/>
      <c r="J86" s="667">
        <f>'4th Order Polynomial TMP vs Res'!$I$41*E86^4 + '4th Order Polynomial TMP vs Res'!$J$41*E86^3 + '4th Order Polynomial TMP vs Res'!$K$41*E86^2 + '4th Order Polynomial TMP vs Res'!$L$41*E86 + '4th Order Polynomial TMP vs Res'!$M$41</f>
        <v>26.059370161714696</v>
      </c>
      <c r="K86" s="667">
        <f t="shared" si="16"/>
        <v>-5.9370161714696223E-2</v>
      </c>
      <c r="L86" s="436"/>
      <c r="M86" s="436"/>
      <c r="N86" s="436"/>
      <c r="O86" s="436"/>
      <c r="P86" s="436"/>
      <c r="Q86" s="436"/>
      <c r="R86" s="436"/>
      <c r="S86" s="436"/>
    </row>
    <row r="87" spans="1:19" ht="15" x14ac:dyDescent="0.2">
      <c r="A87" s="505">
        <v>68</v>
      </c>
      <c r="B87" s="506">
        <f t="shared" si="17"/>
        <v>27</v>
      </c>
      <c r="C87" s="664">
        <f t="shared" si="14"/>
        <v>10084.895191519556</v>
      </c>
      <c r="D87" s="664">
        <f>IF(B87 &lt;= VLOOKUP(Main!$N$22,Coefficients!$E$2:$H$28,4,FALSE),E87,NA())</f>
        <v>10186.762819716723</v>
      </c>
      <c r="E87" s="507">
        <f>'4th Order Polynomial TMP vs Res'!$B$41+'4th Order Polynomial TMP vs Res'!$C$41*POWER(B87,1)+'4th Order Polynomial TMP vs Res'!$D$41*POWER(B87,2)+'4th Order Polynomial TMP vs Res'!$E$41*POWER(B87,3)+'4th Order Polynomial TMP vs Res'!$F$41*POWER(B87,4)</f>
        <v>10186.762819716723</v>
      </c>
      <c r="F87" s="664">
        <f t="shared" si="15"/>
        <v>10288.630447913891</v>
      </c>
      <c r="G87" s="665"/>
      <c r="H87" s="666"/>
      <c r="I87" s="436"/>
      <c r="J87" s="667">
        <f>'4th Order Polynomial TMP vs Res'!$I$41*E87^4 + '4th Order Polynomial TMP vs Res'!$J$41*E87^3 + '4th Order Polynomial TMP vs Res'!$K$41*E87^2 + '4th Order Polynomial TMP vs Res'!$L$41*E87 + '4th Order Polynomial TMP vs Res'!$M$41</f>
        <v>27.059551507085928</v>
      </c>
      <c r="K87" s="667">
        <f t="shared" si="16"/>
        <v>-5.9551507085927824E-2</v>
      </c>
      <c r="L87" s="436"/>
      <c r="M87" s="436"/>
      <c r="N87" s="436"/>
      <c r="O87" s="436"/>
      <c r="P87" s="436"/>
      <c r="Q87" s="436"/>
      <c r="R87" s="436"/>
      <c r="S87" s="436"/>
    </row>
    <row r="88" spans="1:19" ht="15" x14ac:dyDescent="0.2">
      <c r="A88" s="505">
        <v>69</v>
      </c>
      <c r="B88" s="506">
        <f t="shared" si="17"/>
        <v>28</v>
      </c>
      <c r="C88" s="664">
        <f t="shared" si="14"/>
        <v>10148.24237385109</v>
      </c>
      <c r="D88" s="664">
        <f>IF(B88 &lt;= VLOOKUP(Main!$N$22,Coefficients!$E$2:$H$28,4,FALSE),E88,NA())</f>
        <v>10250.749872576858</v>
      </c>
      <c r="E88" s="507">
        <f>'4th Order Polynomial TMP vs Res'!$B$41+'4th Order Polynomial TMP vs Res'!$C$41*POWER(B88,1)+'4th Order Polynomial TMP vs Res'!$D$41*POWER(B88,2)+'4th Order Polynomial TMP vs Res'!$E$41*POWER(B88,3)+'4th Order Polynomial TMP vs Res'!$F$41*POWER(B88,4)</f>
        <v>10250.749872576858</v>
      </c>
      <c r="F88" s="664">
        <f t="shared" si="15"/>
        <v>10353.257371302627</v>
      </c>
      <c r="G88" s="665"/>
      <c r="H88" s="666"/>
      <c r="I88" s="436"/>
      <c r="J88" s="667">
        <f>'4th Order Polynomial TMP vs Res'!$I$41*E88^4 + '4th Order Polynomial TMP vs Res'!$J$41*E88^3 + '4th Order Polynomial TMP vs Res'!$K$41*E88^2 + '4th Order Polynomial TMP vs Res'!$L$41*E88 + '4th Order Polynomial TMP vs Res'!$M$41</f>
        <v>28.059474832212061</v>
      </c>
      <c r="K88" s="667">
        <f t="shared" si="16"/>
        <v>-5.9474832212060846E-2</v>
      </c>
      <c r="L88" s="436"/>
      <c r="M88" s="436"/>
      <c r="N88" s="436"/>
      <c r="O88" s="436"/>
      <c r="P88" s="436"/>
      <c r="Q88" s="436"/>
      <c r="R88" s="436"/>
      <c r="S88" s="436"/>
    </row>
    <row r="89" spans="1:19" ht="15" x14ac:dyDescent="0.2">
      <c r="A89" s="505">
        <v>70</v>
      </c>
      <c r="B89" s="506">
        <f t="shared" si="17"/>
        <v>29</v>
      </c>
      <c r="C89" s="664">
        <f t="shared" si="14"/>
        <v>10211.904154365933</v>
      </c>
      <c r="D89" s="664">
        <f>IF(B89 &lt;= VLOOKUP(Main!$N$22,Coefficients!$E$2:$H$28,4,FALSE),E89,NA())</f>
        <v>10315.054701379731</v>
      </c>
      <c r="E89" s="507">
        <f>'4th Order Polynomial TMP vs Res'!$B$41+'4th Order Polynomial TMP vs Res'!$C$41*POWER(B89,1)+'4th Order Polynomial TMP vs Res'!$D$41*POWER(B89,2)+'4th Order Polynomial TMP vs Res'!$E$41*POWER(B89,3)+'4th Order Polynomial TMP vs Res'!$F$41*POWER(B89,4)</f>
        <v>10315.054701379731</v>
      </c>
      <c r="F89" s="664">
        <f t="shared" si="15"/>
        <v>10418.205248393529</v>
      </c>
      <c r="G89" s="665"/>
      <c r="H89" s="666"/>
      <c r="I89" s="436"/>
      <c r="J89" s="667">
        <f>'4th Order Polynomial TMP vs Res'!$I$41*E89^4 + '4th Order Polynomial TMP vs Res'!$J$41*E89^3 + '4th Order Polynomial TMP vs Res'!$K$41*E89^2 + '4th Order Polynomial TMP vs Res'!$L$41*E89 + '4th Order Polynomial TMP vs Res'!$M$41</f>
        <v>29.059142976525834</v>
      </c>
      <c r="K89" s="667">
        <f t="shared" si="16"/>
        <v>-5.9142976525834001E-2</v>
      </c>
      <c r="L89" s="436"/>
      <c r="M89" s="436"/>
      <c r="N89" s="436"/>
      <c r="O89" s="436"/>
      <c r="P89" s="436"/>
      <c r="Q89" s="436"/>
      <c r="R89" s="436"/>
      <c r="S89" s="436"/>
    </row>
    <row r="90" spans="1:19" ht="15" x14ac:dyDescent="0.2">
      <c r="A90" s="505">
        <v>71</v>
      </c>
      <c r="B90" s="506">
        <f t="shared" si="17"/>
        <v>30</v>
      </c>
      <c r="C90" s="664">
        <f t="shared" si="14"/>
        <v>10275.881064154391</v>
      </c>
      <c r="D90" s="664">
        <f>IF(B90 &lt;= VLOOKUP(Main!$N$22,Coefficients!$E$2:$H$28,4,FALSE),E90,NA())</f>
        <v>10379.677842580193</v>
      </c>
      <c r="E90" s="507">
        <f>'4th Order Polynomial TMP vs Res'!$B$41+'4th Order Polynomial TMP vs Res'!$C$41*POWER(B90,1)+'4th Order Polynomial TMP vs Res'!$D$41*POWER(B90,2)+'4th Order Polynomial TMP vs Res'!$E$41*POWER(B90,3)+'4th Order Polynomial TMP vs Res'!$F$41*POWER(B90,4)</f>
        <v>10379.677842580193</v>
      </c>
      <c r="F90" s="664">
        <f t="shared" si="15"/>
        <v>10483.474621005995</v>
      </c>
      <c r="G90" s="665"/>
      <c r="H90" s="666"/>
      <c r="I90" s="436"/>
      <c r="J90" s="667">
        <f>'4th Order Polynomial TMP vs Res'!$I$41*E90^4 + '4th Order Polynomial TMP vs Res'!$J$41*E90^3 + '4th Order Polynomial TMP vs Res'!$K$41*E90^2 + '4th Order Polynomial TMP vs Res'!$L$41*E90 + '4th Order Polynomial TMP vs Res'!$M$41</f>
        <v>30.058559605365701</v>
      </c>
      <c r="K90" s="667">
        <f t="shared" si="16"/>
        <v>-5.8559605365701373E-2</v>
      </c>
      <c r="L90" s="436"/>
      <c r="M90" s="436"/>
      <c r="N90" s="436"/>
      <c r="O90" s="436"/>
      <c r="P90" s="436"/>
      <c r="Q90" s="436"/>
      <c r="R90" s="436"/>
      <c r="S90" s="436"/>
    </row>
    <row r="91" spans="1:19" ht="15" x14ac:dyDescent="0.2">
      <c r="A91" s="505">
        <v>72</v>
      </c>
      <c r="B91" s="506">
        <f t="shared" si="17"/>
        <v>31</v>
      </c>
      <c r="C91" s="664">
        <f t="shared" si="14"/>
        <v>10340.173642962412</v>
      </c>
      <c r="D91" s="664">
        <f>IF(B91 &lt;= VLOOKUP(Main!$N$22,Coefficients!$E$2:$H$28,4,FALSE),E91,NA())</f>
        <v>10444.619841376174</v>
      </c>
      <c r="E91" s="507">
        <f>'4th Order Polynomial TMP vs Res'!$B$41+'4th Order Polynomial TMP vs Res'!$C$41*POWER(B91,1)+'4th Order Polynomial TMP vs Res'!$D$41*POWER(B91,2)+'4th Order Polynomial TMP vs Res'!$E$41*POWER(B91,3)+'4th Order Polynomial TMP vs Res'!$F$41*POWER(B91,4)</f>
        <v>10444.619841376174</v>
      </c>
      <c r="F91" s="664">
        <f t="shared" si="15"/>
        <v>10549.066039789936</v>
      </c>
      <c r="G91" s="665"/>
      <c r="H91" s="666"/>
      <c r="I91" s="436"/>
      <c r="J91" s="667">
        <f>'4th Order Polynomial TMP vs Res'!$I$41*E91^4 + '4th Order Polynomial TMP vs Res'!$J$41*E91^3 + '4th Order Polynomial TMP vs Res'!$K$41*E91^2 + '4th Order Polynomial TMP vs Res'!$L$41*E91 + '4th Order Polynomial TMP vs Res'!$M$41</f>
        <v>31.057729191717328</v>
      </c>
      <c r="K91" s="667">
        <f t="shared" si="16"/>
        <v>-5.7729191717328376E-2</v>
      </c>
      <c r="L91" s="436"/>
      <c r="M91" s="436"/>
      <c r="N91" s="436"/>
      <c r="O91" s="436"/>
      <c r="P91" s="436"/>
      <c r="Q91" s="436"/>
      <c r="R91" s="436"/>
      <c r="S91" s="436"/>
    </row>
    <row r="92" spans="1:19" ht="15" x14ac:dyDescent="0.2">
      <c r="A92" s="505">
        <v>73</v>
      </c>
      <c r="B92" s="506">
        <f t="shared" si="17"/>
        <v>32</v>
      </c>
      <c r="C92" s="664">
        <f t="shared" si="14"/>
        <v>10404.782439191615</v>
      </c>
      <c r="D92" s="664">
        <f>IF(B92 &lt;= VLOOKUP(Main!$N$22,Coefficients!$E$2:$H$28,4,FALSE),E92,NA())</f>
        <v>10509.881251708703</v>
      </c>
      <c r="E92" s="507">
        <f>'4th Order Polynomial TMP vs Res'!$B$41+'4th Order Polynomial TMP vs Res'!$C$41*POWER(B92,1)+'4th Order Polynomial TMP vs Res'!$D$41*POWER(B92,2)+'4th Order Polynomial TMP vs Res'!$E$41*POWER(B92,3)+'4th Order Polynomial TMP vs Res'!$F$41*POWER(B92,4)</f>
        <v>10509.881251708703</v>
      </c>
      <c r="F92" s="664">
        <f t="shared" si="15"/>
        <v>10614.980064225791</v>
      </c>
      <c r="G92" s="665"/>
      <c r="H92" s="666"/>
      <c r="I92" s="436"/>
      <c r="J92" s="667">
        <f>'4th Order Polynomial TMP vs Res'!$I$41*E92^4 + '4th Order Polynomial TMP vs Res'!$J$41*E92^3 + '4th Order Polynomial TMP vs Res'!$K$41*E92^2 + '4th Order Polynomial TMP vs Res'!$L$41*E92 + '4th Order Polynomial TMP vs Res'!$M$41</f>
        <v>32.056656997188782</v>
      </c>
      <c r="K92" s="667">
        <f t="shared" si="16"/>
        <v>-5.6656997188781588E-2</v>
      </c>
      <c r="L92" s="436"/>
      <c r="M92" s="436"/>
      <c r="N92" s="436"/>
      <c r="O92" s="436"/>
      <c r="P92" s="436"/>
      <c r="Q92" s="436"/>
      <c r="R92" s="436"/>
      <c r="S92" s="436"/>
    </row>
    <row r="93" spans="1:19" ht="15" x14ac:dyDescent="0.2">
      <c r="A93" s="505">
        <v>74</v>
      </c>
      <c r="B93" s="506">
        <f t="shared" si="17"/>
        <v>33</v>
      </c>
      <c r="C93" s="664">
        <f t="shared" si="14"/>
        <v>10469.708009899281</v>
      </c>
      <c r="D93" s="664">
        <f>IF(B93 &lt;= VLOOKUP(Main!$N$22,Coefficients!$E$2:$H$28,4,FALSE),E93,NA())</f>
        <v>10575.4626362619</v>
      </c>
      <c r="E93" s="507">
        <f>'4th Order Polynomial TMP vs Res'!$B$41+'4th Order Polynomial TMP vs Res'!$C$41*POWER(B93,1)+'4th Order Polynomial TMP vs Res'!$D$41*POWER(B93,2)+'4th Order Polynomial TMP vs Res'!$E$41*POWER(B93,3)+'4th Order Polynomial TMP vs Res'!$F$41*POWER(B93,4)</f>
        <v>10575.4626362619</v>
      </c>
      <c r="F93" s="664">
        <f t="shared" si="15"/>
        <v>10681.217262624519</v>
      </c>
      <c r="G93" s="665"/>
      <c r="H93" s="666"/>
      <c r="I93" s="436"/>
      <c r="J93" s="667">
        <f>'4th Order Polynomial TMP vs Res'!$I$41*E93^4 + '4th Order Polynomial TMP vs Res'!$J$41*E93^3 + '4th Order Polynomial TMP vs Res'!$K$41*E93^2 + '4th Order Polynomial TMP vs Res'!$L$41*E93 + '4th Order Polynomial TMP vs Res'!$M$41</f>
        <v>33.055349052205031</v>
      </c>
      <c r="K93" s="667">
        <f t="shared" si="16"/>
        <v>-5.5349052205031057E-2</v>
      </c>
      <c r="L93" s="436"/>
      <c r="M93" s="436"/>
      <c r="N93" s="436"/>
      <c r="O93" s="436"/>
      <c r="P93" s="436"/>
      <c r="Q93" s="436"/>
      <c r="R93" s="436"/>
      <c r="S93" s="436"/>
    </row>
    <row r="94" spans="1:19" ht="15" x14ac:dyDescent="0.2">
      <c r="A94" s="505">
        <v>75</v>
      </c>
      <c r="B94" s="506">
        <f t="shared" si="17"/>
        <v>34</v>
      </c>
      <c r="C94" s="664">
        <f t="shared" si="14"/>
        <v>10534.950920798343</v>
      </c>
      <c r="D94" s="664">
        <f>IF(B94 &lt;= VLOOKUP(Main!$N$22,Coefficients!$E$2:$H$28,4,FALSE),E94,NA())</f>
        <v>10641.364566462973</v>
      </c>
      <c r="E94" s="507">
        <f>'4th Order Polynomial TMP vs Res'!$B$41+'4th Order Polynomial TMP vs Res'!$C$41*POWER(B94,1)+'4th Order Polynomial TMP vs Res'!$D$41*POWER(B94,2)+'4th Order Polynomial TMP vs Res'!$E$41*POWER(B94,3)+'4th Order Polynomial TMP vs Res'!$F$41*POWER(B94,4)</f>
        <v>10641.364566462973</v>
      </c>
      <c r="F94" s="664">
        <f t="shared" si="15"/>
        <v>10747.778212127603</v>
      </c>
      <c r="G94" s="665"/>
      <c r="H94" s="666"/>
      <c r="I94" s="436"/>
      <c r="J94" s="667">
        <f>'4th Order Polynomial TMP vs Res'!$I$41*E94^4 + '4th Order Polynomial TMP vs Res'!$J$41*E94^3 + '4th Order Polynomial TMP vs Res'!$K$41*E94^2 + '4th Order Polynomial TMP vs Res'!$L$41*E94 + '4th Order Polynomial TMP vs Res'!$M$41</f>
        <v>34.053812135401188</v>
      </c>
      <c r="K94" s="667">
        <f t="shared" si="16"/>
        <v>-5.3812135401187788E-2</v>
      </c>
      <c r="L94" s="436"/>
      <c r="M94" s="436"/>
      <c r="N94" s="436"/>
      <c r="O94" s="436"/>
      <c r="P94" s="436"/>
      <c r="Q94" s="436"/>
      <c r="R94" s="436"/>
      <c r="S94" s="436"/>
    </row>
    <row r="95" spans="1:19" ht="15" x14ac:dyDescent="0.2">
      <c r="A95" s="505">
        <v>76</v>
      </c>
      <c r="B95" s="506">
        <f t="shared" si="17"/>
        <v>35</v>
      </c>
      <c r="C95" s="664">
        <f t="shared" si="14"/>
        <v>10600.511746257409</v>
      </c>
      <c r="D95" s="664">
        <f>IF(B95 &lt;= VLOOKUP(Main!$N$22,Coefficients!$E$2:$H$28,4,FALSE),E95,NA())</f>
        <v>10707.587622482231</v>
      </c>
      <c r="E95" s="507">
        <f>'4th Order Polynomial TMP vs Res'!$B$41+'4th Order Polynomial TMP vs Res'!$C$41*POWER(B95,1)+'4th Order Polynomial TMP vs Res'!$D$41*POWER(B95,2)+'4th Order Polynomial TMP vs Res'!$E$41*POWER(B95,3)+'4th Order Polynomial TMP vs Res'!$F$41*POWER(B95,4)</f>
        <v>10707.587622482231</v>
      </c>
      <c r="F95" s="664">
        <f t="shared" si="15"/>
        <v>10814.663498707054</v>
      </c>
      <c r="G95" s="665"/>
      <c r="H95" s="666"/>
      <c r="I95" s="436"/>
      <c r="J95" s="667">
        <f>'4th Order Polynomial TMP vs Res'!$I$41*E95^4 + '4th Order Polynomial TMP vs Res'!$J$41*E95^3 + '4th Order Polynomial TMP vs Res'!$K$41*E95^2 + '4th Order Polynomial TMP vs Res'!$L$41*E95 + '4th Order Polynomial TMP vs Res'!$M$41</f>
        <v>35.052053752197764</v>
      </c>
      <c r="K95" s="667">
        <f t="shared" si="16"/>
        <v>-5.2053752197764425E-2</v>
      </c>
      <c r="L95" s="436"/>
      <c r="M95" s="436"/>
      <c r="N95" s="436"/>
      <c r="O95" s="436"/>
      <c r="P95" s="436"/>
      <c r="Q95" s="436"/>
      <c r="R95" s="436"/>
      <c r="S95" s="436"/>
    </row>
    <row r="96" spans="1:19" ht="15" x14ac:dyDescent="0.2">
      <c r="A96" s="505">
        <v>77</v>
      </c>
      <c r="B96" s="506">
        <f t="shared" si="17"/>
        <v>36</v>
      </c>
      <c r="C96" s="664">
        <f t="shared" si="14"/>
        <v>10666.391069300736</v>
      </c>
      <c r="D96" s="664">
        <f>IF(B96 &lt;= VLOOKUP(Main!$N$22,Coefficients!$E$2:$H$28,4,FALSE),E96,NA())</f>
        <v>10774.132393233067</v>
      </c>
      <c r="E96" s="507">
        <f>'4th Order Polynomial TMP vs Res'!$B$41+'4th Order Polynomial TMP vs Res'!$C$41*POWER(B96,1)+'4th Order Polynomial TMP vs Res'!$D$41*POWER(B96,2)+'4th Order Polynomial TMP vs Res'!$E$41*POWER(B96,3)+'4th Order Polynomial TMP vs Res'!$F$41*POWER(B96,4)</f>
        <v>10774.132393233067</v>
      </c>
      <c r="F96" s="664">
        <f t="shared" si="15"/>
        <v>10881.873717165397</v>
      </c>
      <c r="G96" s="665"/>
      <c r="H96" s="666"/>
      <c r="I96" s="436"/>
      <c r="J96" s="667">
        <f>'4th Order Polynomial TMP vs Res'!$I$41*E96^4 + '4th Order Polynomial TMP vs Res'!$J$41*E96^3 + '4th Order Polynomial TMP vs Res'!$K$41*E96^2 + '4th Order Polynomial TMP vs Res'!$L$41*E96 + '4th Order Polynomial TMP vs Res'!$M$41</f>
        <v>36.050082112538746</v>
      </c>
      <c r="K96" s="667">
        <f t="shared" si="16"/>
        <v>-5.008211253874606E-2</v>
      </c>
      <c r="L96" s="436"/>
      <c r="M96" s="436"/>
      <c r="N96" s="436"/>
      <c r="O96" s="436"/>
      <c r="P96" s="436"/>
      <c r="Q96" s="436"/>
      <c r="R96" s="436"/>
      <c r="S96" s="436"/>
    </row>
    <row r="97" spans="1:19" ht="15" x14ac:dyDescent="0.2">
      <c r="A97" s="505">
        <v>78</v>
      </c>
      <c r="B97" s="506">
        <f t="shared" si="17"/>
        <v>37</v>
      </c>
      <c r="C97" s="664">
        <f t="shared" si="14"/>
        <v>10732.589481608251</v>
      </c>
      <c r="D97" s="664">
        <f>IF(B97 &lt;= VLOOKUP(Main!$N$22,Coefficients!$E$2:$H$28,4,FALSE),E97,NA())</f>
        <v>10840.999476371971</v>
      </c>
      <c r="E97" s="507">
        <f>'4th Order Polynomial TMP vs Res'!$B$41+'4th Order Polynomial TMP vs Res'!$C$41*POWER(B97,1)+'4th Order Polynomial TMP vs Res'!$D$41*POWER(B97,2)+'4th Order Polynomial TMP vs Res'!$E$41*POWER(B97,3)+'4th Order Polynomial TMP vs Res'!$F$41*POWER(B97,4)</f>
        <v>10840.999476371971</v>
      </c>
      <c r="F97" s="664">
        <f t="shared" si="15"/>
        <v>10949.409471135692</v>
      </c>
      <c r="G97" s="665"/>
      <c r="H97" s="666"/>
      <c r="I97" s="436"/>
      <c r="J97" s="667">
        <f>'4th Order Polynomial TMP vs Res'!$I$41*E97^4 + '4th Order Polynomial TMP vs Res'!$J$41*E97^3 + '4th Order Polynomial TMP vs Res'!$K$41*E97^2 + '4th Order Polynomial TMP vs Res'!$L$41*E97 + '4th Order Polynomial TMP vs Res'!$M$41</f>
        <v>37.04790610777286</v>
      </c>
      <c r="K97" s="667">
        <f t="shared" si="16"/>
        <v>-4.7906107772860196E-2</v>
      </c>
      <c r="L97" s="436"/>
      <c r="M97" s="436"/>
      <c r="N97" s="436"/>
      <c r="O97" s="436"/>
      <c r="P97" s="436"/>
      <c r="Q97" s="436"/>
      <c r="R97" s="436"/>
      <c r="S97" s="436"/>
    </row>
    <row r="98" spans="1:19" ht="15" x14ac:dyDescent="0.2">
      <c r="A98" s="505">
        <v>79</v>
      </c>
      <c r="B98" s="506">
        <f t="shared" si="17"/>
        <v>38</v>
      </c>
      <c r="C98" s="664">
        <f t="shared" si="14"/>
        <v>10799.107583515541</v>
      </c>
      <c r="D98" s="664">
        <f>IF(B98 &lt;= VLOOKUP(Main!$N$22,Coefficients!$E$2:$H$28,4,FALSE),E98,NA())</f>
        <v>10908.189478298526</v>
      </c>
      <c r="E98" s="507">
        <f>'4th Order Polynomial TMP vs Res'!$B$41+'4th Order Polynomial TMP vs Res'!$C$41*POWER(B98,1)+'4th Order Polynomial TMP vs Res'!$D$41*POWER(B98,2)+'4th Order Polynomial TMP vs Res'!$E$41*POWER(B98,3)+'4th Order Polynomial TMP vs Res'!$F$41*POWER(B98,4)</f>
        <v>10908.189478298526</v>
      </c>
      <c r="F98" s="664">
        <f t="shared" si="15"/>
        <v>11017.27137308151</v>
      </c>
      <c r="G98" s="665"/>
      <c r="H98" s="666"/>
      <c r="I98" s="436"/>
      <c r="J98" s="667">
        <f>'4th Order Polynomial TMP vs Res'!$I$41*E98^4 + '4th Order Polynomial TMP vs Res'!$J$41*E98^3 + '4th Order Polynomial TMP vs Res'!$K$41*E98^2 + '4th Order Polynomial TMP vs Res'!$L$41*E98 + '4th Order Polynomial TMP vs Res'!$M$41</f>
        <v>38.045535286658776</v>
      </c>
      <c r="K98" s="667">
        <f t="shared" si="16"/>
        <v>-4.5535286658775931E-2</v>
      </c>
      <c r="L98" s="436"/>
      <c r="M98" s="436"/>
      <c r="N98" s="436"/>
      <c r="O98" s="436"/>
      <c r="P98" s="436"/>
      <c r="Q98" s="436"/>
      <c r="R98" s="436"/>
      <c r="S98" s="436"/>
    </row>
    <row r="99" spans="1:19" ht="15" x14ac:dyDescent="0.2">
      <c r="A99" s="505">
        <v>80</v>
      </c>
      <c r="B99" s="506">
        <f t="shared" si="17"/>
        <v>39</v>
      </c>
      <c r="C99" s="664">
        <f t="shared" si="14"/>
        <v>10865.945984013844</v>
      </c>
      <c r="D99" s="664">
        <f>IF(B99 &lt;= VLOOKUP(Main!$N$22,Coefficients!$E$2:$H$28,4,FALSE),E99,NA())</f>
        <v>10975.703014155399</v>
      </c>
      <c r="E99" s="507">
        <f>'4th Order Polynomial TMP vs Res'!$B$41+'4th Order Polynomial TMP vs Res'!$C$41*POWER(B99,1)+'4th Order Polynomial TMP vs Res'!$D$41*POWER(B99,2)+'4th Order Polynomial TMP vs Res'!$E$41*POWER(B99,3)+'4th Order Polynomial TMP vs Res'!$F$41*POWER(B99,4)</f>
        <v>10975.703014155399</v>
      </c>
      <c r="F99" s="664">
        <f t="shared" si="15"/>
        <v>11085.460044296953</v>
      </c>
      <c r="G99" s="665"/>
      <c r="H99" s="666"/>
      <c r="I99" s="436"/>
      <c r="J99" s="667">
        <f>'4th Order Polynomial TMP vs Res'!$I$41*E99^4 + '4th Order Polynomial TMP vs Res'!$J$41*E99^3 + '4th Order Polynomial TMP vs Res'!$K$41*E99^2 + '4th Order Polynomial TMP vs Res'!$L$41*E99 + '4th Order Polynomial TMP vs Res'!$M$41</f>
        <v>39.042979830474053</v>
      </c>
      <c r="K99" s="667">
        <f t="shared" si="16"/>
        <v>-4.297983047405296E-2</v>
      </c>
      <c r="L99" s="436"/>
      <c r="M99" s="436"/>
      <c r="N99" s="436"/>
      <c r="O99" s="436"/>
      <c r="P99" s="436"/>
      <c r="Q99" s="436"/>
      <c r="R99" s="436"/>
      <c r="S99" s="436"/>
    </row>
    <row r="100" spans="1:19" ht="15" x14ac:dyDescent="0.2">
      <c r="A100" s="505">
        <v>81</v>
      </c>
      <c r="B100" s="506">
        <f t="shared" si="17"/>
        <v>40</v>
      </c>
      <c r="C100" s="664">
        <f t="shared" si="14"/>
        <v>10933.105300750083</v>
      </c>
      <c r="D100" s="664">
        <f>IF(B100 &lt;= VLOOKUP(Main!$N$22,Coefficients!$E$2:$H$28,4,FALSE),E100,NA())</f>
        <v>11043.540707828366</v>
      </c>
      <c r="E100" s="507">
        <f>'4th Order Polynomial TMP vs Res'!$B$41+'4th Order Polynomial TMP vs Res'!$C$41*POWER(B100,1)+'4th Order Polynomial TMP vs Res'!$D$41*POWER(B100,2)+'4th Order Polynomial TMP vs Res'!$E$41*POWER(B100,3)+'4th Order Polynomial TMP vs Res'!$F$41*POWER(B100,4)</f>
        <v>11043.540707828366</v>
      </c>
      <c r="F100" s="664">
        <f t="shared" si="15"/>
        <v>11153.976114906649</v>
      </c>
      <c r="G100" s="665"/>
      <c r="H100" s="666"/>
      <c r="I100" s="436"/>
      <c r="J100" s="667">
        <f>'4th Order Polynomial TMP vs Res'!$I$41*E100^4 + '4th Order Polynomial TMP vs Res'!$J$41*E100^3 + '4th Order Polynomial TMP vs Res'!$K$41*E100^2 + '4th Order Polynomial TMP vs Res'!$L$41*E100 + '4th Order Polynomial TMP vs Res'!$M$41</f>
        <v>40.040250527207377</v>
      </c>
      <c r="K100" s="667">
        <f t="shared" si="16"/>
        <v>-4.0250527207376763E-2</v>
      </c>
      <c r="L100" s="436"/>
      <c r="M100" s="436"/>
      <c r="N100" s="436"/>
      <c r="O100" s="436"/>
      <c r="P100" s="436"/>
      <c r="Q100" s="436"/>
      <c r="R100" s="436"/>
      <c r="S100" s="436"/>
    </row>
    <row r="101" spans="1:19" ht="15" x14ac:dyDescent="0.2">
      <c r="A101" s="505">
        <v>82</v>
      </c>
      <c r="B101" s="506">
        <f t="shared" si="17"/>
        <v>41</v>
      </c>
      <c r="C101" s="664">
        <f t="shared" si="14"/>
        <v>11000.586160026814</v>
      </c>
      <c r="D101" s="664">
        <f>IF(B101 &lt;= VLOOKUP(Main!$N$22,Coefficients!$E$2:$H$28,4,FALSE),E101,NA())</f>
        <v>11111.703191946277</v>
      </c>
      <c r="E101" s="507">
        <f>'4th Order Polynomial TMP vs Res'!$B$41+'4th Order Polynomial TMP vs Res'!$C$41*POWER(B101,1)+'4th Order Polynomial TMP vs Res'!$D$41*POWER(B101,2)+'4th Order Polynomial TMP vs Res'!$E$41*POWER(B101,3)+'4th Order Polynomial TMP vs Res'!$F$41*POWER(B101,4)</f>
        <v>11111.703191946277</v>
      </c>
      <c r="F101" s="664">
        <f t="shared" si="15"/>
        <v>11222.82022386574</v>
      </c>
      <c r="G101" s="665"/>
      <c r="H101" s="666"/>
      <c r="I101" s="436"/>
      <c r="J101" s="667">
        <f>'4th Order Polynomial TMP vs Res'!$I$41*E101^4 + '4th Order Polynomial TMP vs Res'!$J$41*E101^3 + '4th Order Polynomial TMP vs Res'!$K$41*E101^2 + '4th Order Polynomial TMP vs Res'!$L$41*E101 + '4th Order Polynomial TMP vs Res'!$M$41</f>
        <v>41.037358744811229</v>
      </c>
      <c r="K101" s="667">
        <f t="shared" si="16"/>
        <v>-3.7358744811228917E-2</v>
      </c>
      <c r="L101" s="436"/>
      <c r="M101" s="436"/>
      <c r="N101" s="436"/>
      <c r="O101" s="436"/>
      <c r="P101" s="436"/>
      <c r="Q101" s="436"/>
      <c r="R101" s="436"/>
      <c r="S101" s="436"/>
    </row>
    <row r="102" spans="1:19" ht="15" x14ac:dyDescent="0.2">
      <c r="A102" s="505">
        <v>83</v>
      </c>
      <c r="B102" s="506">
        <f t="shared" si="17"/>
        <v>42</v>
      </c>
      <c r="C102" s="664">
        <f t="shared" si="14"/>
        <v>11068.389196802271</v>
      </c>
      <c r="D102" s="664">
        <f>IF(B102 &lt;= VLOOKUP(Main!$N$22,Coefficients!$E$2:$H$28,4,FALSE),E102,NA())</f>
        <v>11180.191107881083</v>
      </c>
      <c r="E102" s="507">
        <f>'4th Order Polynomial TMP vs Res'!$B$41+'4th Order Polynomial TMP vs Res'!$C$41*POWER(B102,1)+'4th Order Polynomial TMP vs Res'!$D$41*POWER(B102,2)+'4th Order Polynomial TMP vs Res'!$E$41*POWER(B102,3)+'4th Order Polynomial TMP vs Res'!$F$41*POWER(B102,4)</f>
        <v>11180.191107881083</v>
      </c>
      <c r="F102" s="664">
        <f t="shared" si="15"/>
        <v>11291.993018959894</v>
      </c>
      <c r="G102" s="665"/>
      <c r="H102" s="666"/>
      <c r="I102" s="436"/>
      <c r="J102" s="667">
        <f>'4th Order Polynomial TMP vs Res'!$I$41*E102^4 + '4th Order Polynomial TMP vs Res'!$J$41*E102^3 + '4th Order Polynomial TMP vs Res'!$K$41*E102^2 + '4th Order Polynomial TMP vs Res'!$L$41*E102 + '4th Order Polynomial TMP vs Res'!$M$41</f>
        <v>42.034316403497371</v>
      </c>
      <c r="K102" s="667">
        <f t="shared" si="16"/>
        <v>-3.4316403497371084E-2</v>
      </c>
      <c r="L102" s="436"/>
      <c r="M102" s="436"/>
      <c r="N102" s="436"/>
      <c r="O102" s="436"/>
      <c r="P102" s="436"/>
      <c r="Q102" s="436"/>
      <c r="R102" s="436"/>
      <c r="S102" s="436"/>
    </row>
    <row r="103" spans="1:19" ht="15" x14ac:dyDescent="0.2">
      <c r="A103" s="505">
        <v>84</v>
      </c>
      <c r="B103" s="506">
        <f t="shared" si="17"/>
        <v>43</v>
      </c>
      <c r="C103" s="664">
        <f t="shared" si="14"/>
        <v>11136.515054690353</v>
      </c>
      <c r="D103" s="664">
        <f>IF(B103 &lt;= VLOOKUP(Main!$N$22,Coefficients!$E$2:$H$28,4,FALSE),E103,NA())</f>
        <v>11249.005105747832</v>
      </c>
      <c r="E103" s="507">
        <f>'4th Order Polynomial TMP vs Res'!$B$41+'4th Order Polynomial TMP vs Res'!$C$41*POWER(B103,1)+'4th Order Polynomial TMP vs Res'!$D$41*POWER(B103,2)+'4th Order Polynomial TMP vs Res'!$E$41*POWER(B103,3)+'4th Order Polynomial TMP vs Res'!$F$41*POWER(B103,4)</f>
        <v>11249.005105747832</v>
      </c>
      <c r="F103" s="664">
        <f t="shared" si="15"/>
        <v>11361.495156805311</v>
      </c>
      <c r="G103" s="665"/>
      <c r="H103" s="666"/>
      <c r="I103" s="436"/>
      <c r="J103" s="667">
        <f>'4th Order Polynomial TMP vs Res'!$I$41*E103^4 + '4th Order Polynomial TMP vs Res'!$J$41*E103^3 + '4th Order Polynomial TMP vs Res'!$K$41*E103^2 + '4th Order Polynomial TMP vs Res'!$L$41*E103 + '4th Order Polynomial TMP vs Res'!$M$41</f>
        <v>43.031135947047744</v>
      </c>
      <c r="K103" s="667">
        <f t="shared" si="16"/>
        <v>-3.1135947047744139E-2</v>
      </c>
      <c r="L103" s="436"/>
      <c r="M103" s="436"/>
      <c r="N103" s="436"/>
      <c r="O103" s="436"/>
      <c r="P103" s="436"/>
      <c r="Q103" s="436"/>
      <c r="R103" s="436"/>
      <c r="S103" s="436"/>
    </row>
    <row r="104" spans="1:19" ht="15" x14ac:dyDescent="0.2">
      <c r="A104" s="505">
        <v>85</v>
      </c>
      <c r="B104" s="506">
        <f t="shared" si="17"/>
        <v>44</v>
      </c>
      <c r="C104" s="664">
        <f t="shared" si="14"/>
        <v>11204.964385960609</v>
      </c>
      <c r="D104" s="664">
        <f>IF(B104 &lt;= VLOOKUP(Main!$N$22,Coefficients!$E$2:$H$28,4,FALSE),E104,NA())</f>
        <v>11318.145844404657</v>
      </c>
      <c r="E104" s="507">
        <f>'4th Order Polynomial TMP vs Res'!$B$41+'4th Order Polynomial TMP vs Res'!$C$41*POWER(B104,1)+'4th Order Polynomial TMP vs Res'!$D$41*POWER(B104,2)+'4th Order Polynomial TMP vs Res'!$E$41*POWER(B104,3)+'4th Order Polynomial TMP vs Res'!$F$41*POWER(B104,4)</f>
        <v>11318.145844404657</v>
      </c>
      <c r="F104" s="664">
        <f t="shared" si="15"/>
        <v>11431.327302848704</v>
      </c>
      <c r="G104" s="665"/>
      <c r="H104" s="666"/>
      <c r="I104" s="436"/>
      <c r="J104" s="667">
        <f>'4th Order Polynomial TMP vs Res'!$I$41*E104^4 + '4th Order Polynomial TMP vs Res'!$J$41*E104^3 + '4th Order Polynomial TMP vs Res'!$K$41*E104^2 + '4th Order Polynomial TMP vs Res'!$L$41*E104 + '4th Order Polynomial TMP vs Res'!$M$41</f>
        <v>44.02783031312282</v>
      </c>
      <c r="K104" s="667">
        <f t="shared" si="16"/>
        <v>-2.7830313122819916E-2</v>
      </c>
      <c r="L104" s="436"/>
      <c r="M104" s="436"/>
      <c r="N104" s="436"/>
      <c r="O104" s="436"/>
      <c r="P104" s="436"/>
      <c r="Q104" s="436"/>
      <c r="R104" s="436"/>
      <c r="S104" s="436"/>
    </row>
    <row r="105" spans="1:19" ht="15" x14ac:dyDescent="0.2">
      <c r="A105" s="505">
        <v>86</v>
      </c>
      <c r="B105" s="506">
        <f t="shared" si="17"/>
        <v>45</v>
      </c>
      <c r="C105" s="664">
        <f t="shared" si="14"/>
        <v>11273.737851538255</v>
      </c>
      <c r="D105" s="664">
        <f>IF(B105 &lt;= VLOOKUP(Main!$N$22,Coefficients!$E$2:$H$28,4,FALSE),E105,NA())</f>
        <v>11387.613991452783</v>
      </c>
      <c r="E105" s="507">
        <f>'4th Order Polynomial TMP vs Res'!$B$41+'4th Order Polynomial TMP vs Res'!$C$41*POWER(B105,1)+'4th Order Polynomial TMP vs Res'!$D$41*POWER(B105,2)+'4th Order Polynomial TMP vs Res'!$E$41*POWER(B105,3)+'4th Order Polynomial TMP vs Res'!$F$41*POWER(B105,4)</f>
        <v>11387.613991452783</v>
      </c>
      <c r="F105" s="664">
        <f t="shared" si="15"/>
        <v>11501.490131367311</v>
      </c>
      <c r="G105" s="665"/>
      <c r="H105" s="666"/>
      <c r="I105" s="436"/>
      <c r="J105" s="667">
        <f>'4th Order Polynomial TMP vs Res'!$I$41*E105^4 + '4th Order Polynomial TMP vs Res'!$J$41*E105^3 + '4th Order Polynomial TMP vs Res'!$K$41*E105^2 + '4th Order Polynomial TMP vs Res'!$L$41*E105 + '4th Order Polynomial TMP vs Res'!$M$41</f>
        <v>45.02441290254103</v>
      </c>
      <c r="K105" s="667">
        <f t="shared" si="16"/>
        <v>-2.4412902541030235E-2</v>
      </c>
      <c r="L105" s="436"/>
      <c r="M105" s="436"/>
      <c r="N105" s="436"/>
      <c r="O105" s="436"/>
      <c r="P105" s="436"/>
      <c r="Q105" s="436"/>
      <c r="R105" s="436"/>
      <c r="S105" s="436"/>
    </row>
    <row r="106" spans="1:19" ht="15" x14ac:dyDescent="0.2">
      <c r="A106" s="505">
        <v>87</v>
      </c>
      <c r="B106" s="506">
        <f t="shared" si="17"/>
        <v>46</v>
      </c>
      <c r="C106" s="664">
        <f t="shared" si="14"/>
        <v>11342.836121004168</v>
      </c>
      <c r="D106" s="664">
        <f>IF(B106 &lt;= VLOOKUP(Main!$N$22,Coefficients!$E$2:$H$28,4,FALSE),E106,NA())</f>
        <v>11457.410223236533</v>
      </c>
      <c r="E106" s="507">
        <f>'4th Order Polynomial TMP vs Res'!$B$41+'4th Order Polynomial TMP vs Res'!$C$41*POWER(B106,1)+'4th Order Polynomial TMP vs Res'!$D$41*POWER(B106,2)+'4th Order Polynomial TMP vs Res'!$E$41*POWER(B106,3)+'4th Order Polynomial TMP vs Res'!$F$41*POWER(B106,4)</f>
        <v>11457.410223236533</v>
      </c>
      <c r="F106" s="664">
        <f t="shared" si="15"/>
        <v>11571.984325468899</v>
      </c>
      <c r="G106" s="665"/>
      <c r="H106" s="666"/>
      <c r="I106" s="436"/>
      <c r="J106" s="667">
        <f>'4th Order Polynomial TMP vs Res'!$I$41*E106^4 + '4th Order Polynomial TMP vs Res'!$J$41*E106^3 + '4th Order Polynomial TMP vs Res'!$K$41*E106^2 + '4th Order Polynomial TMP vs Res'!$L$41*E106 + '4th Order Polynomial TMP vs Res'!$M$41</f>
        <v>46.020897547507786</v>
      </c>
      <c r="K106" s="667">
        <f t="shared" si="16"/>
        <v>-2.0897547507786385E-2</v>
      </c>
      <c r="L106" s="436"/>
      <c r="M106" s="436"/>
      <c r="N106" s="436"/>
      <c r="O106" s="436"/>
      <c r="P106" s="436"/>
      <c r="Q106" s="436"/>
      <c r="R106" s="436"/>
      <c r="S106" s="436"/>
    </row>
    <row r="107" spans="1:19" ht="15" x14ac:dyDescent="0.2">
      <c r="A107" s="505">
        <v>88</v>
      </c>
      <c r="B107" s="506">
        <f t="shared" si="17"/>
        <v>47</v>
      </c>
      <c r="C107" s="664">
        <f t="shared" si="14"/>
        <v>11412.259872594886</v>
      </c>
      <c r="D107" s="664">
        <f>IF(B107 &lt;= VLOOKUP(Main!$N$22,Coefficients!$E$2:$H$28,4,FALSE),E107,NA())</f>
        <v>11527.535224843319</v>
      </c>
      <c r="E107" s="507">
        <f>'4th Order Polynomial TMP vs Res'!$B$41+'4th Order Polynomial TMP vs Res'!$C$41*POWER(B107,1)+'4th Order Polynomial TMP vs Res'!$D$41*POWER(B107,2)+'4th Order Polynomial TMP vs Res'!$E$41*POWER(B107,3)+'4th Order Polynomial TMP vs Res'!$F$41*POWER(B107,4)</f>
        <v>11527.535224843319</v>
      </c>
      <c r="F107" s="664">
        <f t="shared" si="15"/>
        <v>11642.810577091752</v>
      </c>
      <c r="G107" s="665"/>
      <c r="H107" s="666"/>
      <c r="I107" s="436"/>
      <c r="J107" s="667">
        <f>'4th Order Polynomial TMP vs Res'!$I$41*E107^4 + '4th Order Polynomial TMP vs Res'!$J$41*E107^3 + '4th Order Polynomial TMP vs Res'!$K$41*E107^2 + '4th Order Polynomial TMP vs Res'!$L$41*E107 + '4th Order Polynomial TMP vs Res'!$M$41</f>
        <v>47.017298478768055</v>
      </c>
      <c r="K107" s="667">
        <f t="shared" si="16"/>
        <v>-1.7298478768054792E-2</v>
      </c>
      <c r="L107" s="436"/>
      <c r="M107" s="436"/>
      <c r="N107" s="436"/>
      <c r="O107" s="436"/>
      <c r="P107" s="436"/>
      <c r="Q107" s="436"/>
      <c r="R107" s="436"/>
      <c r="S107" s="436"/>
    </row>
    <row r="108" spans="1:19" ht="15" x14ac:dyDescent="0.2">
      <c r="A108" s="505">
        <v>89</v>
      </c>
      <c r="B108" s="506">
        <f t="shared" si="17"/>
        <v>48</v>
      </c>
      <c r="C108" s="664">
        <f t="shared" si="14"/>
        <v>11482.009793202604</v>
      </c>
      <c r="D108" s="664">
        <f>IF(B108 &lt;= VLOOKUP(Main!$N$22,Coefficients!$E$2:$H$28,4,FALSE),E108,NA())</f>
        <v>11597.989690103641</v>
      </c>
      <c r="E108" s="507">
        <f>'4th Order Polynomial TMP vs Res'!$B$41+'4th Order Polynomial TMP vs Res'!$C$41*POWER(B108,1)+'4th Order Polynomial TMP vs Res'!$D$41*POWER(B108,2)+'4th Order Polynomial TMP vs Res'!$E$41*POWER(B108,3)+'4th Order Polynomial TMP vs Res'!$F$41*POWER(B108,4)</f>
        <v>11597.989690103641</v>
      </c>
      <c r="F108" s="664">
        <f t="shared" si="15"/>
        <v>11713.969587004678</v>
      </c>
      <c r="G108" s="665"/>
      <c r="H108" s="666"/>
      <c r="I108" s="436"/>
      <c r="J108" s="667">
        <f>'4th Order Polynomial TMP vs Res'!$I$41*E108^4 + '4th Order Polynomial TMP vs Res'!$J$41*E108^3 + '4th Order Polynomial TMP vs Res'!$K$41*E108^2 + '4th Order Polynomial TMP vs Res'!$L$41*E108 + '4th Order Polynomial TMP vs Res'!$M$41</f>
        <v>48.013630291658671</v>
      </c>
      <c r="K108" s="667">
        <f t="shared" si="16"/>
        <v>-1.3630291658671467E-2</v>
      </c>
      <c r="L108" s="436"/>
      <c r="M108" s="436"/>
      <c r="N108" s="436"/>
      <c r="O108" s="436"/>
      <c r="P108" s="436"/>
      <c r="Q108" s="436"/>
      <c r="R108" s="436"/>
      <c r="S108" s="436"/>
    </row>
    <row r="109" spans="1:19" ht="15" x14ac:dyDescent="0.2">
      <c r="A109" s="505">
        <v>90</v>
      </c>
      <c r="B109" s="506">
        <f t="shared" si="17"/>
        <v>49</v>
      </c>
      <c r="C109" s="664">
        <f t="shared" si="14"/>
        <v>11552.086578375191</v>
      </c>
      <c r="D109" s="664">
        <f>IF(B109 &lt;= VLOOKUP(Main!$N$22,Coefficients!$E$2:$H$28,4,FALSE),E109,NA())</f>
        <v>11668.774321591101</v>
      </c>
      <c r="E109" s="507">
        <f>'4th Order Polynomial TMP vs Res'!$B$41+'4th Order Polynomial TMP vs Res'!$C$41*POWER(B109,1)+'4th Order Polynomial TMP vs Res'!$D$41*POWER(B109,2)+'4th Order Polynomial TMP vs Res'!$E$41*POWER(B109,3)+'4th Order Polynomial TMP vs Res'!$F$41*POWER(B109,4)</f>
        <v>11668.774321591101</v>
      </c>
      <c r="F109" s="664">
        <f t="shared" si="15"/>
        <v>11785.462064807012</v>
      </c>
      <c r="G109" s="665"/>
      <c r="H109" s="666"/>
      <c r="I109" s="436"/>
      <c r="J109" s="667">
        <f>'4th Order Polynomial TMP vs Res'!$I$41*E109^4 + '4th Order Polynomial TMP vs Res'!$J$41*E109^3 + '4th Order Polynomial TMP vs Res'!$K$41*E109^2 + '4th Order Polynomial TMP vs Res'!$L$41*E109 + '4th Order Polynomial TMP vs Res'!$M$41</f>
        <v>49.009907911035384</v>
      </c>
      <c r="K109" s="667">
        <f t="shared" si="16"/>
        <v>-9.9079110353841315E-3</v>
      </c>
      <c r="L109" s="436"/>
      <c r="M109" s="436"/>
      <c r="N109" s="436"/>
      <c r="O109" s="436"/>
      <c r="P109" s="436"/>
      <c r="Q109" s="436"/>
      <c r="R109" s="436"/>
      <c r="S109" s="436"/>
    </row>
    <row r="110" spans="1:19" ht="15" x14ac:dyDescent="0.2">
      <c r="A110" s="505">
        <v>91</v>
      </c>
      <c r="B110" s="506">
        <f t="shared" si="17"/>
        <v>50</v>
      </c>
      <c r="C110" s="664">
        <f t="shared" si="14"/>
        <v>11622.490932316163</v>
      </c>
      <c r="D110" s="664">
        <f>IF(B110 &lt;= VLOOKUP(Main!$N$22,Coefficients!$E$2:$H$28,4,FALSE),E110,NA())</f>
        <v>11739.889830622387</v>
      </c>
      <c r="E110" s="507">
        <f>'4th Order Polynomial TMP vs Res'!$B$41+'4th Order Polynomial TMP vs Res'!$C$41*POWER(B110,1)+'4th Order Polynomial TMP vs Res'!$D$41*POWER(B110,2)+'4th Order Polynomial TMP vs Res'!$E$41*POWER(B110,3)+'4th Order Polynomial TMP vs Res'!$F$41*POWER(B110,4)</f>
        <v>11739.889830622387</v>
      </c>
      <c r="F110" s="664">
        <f t="shared" si="15"/>
        <v>11857.288728928612</v>
      </c>
      <c r="G110" s="665"/>
      <c r="H110" s="666"/>
      <c r="I110" s="436"/>
      <c r="J110" s="667">
        <f>'4th Order Polynomial TMP vs Res'!$I$41*E110^4 + '4th Order Polynomial TMP vs Res'!$J$41*E110^3 + '4th Order Polynomial TMP vs Res'!$K$41*E110^2 + '4th Order Polynomial TMP vs Res'!$L$41*E110 + '4th Order Polynomial TMP vs Res'!$M$41</f>
        <v>50.006146555047337</v>
      </c>
      <c r="K110" s="667">
        <f t="shared" si="16"/>
        <v>-6.1465550473371877E-3</v>
      </c>
      <c r="L110" s="436"/>
      <c r="M110" s="436"/>
      <c r="N110" s="436"/>
      <c r="O110" s="436"/>
      <c r="P110" s="436"/>
      <c r="Q110" s="436"/>
      <c r="R110" s="436"/>
      <c r="S110" s="436"/>
    </row>
    <row r="111" spans="1:19" ht="15" x14ac:dyDescent="0.2">
      <c r="A111" s="505">
        <v>92</v>
      </c>
      <c r="B111" s="506">
        <f t="shared" si="17"/>
        <v>51</v>
      </c>
      <c r="C111" s="664">
        <f t="shared" si="14"/>
        <v>11693.22356788471</v>
      </c>
      <c r="D111" s="664">
        <f>IF(B111 &lt;= VLOOKUP(Main!$N$22,Coefficients!$E$2:$H$28,4,FALSE),E111,NA())</f>
        <v>11811.336937257283</v>
      </c>
      <c r="E111" s="507">
        <f>'4th Order Polynomial TMP vs Res'!$B$41+'4th Order Polynomial TMP vs Res'!$C$41*POWER(B111,1)+'4th Order Polynomial TMP vs Res'!$D$41*POWER(B111,2)+'4th Order Polynomial TMP vs Res'!$E$41*POWER(B111,3)+'4th Order Polynomial TMP vs Res'!$F$41*POWER(B111,4)</f>
        <v>11811.336937257283</v>
      </c>
      <c r="F111" s="664">
        <f t="shared" si="15"/>
        <v>11929.450306629857</v>
      </c>
      <c r="G111" s="665"/>
      <c r="H111" s="666"/>
      <c r="I111" s="436"/>
      <c r="J111" s="667">
        <f>'4th Order Polynomial TMP vs Res'!$I$41*E111^4 + '4th Order Polynomial TMP vs Res'!$J$41*E111^3 + '4th Order Polynomial TMP vs Res'!$K$41*E111^2 + '4th Order Polynomial TMP vs Res'!$L$41*E111 + '4th Order Polynomial TMP vs Res'!$M$41</f>
        <v>51.002361697733875</v>
      </c>
      <c r="K111" s="667">
        <f t="shared" si="16"/>
        <v>-2.3616977338747347E-3</v>
      </c>
      <c r="L111" s="436"/>
      <c r="M111" s="436"/>
      <c r="N111" s="436"/>
      <c r="O111" s="436"/>
      <c r="P111" s="436"/>
      <c r="Q111" s="436"/>
      <c r="R111" s="436"/>
      <c r="S111" s="436"/>
    </row>
    <row r="112" spans="1:19" ht="15" x14ac:dyDescent="0.2">
      <c r="A112" s="505">
        <v>93</v>
      </c>
      <c r="B112" s="506">
        <f t="shared" si="17"/>
        <v>52</v>
      </c>
      <c r="C112" s="664">
        <f t="shared" si="14"/>
        <v>11764.28520659567</v>
      </c>
      <c r="D112" s="664">
        <f>IF(B112 &lt;= VLOOKUP(Main!$N$22,Coefficients!$E$2:$H$28,4,FALSE),E112,NA())</f>
        <v>11883.116370298658</v>
      </c>
      <c r="E112" s="507">
        <f>'4th Order Polynomial TMP vs Res'!$B$41+'4th Order Polynomial TMP vs Res'!$C$41*POWER(B112,1)+'4th Order Polynomial TMP vs Res'!$D$41*POWER(B112,2)+'4th Order Polynomial TMP vs Res'!$E$41*POWER(B112,3)+'4th Order Polynomial TMP vs Res'!$F$41*POWER(B112,4)</f>
        <v>11883.116370298658</v>
      </c>
      <c r="F112" s="664">
        <f t="shared" si="15"/>
        <v>12001.947534001645</v>
      </c>
      <c r="G112" s="665"/>
      <c r="H112" s="666"/>
      <c r="I112" s="436"/>
      <c r="J112" s="667">
        <f>'4th Order Polynomial TMP vs Res'!$I$41*E112^4 + '4th Order Polynomial TMP vs Res'!$J$41*E112^3 + '4th Order Polynomial TMP vs Res'!$K$41*E112^2 + '4th Order Polynomial TMP vs Res'!$L$41*E112 + '4th Order Polynomial TMP vs Res'!$M$41</f>
        <v>51.998569030414785</v>
      </c>
      <c r="K112" s="667">
        <f t="shared" si="16"/>
        <v>1.4309695852148252E-3</v>
      </c>
      <c r="L112" s="436"/>
      <c r="M112" s="436"/>
      <c r="N112" s="436"/>
      <c r="O112" s="436"/>
      <c r="P112" s="436"/>
      <c r="Q112" s="436"/>
      <c r="R112" s="436"/>
      <c r="S112" s="436"/>
    </row>
    <row r="113" spans="1:19" ht="15" x14ac:dyDescent="0.2">
      <c r="A113" s="505">
        <v>94</v>
      </c>
      <c r="B113" s="506">
        <f t="shared" si="17"/>
        <v>53</v>
      </c>
      <c r="C113" s="664">
        <f t="shared" si="14"/>
        <v>11835.676578619557</v>
      </c>
      <c r="D113" s="664">
        <f>IF(B113 &lt;= VLOOKUP(Main!$N$22,Coefficients!$E$2:$H$28,4,FALSE),E113,NA())</f>
        <v>11955.228867292482</v>
      </c>
      <c r="E113" s="507">
        <f>'4th Order Polynomial TMP vs Res'!$B$41+'4th Order Polynomial TMP vs Res'!$C$41*POWER(B113,1)+'4th Order Polynomial TMP vs Res'!$D$41*POWER(B113,2)+'4th Order Polynomial TMP vs Res'!$E$41*POWER(B113,3)+'4th Order Polynomial TMP vs Res'!$F$41*POWER(B113,4)</f>
        <v>11955.228867292482</v>
      </c>
      <c r="F113" s="664">
        <f t="shared" si="15"/>
        <v>12074.781155965407</v>
      </c>
      <c r="G113" s="665"/>
      <c r="H113" s="666"/>
      <c r="I113" s="436"/>
      <c r="J113" s="667">
        <f>'4th Order Polynomial TMP vs Res'!$I$41*E113^4 + '4th Order Polynomial TMP vs Res'!$J$41*E113^3 + '4th Order Polynomial TMP vs Res'!$K$41*E113^2 + '4th Order Polynomial TMP vs Res'!$L$41*E113 + '4th Order Polynomial TMP vs Res'!$M$41</f>
        <v>52.994784421849715</v>
      </c>
      <c r="K113" s="667">
        <f t="shared" si="16"/>
        <v>5.2155781502847276E-3</v>
      </c>
      <c r="L113" s="436"/>
      <c r="M113" s="436"/>
      <c r="N113" s="436"/>
      <c r="O113" s="436"/>
      <c r="P113" s="436"/>
      <c r="Q113" s="436"/>
      <c r="R113" s="436"/>
      <c r="S113" s="436"/>
    </row>
    <row r="114" spans="1:19" ht="15" x14ac:dyDescent="0.2">
      <c r="A114" s="505">
        <v>95</v>
      </c>
      <c r="B114" s="506">
        <f t="shared" si="17"/>
        <v>54</v>
      </c>
      <c r="C114" s="664">
        <f t="shared" si="14"/>
        <v>11907.398422782537</v>
      </c>
      <c r="D114" s="664">
        <f>IF(B114 &lt;= VLOOKUP(Main!$N$22,Coefficients!$E$2:$H$28,4,FALSE),E114,NA())</f>
        <v>12027.675174527814</v>
      </c>
      <c r="E114" s="507">
        <f>'4th Order Polynomial TMP vs Res'!$B$41+'4th Order Polynomial TMP vs Res'!$C$41*POWER(B114,1)+'4th Order Polynomial TMP vs Res'!$D$41*POWER(B114,2)+'4th Order Polynomial TMP vs Res'!$E$41*POWER(B114,3)+'4th Order Polynomial TMP vs Res'!$F$41*POWER(B114,4)</f>
        <v>12027.675174527814</v>
      </c>
      <c r="F114" s="664">
        <f t="shared" si="15"/>
        <v>12147.951926273092</v>
      </c>
      <c r="G114" s="665"/>
      <c r="H114" s="666"/>
      <c r="I114" s="436"/>
      <c r="J114" s="667">
        <f>'4th Order Polynomial TMP vs Res'!$I$41*E114^4 + '4th Order Polynomial TMP vs Res'!$J$41*E114^3 + '4th Order Polynomial TMP vs Res'!$K$41*E114^2 + '4th Order Polynomial TMP vs Res'!$L$41*E114 + '4th Order Polynomial TMP vs Res'!$M$41</f>
        <v>53.991023877133159</v>
      </c>
      <c r="K114" s="667">
        <f t="shared" si="16"/>
        <v>8.9761228668407966E-3</v>
      </c>
      <c r="L114" s="436"/>
      <c r="M114" s="436"/>
      <c r="N114" s="436"/>
      <c r="O114" s="436"/>
      <c r="P114" s="436"/>
      <c r="Q114" s="436"/>
      <c r="R114" s="436"/>
      <c r="S114" s="436"/>
    </row>
    <row r="115" spans="1:19" ht="15" x14ac:dyDescent="0.2">
      <c r="A115" s="505">
        <v>96</v>
      </c>
      <c r="B115" s="506">
        <f t="shared" si="17"/>
        <v>55</v>
      </c>
      <c r="C115" s="664">
        <f t="shared" si="14"/>
        <v>11979.451486566433</v>
      </c>
      <c r="D115" s="664">
        <f>IF(B115 &lt;= VLOOKUP(Main!$N$22,Coefficients!$E$2:$H$28,4,FALSE),E115,NA())</f>
        <v>12100.456047036801</v>
      </c>
      <c r="E115" s="507">
        <f>'4th Order Polynomial TMP vs Res'!$B$41+'4th Order Polynomial TMP vs Res'!$C$41*POWER(B115,1)+'4th Order Polynomial TMP vs Res'!$D$41*POWER(B115,2)+'4th Order Polynomial TMP vs Res'!$E$41*POWER(B115,3)+'4th Order Polynomial TMP vs Res'!$F$41*POWER(B115,4)</f>
        <v>12100.456047036801</v>
      </c>
      <c r="F115" s="664">
        <f t="shared" si="15"/>
        <v>12221.46060750717</v>
      </c>
      <c r="G115" s="665"/>
      <c r="H115" s="666"/>
      <c r="I115" s="436"/>
      <c r="J115" s="667">
        <f>'4th Order Polynomial TMP vs Res'!$I$41*E115^4 + '4th Order Polynomial TMP vs Res'!$J$41*E115^3 + '4th Order Polynomial TMP vs Res'!$K$41*E115^2 + '4th Order Polynomial TMP vs Res'!$L$41*E115 + '4th Order Polynomial TMP vs Res'!$M$41</f>
        <v>54.987303495300296</v>
      </c>
      <c r="K115" s="667">
        <f t="shared" si="16"/>
        <v>1.2696504699704292E-2</v>
      </c>
      <c r="L115" s="436"/>
      <c r="M115" s="436"/>
      <c r="N115" s="436"/>
      <c r="O115" s="436"/>
      <c r="P115" s="436"/>
      <c r="Q115" s="436"/>
      <c r="R115" s="436"/>
      <c r="S115" s="436"/>
    </row>
    <row r="116" spans="1:19" ht="15" x14ac:dyDescent="0.2">
      <c r="A116" s="505">
        <v>97</v>
      </c>
      <c r="B116" s="506">
        <f t="shared" si="17"/>
        <v>56</v>
      </c>
      <c r="C116" s="664">
        <f t="shared" si="14"/>
        <v>12051.836526108742</v>
      </c>
      <c r="D116" s="664">
        <f>IF(B116 &lt;= VLOOKUP(Main!$N$22,Coefficients!$E$2:$H$28,4,FALSE),E116,NA())</f>
        <v>12173.572248594688</v>
      </c>
      <c r="E116" s="507">
        <f>'4th Order Polynomial TMP vs Res'!$B$41+'4th Order Polynomial TMP vs Res'!$C$41*POWER(B116,1)+'4th Order Polynomial TMP vs Res'!$D$41*POWER(B116,2)+'4th Order Polynomial TMP vs Res'!$E$41*POWER(B116,3)+'4th Order Polynomial TMP vs Res'!$F$41*POWER(B116,4)</f>
        <v>12173.572248594688</v>
      </c>
      <c r="F116" s="664">
        <f t="shared" si="15"/>
        <v>12295.307971080634</v>
      </c>
      <c r="G116" s="665"/>
      <c r="H116" s="666"/>
      <c r="I116" s="436"/>
      <c r="J116" s="667">
        <f>'4th Order Polynomial TMP vs Res'!$I$41*E116^4 + '4th Order Polynomial TMP vs Res'!$J$41*E116^3 + '4th Order Polynomial TMP vs Res'!$K$41*E116^2 + '4th Order Polynomial TMP vs Res'!$L$41*E116 + '4th Order Polynomial TMP vs Res'!$M$41</f>
        <v>55.983639425613148</v>
      </c>
      <c r="K116" s="667">
        <f t="shared" ref="K116:K147" si="18">B116-J116</f>
        <v>1.6360574386851567E-2</v>
      </c>
      <c r="L116" s="436"/>
      <c r="M116" s="436"/>
      <c r="N116" s="436"/>
      <c r="O116" s="436"/>
      <c r="P116" s="436"/>
      <c r="Q116" s="436"/>
      <c r="R116" s="436"/>
      <c r="S116" s="436"/>
    </row>
    <row r="117" spans="1:19" ht="15" x14ac:dyDescent="0.2">
      <c r="A117" s="505">
        <v>98</v>
      </c>
      <c r="B117" s="506">
        <f t="shared" si="17"/>
        <v>57</v>
      </c>
      <c r="C117" s="664">
        <f t="shared" si="14"/>
        <v>12124.554306202617</v>
      </c>
      <c r="D117" s="664">
        <f>IF(B117 &lt;= VLOOKUP(Main!$N$22,Coefficients!$E$2:$H$28,4,FALSE),E117,NA())</f>
        <v>12247.024551719816</v>
      </c>
      <c r="E117" s="507">
        <f>'4th Order Polynomial TMP vs Res'!$B$41+'4th Order Polynomial TMP vs Res'!$C$41*POWER(B117,1)+'4th Order Polynomial TMP vs Res'!$D$41*POWER(B117,2)+'4th Order Polynomial TMP vs Res'!$E$41*POWER(B117,3)+'4th Order Polynomial TMP vs Res'!$F$41*POWER(B117,4)</f>
        <v>12247.024551719816</v>
      </c>
      <c r="F117" s="664">
        <f t="shared" si="15"/>
        <v>12369.494797237016</v>
      </c>
      <c r="G117" s="665"/>
      <c r="H117" s="666"/>
      <c r="I117" s="436"/>
      <c r="J117" s="667">
        <f>'4th Order Polynomial TMP vs Res'!$I$41*E117^4 + '4th Order Polynomial TMP vs Res'!$J$41*E117^3 + '4th Order Polynomial TMP vs Res'!$K$41*E117^2 + '4th Order Polynomial TMP vs Res'!$L$41*E117 + '4th Order Polynomial TMP vs Res'!$M$41</f>
        <v>56.980047822494896</v>
      </c>
      <c r="K117" s="667">
        <f t="shared" si="18"/>
        <v>1.9952177505103919E-2</v>
      </c>
      <c r="L117" s="436"/>
      <c r="M117" s="436"/>
      <c r="N117" s="436"/>
      <c r="O117" s="436"/>
      <c r="P117" s="436"/>
      <c r="Q117" s="436"/>
      <c r="R117" s="436"/>
      <c r="S117" s="436"/>
    </row>
    <row r="118" spans="1:19" ht="15" x14ac:dyDescent="0.2">
      <c r="A118" s="505">
        <v>99</v>
      </c>
      <c r="B118" s="506">
        <f t="shared" si="17"/>
        <v>58</v>
      </c>
      <c r="C118" s="664">
        <f t="shared" si="14"/>
        <v>12197.605600296869</v>
      </c>
      <c r="D118" s="664">
        <f>IF(B118 &lt;= VLOOKUP(Main!$N$22,Coefficients!$E$2:$H$28,4,FALSE),E118,NA())</f>
        <v>12320.813737673605</v>
      </c>
      <c r="E118" s="507">
        <f>'4th Order Polynomial TMP vs Res'!$B$41+'4th Order Polynomial TMP vs Res'!$C$41*POWER(B118,1)+'4th Order Polynomial TMP vs Res'!$D$41*POWER(B118,2)+'4th Order Polynomial TMP vs Res'!$E$41*POWER(B118,3)+'4th Order Polynomial TMP vs Res'!$F$41*POWER(B118,4)</f>
        <v>12320.813737673605</v>
      </c>
      <c r="F118" s="664">
        <f t="shared" si="15"/>
        <v>12444.021875050341</v>
      </c>
      <c r="G118" s="665"/>
      <c r="H118" s="666"/>
      <c r="I118" s="436"/>
      <c r="J118" s="667">
        <f>'4th Order Polynomial TMP vs Res'!$I$41*E118^4 + '4th Order Polynomial TMP vs Res'!$J$41*E118^3 + '4th Order Polynomial TMP vs Res'!$K$41*E118^2 + '4th Order Polynomial TMP vs Res'!$L$41*E118 + '4th Order Polynomial TMP vs Res'!$M$41</f>
        <v>57.976544799083683</v>
      </c>
      <c r="K118" s="667">
        <f t="shared" si="18"/>
        <v>2.3455200916316699E-2</v>
      </c>
      <c r="L118" s="436"/>
      <c r="M118" s="436"/>
      <c r="N118" s="436"/>
      <c r="O118" s="436"/>
      <c r="P118" s="436"/>
      <c r="Q118" s="436"/>
      <c r="R118" s="436"/>
      <c r="S118" s="436"/>
    </row>
    <row r="119" spans="1:19" ht="15" x14ac:dyDescent="0.2">
      <c r="A119" s="505">
        <v>100</v>
      </c>
      <c r="B119" s="506">
        <f t="shared" si="17"/>
        <v>59</v>
      </c>
      <c r="C119" s="664">
        <f t="shared" si="14"/>
        <v>12270.991190495974</v>
      </c>
      <c r="D119" s="664">
        <f>IF(B119 &lt;= VLOOKUP(Main!$N$22,Coefficients!$E$2:$H$28,4,FALSE),E119,NA())</f>
        <v>12394.940596460579</v>
      </c>
      <c r="E119" s="507">
        <f>'4th Order Polynomial TMP vs Res'!$B$41+'4th Order Polynomial TMP vs Res'!$C$41*POWER(B119,1)+'4th Order Polynomial TMP vs Res'!$D$41*POWER(B119,2)+'4th Order Polynomial TMP vs Res'!$E$41*POWER(B119,3)+'4th Order Polynomial TMP vs Res'!$F$41*POWER(B119,4)</f>
        <v>12394.940596460579</v>
      </c>
      <c r="F119" s="664">
        <f t="shared" si="15"/>
        <v>12518.890002425185</v>
      </c>
      <c r="G119" s="665"/>
      <c r="H119" s="666"/>
      <c r="I119" s="436"/>
      <c r="J119" s="667">
        <f>'4th Order Polynomial TMP vs Res'!$I$41*E119^4 + '4th Order Polynomial TMP vs Res'!$J$41*E119^3 + '4th Order Polynomial TMP vs Res'!$K$41*E119^2 + '4th Order Polynomial TMP vs Res'!$L$41*E119 + '4th Order Polynomial TMP vs Res'!$M$41</f>
        <v>58.973146379372395</v>
      </c>
      <c r="K119" s="667">
        <f t="shared" si="18"/>
        <v>2.6853620627605324E-2</v>
      </c>
      <c r="L119" s="436"/>
      <c r="M119" s="436"/>
      <c r="N119" s="436"/>
      <c r="O119" s="436"/>
      <c r="P119" s="436"/>
      <c r="Q119" s="436"/>
      <c r="R119" s="436"/>
      <c r="S119" s="436"/>
    </row>
    <row r="120" spans="1:19" ht="15" x14ac:dyDescent="0.2">
      <c r="A120" s="505">
        <v>101</v>
      </c>
      <c r="B120" s="506">
        <f t="shared" si="17"/>
        <v>60</v>
      </c>
      <c r="C120" s="664">
        <f t="shared" si="14"/>
        <v>12344.711867560069</v>
      </c>
      <c r="D120" s="664">
        <f>IF(B120 &lt;= VLOOKUP(Main!$N$22,Coefficients!$E$2:$H$28,4,FALSE),E120,NA())</f>
        <v>12469.405926828353</v>
      </c>
      <c r="E120" s="507">
        <f>'4th Order Polynomial TMP vs Res'!$B$41+'4th Order Polynomial TMP vs Res'!$C$41*POWER(B120,1)+'4th Order Polynomial TMP vs Res'!$D$41*POWER(B120,2)+'4th Order Polynomial TMP vs Res'!$E$41*POWER(B120,3)+'4th Order Polynomial TMP vs Res'!$F$41*POWER(B120,4)</f>
        <v>12469.405926828353</v>
      </c>
      <c r="F120" s="664">
        <f t="shared" si="15"/>
        <v>12594.099986096637</v>
      </c>
      <c r="G120" s="665"/>
      <c r="H120" s="666"/>
      <c r="I120" s="436"/>
      <c r="J120" s="667">
        <f>'4th Order Polynomial TMP vs Res'!$I$41*E120^4 + '4th Order Polynomial TMP vs Res'!$J$41*E120^3 + '4th Order Polynomial TMP vs Res'!$K$41*E120^2 + '4th Order Polynomial TMP vs Res'!$L$41*E120 + '4th Order Polynomial TMP vs Res'!$M$41</f>
        <v>59.96986844890381</v>
      </c>
      <c r="K120" s="667">
        <f t="shared" si="18"/>
        <v>3.0131551096189924E-2</v>
      </c>
      <c r="L120" s="436"/>
      <c r="M120" s="436"/>
      <c r="N120" s="436"/>
      <c r="O120" s="436"/>
      <c r="P120" s="436"/>
      <c r="Q120" s="436"/>
      <c r="R120" s="436"/>
      <c r="S120" s="436"/>
    </row>
    <row r="121" spans="1:19" ht="15" x14ac:dyDescent="0.2">
      <c r="A121" s="505">
        <v>102</v>
      </c>
      <c r="B121" s="506">
        <f t="shared" si="17"/>
        <v>61</v>
      </c>
      <c r="C121" s="664">
        <f t="shared" si="14"/>
        <v>12418.768430904955</v>
      </c>
      <c r="D121" s="664">
        <f>IF(B121 &lt;= VLOOKUP(Main!$N$22,Coefficients!$E$2:$H$28,4,FALSE),E121,NA())</f>
        <v>12544.21053626763</v>
      </c>
      <c r="E121" s="507">
        <f>'4th Order Polynomial TMP vs Res'!$B$41+'4th Order Polynomial TMP vs Res'!$C$41*POWER(B121,1)+'4th Order Polynomial TMP vs Res'!$D$41*POWER(B121,2)+'4th Order Polynomial TMP vs Res'!$E$41*POWER(B121,3)+'4th Order Polynomial TMP vs Res'!$F$41*POWER(B121,4)</f>
        <v>12544.21053626763</v>
      </c>
      <c r="F121" s="664">
        <f t="shared" si="15"/>
        <v>12669.652641630306</v>
      </c>
      <c r="G121" s="665"/>
      <c r="H121" s="666"/>
      <c r="I121" s="436"/>
      <c r="J121" s="667">
        <f>'4th Order Polynomial TMP vs Res'!$I$41*E121^4 + '4th Order Polynomial TMP vs Res'!$J$41*E121^3 + '4th Order Polynomial TMP vs Res'!$K$41*E121^2 + '4th Order Polynomial TMP vs Res'!$L$41*E121 + '4th Order Polynomial TMP vs Res'!$M$41</f>
        <v>60.966726703986012</v>
      </c>
      <c r="K121" s="667">
        <f t="shared" si="18"/>
        <v>3.3273296013987874E-2</v>
      </c>
      <c r="L121" s="436"/>
      <c r="M121" s="436"/>
      <c r="N121" s="436"/>
      <c r="O121" s="436"/>
      <c r="P121" s="436"/>
      <c r="Q121" s="436"/>
      <c r="R121" s="436"/>
      <c r="S121" s="436"/>
    </row>
    <row r="122" spans="1:19" ht="15" x14ac:dyDescent="0.2">
      <c r="A122" s="505">
        <v>103</v>
      </c>
      <c r="B122" s="506">
        <f t="shared" si="17"/>
        <v>62</v>
      </c>
      <c r="C122" s="664">
        <f t="shared" si="14"/>
        <v>12493.161688602084</v>
      </c>
      <c r="D122" s="664">
        <f>IF(B122 &lt;= VLOOKUP(Main!$N$22,Coefficients!$E$2:$H$28,4,FALSE),E122,NA())</f>
        <v>12619.355241012207</v>
      </c>
      <c r="E122" s="507">
        <f>'4th Order Polynomial TMP vs Res'!$B$41+'4th Order Polynomial TMP vs Res'!$C$41*POWER(B122,1)+'4th Order Polynomial TMP vs Res'!$D$41*POWER(B122,2)+'4th Order Polynomial TMP vs Res'!$E$41*POWER(B122,3)+'4th Order Polynomial TMP vs Res'!$F$41*POWER(B122,4)</f>
        <v>12619.355241012207</v>
      </c>
      <c r="F122" s="664">
        <f t="shared" si="15"/>
        <v>12745.548793422329</v>
      </c>
      <c r="G122" s="665"/>
      <c r="H122" s="666"/>
      <c r="I122" s="436"/>
      <c r="J122" s="667">
        <f>'4th Order Polynomial TMP vs Res'!$I$41*E122^4 + '4th Order Polynomial TMP vs Res'!$J$41*E122^3 + '4th Order Polynomial TMP vs Res'!$K$41*E122^2 + '4th Order Polynomial TMP vs Res'!$L$41*E122 + '4th Order Polynomial TMP vs Res'!$M$41</f>
        <v>61.963736599396555</v>
      </c>
      <c r="K122" s="667">
        <f t="shared" si="18"/>
        <v>3.6263400603445461E-2</v>
      </c>
      <c r="L122" s="436"/>
      <c r="M122" s="436"/>
      <c r="N122" s="436"/>
      <c r="O122" s="436"/>
      <c r="P122" s="436"/>
      <c r="Q122" s="436"/>
      <c r="R122" s="436"/>
      <c r="S122" s="436"/>
    </row>
    <row r="123" spans="1:19" ht="15" x14ac:dyDescent="0.2">
      <c r="A123" s="505">
        <v>104</v>
      </c>
      <c r="B123" s="506">
        <f t="shared" si="17"/>
        <v>63</v>
      </c>
      <c r="C123" s="664">
        <f t="shared" si="14"/>
        <v>12567.892457378584</v>
      </c>
      <c r="D123" s="664">
        <f>IF(B123 &lt;= VLOOKUP(Main!$N$22,Coefficients!$E$2:$H$28,4,FALSE),E123,NA())</f>
        <v>12694.840866038974</v>
      </c>
      <c r="E123" s="507">
        <f>'4th Order Polynomial TMP vs Res'!$B$41+'4th Order Polynomial TMP vs Res'!$C$41*POWER(B123,1)+'4th Order Polynomial TMP vs Res'!$D$41*POWER(B123,2)+'4th Order Polynomial TMP vs Res'!$E$41*POWER(B123,3)+'4th Order Polynomial TMP vs Res'!$F$41*POWER(B123,4)</f>
        <v>12694.840866038974</v>
      </c>
      <c r="F123" s="664">
        <f t="shared" si="15"/>
        <v>12821.789274699364</v>
      </c>
      <c r="G123" s="665"/>
      <c r="H123" s="666"/>
      <c r="I123" s="436"/>
      <c r="J123" s="667">
        <f>'4th Order Polynomial TMP vs Res'!$I$41*E123^4 + '4th Order Polynomial TMP vs Res'!$J$41*E123^3 + '4th Order Polynomial TMP vs Res'!$K$41*E123^2 + '4th Order Polynomial TMP vs Res'!$L$41*E123 + '4th Order Polynomial TMP vs Res'!$M$41</f>
        <v>62.960913294538841</v>
      </c>
      <c r="K123" s="667">
        <f t="shared" si="18"/>
        <v>3.9086705461158999E-2</v>
      </c>
      <c r="L123" s="436"/>
      <c r="M123" s="436"/>
      <c r="N123" s="436"/>
      <c r="O123" s="436"/>
      <c r="P123" s="436"/>
      <c r="Q123" s="436"/>
      <c r="R123" s="436"/>
      <c r="S123" s="436"/>
    </row>
    <row r="124" spans="1:19" ht="15" x14ac:dyDescent="0.2">
      <c r="A124" s="505">
        <v>105</v>
      </c>
      <c r="B124" s="506">
        <f t="shared" si="17"/>
        <v>64</v>
      </c>
      <c r="C124" s="664">
        <f t="shared" si="14"/>
        <v>12642.961562617233</v>
      </c>
      <c r="D124" s="664">
        <f>IF(B124 &lt;= VLOOKUP(Main!$N$22,Coefficients!$E$2:$H$28,4,FALSE),E124,NA())</f>
        <v>12770.668245067913</v>
      </c>
      <c r="E124" s="507">
        <f>'4th Order Polynomial TMP vs Res'!$B$41+'4th Order Polynomial TMP vs Res'!$C$41*POWER(B124,1)+'4th Order Polynomial TMP vs Res'!$D$41*POWER(B124,2)+'4th Order Polynomial TMP vs Res'!$E$41*POWER(B124,3)+'4th Order Polynomial TMP vs Res'!$F$41*POWER(B124,4)</f>
        <v>12770.668245067913</v>
      </c>
      <c r="F124" s="664">
        <f t="shared" si="15"/>
        <v>12898.374927518593</v>
      </c>
      <c r="G124" s="665"/>
      <c r="H124" s="666"/>
      <c r="I124" s="436"/>
      <c r="J124" s="667">
        <f>'4th Order Polynomial TMP vs Res'!$I$41*E124^4 + '4th Order Polynomial TMP vs Res'!$J$41*E124^3 + '4th Order Polynomial TMP vs Res'!$K$41*E124^2 + '4th Order Polynomial TMP vs Res'!$L$41*E124 + '4th Order Polynomial TMP vs Res'!$M$41</f>
        <v>63.958271598016609</v>
      </c>
      <c r="K124" s="667">
        <f t="shared" si="18"/>
        <v>4.172840198339145E-2</v>
      </c>
      <c r="L124" s="436"/>
      <c r="M124" s="436"/>
      <c r="N124" s="436"/>
      <c r="O124" s="436"/>
      <c r="P124" s="436"/>
      <c r="Q124" s="436"/>
      <c r="R124" s="436"/>
      <c r="S124" s="436"/>
    </row>
    <row r="125" spans="1:19" ht="15" x14ac:dyDescent="0.2">
      <c r="A125" s="505">
        <v>106</v>
      </c>
      <c r="B125" s="506">
        <f t="shared" si="17"/>
        <v>65</v>
      </c>
      <c r="C125" s="664">
        <f t="shared" ref="C125:C130" si="19">IFERROR(D125*0.99,NA())</f>
        <v>12718.369838356477</v>
      </c>
      <c r="D125" s="664">
        <f>IF(B125 &lt;= VLOOKUP(Main!$N$22,Coefficients!$E$2:$H$28,4,FALSE),E125,NA())</f>
        <v>12846.838220562098</v>
      </c>
      <c r="E125" s="507">
        <f>'4th Order Polynomial TMP vs Res'!$B$41+'4th Order Polynomial TMP vs Res'!$C$41*POWER(B125,1)+'4th Order Polynomial TMP vs Res'!$D$41*POWER(B125,2)+'4th Order Polynomial TMP vs Res'!$E$41*POWER(B125,3)+'4th Order Polynomial TMP vs Res'!$F$41*POWER(B125,4)</f>
        <v>12846.838220562098</v>
      </c>
      <c r="F125" s="664">
        <f t="shared" ref="F125:F130" si="20">IFERROR(D125*1.01,NA())</f>
        <v>12975.30660276772</v>
      </c>
      <c r="G125" s="665"/>
      <c r="H125" s="666"/>
      <c r="I125" s="436"/>
      <c r="J125" s="667">
        <f>'4th Order Polynomial TMP vs Res'!$I$41*E125^4 + '4th Order Polynomial TMP vs Res'!$J$41*E125^3 + '4th Order Polynomial TMP vs Res'!$K$41*E125^2 + '4th Order Polynomial TMP vs Res'!$L$41*E125 + '4th Order Polynomial TMP vs Res'!$M$41</f>
        <v>64.955825910590022</v>
      </c>
      <c r="K125" s="667">
        <f t="shared" si="18"/>
        <v>4.4174089409978023E-2</v>
      </c>
      <c r="L125" s="436"/>
      <c r="M125" s="436"/>
      <c r="N125" s="436"/>
      <c r="O125" s="436"/>
      <c r="P125" s="436"/>
      <c r="Q125" s="436"/>
      <c r="R125" s="436"/>
      <c r="S125" s="436"/>
    </row>
    <row r="126" spans="1:19" ht="15" x14ac:dyDescent="0.2">
      <c r="A126" s="505">
        <v>107</v>
      </c>
      <c r="B126" s="506">
        <f t="shared" si="17"/>
        <v>66</v>
      </c>
      <c r="C126" s="664">
        <f t="shared" si="19"/>
        <v>12794.118127290421</v>
      </c>
      <c r="D126" s="664">
        <f>IF(B126 &lt;= VLOOKUP(Main!$N$22,Coefficients!$E$2:$H$28,4,FALSE),E126,NA())</f>
        <v>12923.351643727698</v>
      </c>
      <c r="E126" s="507">
        <f>'4th Order Polynomial TMP vs Res'!$B$41+'4th Order Polynomial TMP vs Res'!$C$41*POWER(B126,1)+'4th Order Polynomial TMP vs Res'!$D$41*POWER(B126,2)+'4th Order Polynomial TMP vs Res'!$E$41*POWER(B126,3)+'4th Order Polynomial TMP vs Res'!$F$41*POWER(B126,4)</f>
        <v>12923.351643727698</v>
      </c>
      <c r="F126" s="664">
        <f t="shared" si="20"/>
        <v>13052.585160164974</v>
      </c>
      <c r="G126" s="665"/>
      <c r="H126" s="666"/>
      <c r="I126" s="436"/>
      <c r="J126" s="667">
        <f>'4th Order Polynomial TMP vs Res'!$I$41*E126^4 + '4th Order Polynomial TMP vs Res'!$J$41*E126^3 + '4th Order Polynomial TMP vs Res'!$K$41*E126^2 + '4th Order Polynomial TMP vs Res'!$L$41*E126 + '4th Order Polynomial TMP vs Res'!$M$41</f>
        <v>65.953590166476658</v>
      </c>
      <c r="K126" s="667">
        <f t="shared" si="18"/>
        <v>4.6409833523341604E-2</v>
      </c>
      <c r="L126" s="436"/>
      <c r="M126" s="436"/>
      <c r="N126" s="436"/>
      <c r="O126" s="436"/>
      <c r="P126" s="436"/>
      <c r="Q126" s="436"/>
      <c r="R126" s="436"/>
      <c r="S126" s="436"/>
    </row>
    <row r="127" spans="1:19" ht="15" x14ac:dyDescent="0.2">
      <c r="A127" s="505">
        <v>108</v>
      </c>
      <c r="B127" s="506">
        <f t="shared" si="17"/>
        <v>67</v>
      </c>
      <c r="C127" s="664">
        <f t="shared" si="19"/>
        <v>12870.207280768829</v>
      </c>
      <c r="D127" s="664">
        <f>IF(B127 &lt;= VLOOKUP(Main!$N$22,Coefficients!$E$2:$H$28,4,FALSE),E127,NA())</f>
        <v>13000.209374513968</v>
      </c>
      <c r="E127" s="507">
        <f>'4th Order Polynomial TMP vs Res'!$B$41+'4th Order Polynomial TMP vs Res'!$C$41*POWER(B127,1)+'4th Order Polynomial TMP vs Res'!$D$41*POWER(B127,2)+'4th Order Polynomial TMP vs Res'!$E$41*POWER(B127,3)+'4th Order Polynomial TMP vs Res'!$F$41*POWER(B127,4)</f>
        <v>13000.209374513968</v>
      </c>
      <c r="F127" s="664">
        <f t="shared" si="20"/>
        <v>13130.211468259107</v>
      </c>
      <c r="G127" s="665"/>
      <c r="H127" s="666"/>
      <c r="I127" s="436"/>
      <c r="J127" s="667">
        <f>'4th Order Polynomial TMP vs Res'!$I$41*E127^4 + '4th Order Polynomial TMP vs Res'!$J$41*E127^3 + '4th Order Polynomial TMP vs Res'!$K$41*E127^2 + '4th Order Polynomial TMP vs Res'!$L$41*E127 + '4th Order Polynomial TMP vs Res'!$M$41</f>
        <v>66.951577772959865</v>
      </c>
      <c r="K127" s="667">
        <f t="shared" si="18"/>
        <v>4.8422227040134658E-2</v>
      </c>
      <c r="L127" s="436"/>
      <c r="M127" s="436"/>
      <c r="N127" s="436"/>
      <c r="O127" s="436"/>
      <c r="P127" s="436"/>
      <c r="Q127" s="436"/>
      <c r="R127" s="436"/>
      <c r="S127" s="436"/>
    </row>
    <row r="128" spans="1:19" ht="15" x14ac:dyDescent="0.2">
      <c r="A128" s="505">
        <v>109</v>
      </c>
      <c r="B128" s="506">
        <f t="shared" si="17"/>
        <v>68</v>
      </c>
      <c r="C128" s="664">
        <f t="shared" si="19"/>
        <v>12946.638158797132</v>
      </c>
      <c r="D128" s="664">
        <f>IF(B128 &lt;= VLOOKUP(Main!$N$22,Coefficients!$E$2:$H$28,4,FALSE),E128,NA())</f>
        <v>13077.412281613264</v>
      </c>
      <c r="E128" s="507">
        <f>'4th Order Polynomial TMP vs Res'!$B$41+'4th Order Polynomial TMP vs Res'!$C$41*POWER(B128,1)+'4th Order Polynomial TMP vs Res'!$D$41*POWER(B128,2)+'4th Order Polynomial TMP vs Res'!$E$41*POWER(B128,3)+'4th Order Polynomial TMP vs Res'!$F$41*POWER(B128,4)</f>
        <v>13077.412281613264</v>
      </c>
      <c r="F128" s="664">
        <f t="shared" si="20"/>
        <v>13208.186404429396</v>
      </c>
      <c r="G128" s="665"/>
      <c r="H128" s="666"/>
      <c r="I128" s="436"/>
      <c r="J128" s="667">
        <f>'4th Order Polynomial TMP vs Res'!$I$41*E128^4 + '4th Order Polynomial TMP vs Res'!$J$41*E128^3 + '4th Order Polynomial TMP vs Res'!$K$41*E128^2 + '4th Order Polynomial TMP vs Res'!$L$41*E128 + '4th Order Polynomial TMP vs Res'!$M$41</f>
        <v>67.949801548265953</v>
      </c>
      <c r="K128" s="667">
        <f t="shared" si="18"/>
        <v>5.0198451734047467E-2</v>
      </c>
      <c r="L128" s="436"/>
      <c r="M128" s="436"/>
      <c r="N128" s="436"/>
      <c r="O128" s="436"/>
      <c r="P128" s="436"/>
      <c r="Q128" s="436"/>
      <c r="R128" s="436"/>
      <c r="S128" s="436"/>
    </row>
    <row r="129" spans="1:19" ht="15" x14ac:dyDescent="0.2">
      <c r="A129" s="505">
        <v>110</v>
      </c>
      <c r="B129" s="506">
        <f t="shared" si="17"/>
        <v>69</v>
      </c>
      <c r="C129" s="664">
        <f t="shared" si="19"/>
        <v>13023.411630036417</v>
      </c>
      <c r="D129" s="664">
        <f>IF(B129 &lt;= VLOOKUP(Main!$N$22,Coefficients!$E$2:$H$28,4,FALSE),E129,NA())</f>
        <v>13154.961242461028</v>
      </c>
      <c r="E129" s="507">
        <f>'4th Order Polynomial TMP vs Res'!$B$41+'4th Order Polynomial TMP vs Res'!$C$41*POWER(B129,1)+'4th Order Polynomial TMP vs Res'!$D$41*POWER(B129,2)+'4th Order Polynomial TMP vs Res'!$E$41*POWER(B129,3)+'4th Order Polynomial TMP vs Res'!$F$41*POWER(B129,4)</f>
        <v>13154.961242461028</v>
      </c>
      <c r="F129" s="664">
        <f t="shared" si="20"/>
        <v>13286.510854885639</v>
      </c>
      <c r="G129" s="665"/>
      <c r="H129" s="666"/>
      <c r="I129" s="436"/>
      <c r="J129" s="667">
        <f>'4th Order Polynomial TMP vs Res'!$I$41*E129^4 + '4th Order Polynomial TMP vs Res'!$J$41*E129^3 + '4th Order Polynomial TMP vs Res'!$K$41*E129^2 + '4th Order Polynomial TMP vs Res'!$L$41*E129 + '4th Order Polynomial TMP vs Res'!$M$41</f>
        <v>68.948273657670768</v>
      </c>
      <c r="K129" s="667">
        <f t="shared" si="18"/>
        <v>5.1726342329232011E-2</v>
      </c>
      <c r="L129" s="436"/>
      <c r="M129" s="436"/>
      <c r="N129" s="436"/>
      <c r="O129" s="436"/>
      <c r="P129" s="436"/>
      <c r="Q129" s="436"/>
      <c r="R129" s="436"/>
      <c r="S129" s="436"/>
    </row>
    <row r="130" spans="1:19" ht="15" x14ac:dyDescent="0.2">
      <c r="A130" s="505">
        <v>111</v>
      </c>
      <c r="B130" s="506">
        <f t="shared" si="17"/>
        <v>70</v>
      </c>
      <c r="C130" s="664">
        <f t="shared" si="19"/>
        <v>13100.528571803439</v>
      </c>
      <c r="D130" s="664">
        <f>IF(B130 &lt;= VLOOKUP(Main!$N$22,Coefficients!$E$2:$H$28,4,FALSE),E130,NA())</f>
        <v>13232.857143235797</v>
      </c>
      <c r="E130" s="507">
        <f>'4th Order Polynomial TMP vs Res'!$B$41+'4th Order Polynomial TMP vs Res'!$C$41*POWER(B130,1)+'4th Order Polynomial TMP vs Res'!$D$41*POWER(B130,2)+'4th Order Polynomial TMP vs Res'!$E$41*POWER(B130,3)+'4th Order Polynomial TMP vs Res'!$F$41*POWER(B130,4)</f>
        <v>13232.857143235797</v>
      </c>
      <c r="F130" s="664">
        <f t="shared" si="20"/>
        <v>13365.185714668154</v>
      </c>
      <c r="G130" s="665"/>
      <c r="H130" s="666"/>
      <c r="I130" s="436"/>
      <c r="J130" s="667">
        <f>'4th Order Polynomial TMP vs Res'!$I$41*E130^4 + '4th Order Polynomial TMP vs Res'!$J$41*E130^3 + '4th Order Polynomial TMP vs Res'!$K$41*E130^2 + '4th Order Polynomial TMP vs Res'!$L$41*E130 + '4th Order Polynomial TMP vs Res'!$M$41</f>
        <v>69.947005547796778</v>
      </c>
      <c r="K130" s="667">
        <f t="shared" si="18"/>
        <v>5.2994452203222409E-2</v>
      </c>
      <c r="L130" s="436"/>
      <c r="M130" s="436"/>
      <c r="N130" s="436"/>
      <c r="O130" s="436"/>
      <c r="P130" s="436"/>
      <c r="Q130" s="436"/>
      <c r="R130" s="436"/>
      <c r="S130" s="436"/>
    </row>
    <row r="131" spans="1:19" ht="15" x14ac:dyDescent="0.2">
      <c r="A131" s="505">
        <v>112</v>
      </c>
      <c r="B131" s="506">
        <f t="shared" si="17"/>
        <v>71</v>
      </c>
      <c r="C131" s="664">
        <f t="shared" ref="C131:C175" si="21">IFERROR(D131*0.985,NA())</f>
        <v>13111.434365676309</v>
      </c>
      <c r="D131" s="664">
        <f>IF(B131 &lt;= VLOOKUP(Main!$N$22,Coefficients!$E$2:$H$28,4,FALSE),E131,NA())</f>
        <v>13311.100878859197</v>
      </c>
      <c r="E131" s="507">
        <f>'4th Order Polynomial TMP vs Res'!$B$41+'4th Order Polynomial TMP vs Res'!$C$41*POWER(B131,1)+'4th Order Polynomial TMP vs Res'!$D$41*POWER(B131,2)+'4th Order Polynomial TMP vs Res'!$E$41*POWER(B131,3)+'4th Order Polynomial TMP vs Res'!$F$41*POWER(B131,4)</f>
        <v>13311.100878859197</v>
      </c>
      <c r="F131" s="664">
        <f t="shared" ref="F131:F175" si="22">IFERROR(D131*1.015,NA())</f>
        <v>13510.767392042084</v>
      </c>
      <c r="G131" s="665"/>
      <c r="H131" s="666"/>
      <c r="I131" s="436"/>
      <c r="J131" s="667">
        <f>'4th Order Polynomial TMP vs Res'!$I$41*E131^4 + '4th Order Polynomial TMP vs Res'!$J$41*E131^3 + '4th Order Polynomial TMP vs Res'!$K$41*E131^2 + '4th Order Polynomial TMP vs Res'!$L$41*E131 + '4th Order Polynomial TMP vs Res'!$M$41</f>
        <v>70.946007879057049</v>
      </c>
      <c r="K131" s="667">
        <f t="shared" si="18"/>
        <v>5.3992120942950805E-2</v>
      </c>
      <c r="L131" s="436"/>
      <c r="M131" s="436"/>
      <c r="N131" s="436"/>
      <c r="O131" s="436"/>
      <c r="P131" s="436"/>
      <c r="Q131" s="436"/>
      <c r="R131" s="436"/>
      <c r="S131" s="436"/>
    </row>
    <row r="132" spans="1:19" ht="15" x14ac:dyDescent="0.2">
      <c r="A132" s="505">
        <v>113</v>
      </c>
      <c r="B132" s="506">
        <f t="shared" si="17"/>
        <v>72</v>
      </c>
      <c r="C132" s="664">
        <f t="shared" si="21"/>
        <v>13188.847952701011</v>
      </c>
      <c r="D132" s="664">
        <f>IF(B132 &lt;= VLOOKUP(Main!$N$22,Coefficients!$E$2:$H$28,4,FALSE),E132,NA())</f>
        <v>13389.693352995951</v>
      </c>
      <c r="E132" s="507">
        <f>'4th Order Polynomial TMP vs Res'!$B$41+'4th Order Polynomial TMP vs Res'!$C$41*POWER(B132,1)+'4th Order Polynomial TMP vs Res'!$D$41*POWER(B132,2)+'4th Order Polynomial TMP vs Res'!$E$41*POWER(B132,3)+'4th Order Polynomial TMP vs Res'!$F$41*POWER(B132,4)</f>
        <v>13389.693352995951</v>
      </c>
      <c r="F132" s="664">
        <f t="shared" si="22"/>
        <v>13590.53875329089</v>
      </c>
      <c r="G132" s="665"/>
      <c r="H132" s="666"/>
      <c r="I132" s="436"/>
      <c r="J132" s="667">
        <f>'4th Order Polynomial TMP vs Res'!$I$41*E132^4 + '4th Order Polynomial TMP vs Res'!$J$41*E132^3 + '4th Order Polynomial TMP vs Res'!$K$41*E132^2 + '4th Order Polynomial TMP vs Res'!$L$41*E132 + '4th Order Polynomial TMP vs Res'!$M$41</f>
        <v>71.945290456207147</v>
      </c>
      <c r="K132" s="667">
        <f t="shared" si="18"/>
        <v>5.470954379285331E-2</v>
      </c>
      <c r="L132" s="436"/>
      <c r="M132" s="436"/>
      <c r="N132" s="436"/>
      <c r="O132" s="436"/>
      <c r="P132" s="436"/>
      <c r="Q132" s="436"/>
      <c r="R132" s="436"/>
      <c r="S132" s="436"/>
    </row>
    <row r="133" spans="1:19" ht="15" x14ac:dyDescent="0.2">
      <c r="A133" s="505">
        <v>114</v>
      </c>
      <c r="B133" s="506">
        <f t="shared" si="17"/>
        <v>73</v>
      </c>
      <c r="C133" s="664">
        <f t="shared" si="21"/>
        <v>13266.605945883062</v>
      </c>
      <c r="D133" s="664">
        <f>IF(B133 &lt;= VLOOKUP(Main!$N$22,Coefficients!$E$2:$H$28,4,FALSE),E133,NA())</f>
        <v>13468.635478053871</v>
      </c>
      <c r="E133" s="507">
        <f>'4th Order Polynomial TMP vs Res'!$B$41+'4th Order Polynomial TMP vs Res'!$C$41*POWER(B133,1)+'4th Order Polynomial TMP vs Res'!$D$41*POWER(B133,2)+'4th Order Polynomial TMP vs Res'!$E$41*POWER(B133,3)+'4th Order Polynomial TMP vs Res'!$F$41*POWER(B133,4)</f>
        <v>13468.635478053871</v>
      </c>
      <c r="F133" s="664">
        <f t="shared" si="22"/>
        <v>13670.665010224679</v>
      </c>
      <c r="G133" s="665"/>
      <c r="H133" s="666"/>
      <c r="I133" s="436"/>
      <c r="J133" s="667">
        <f>'4th Order Polynomial TMP vs Res'!$I$41*E133^4 + '4th Order Polynomial TMP vs Res'!$J$41*E133^3 + '4th Order Polynomial TMP vs Res'!$K$41*E133^2 + '4th Order Polynomial TMP vs Res'!$L$41*E133 + '4th Order Polynomial TMP vs Res'!$M$41</f>
        <v>72.944862156961392</v>
      </c>
      <c r="K133" s="667">
        <f t="shared" si="18"/>
        <v>5.5137843038608025E-2</v>
      </c>
      <c r="L133" s="436"/>
      <c r="M133" s="436"/>
      <c r="N133" s="436"/>
      <c r="O133" s="436"/>
      <c r="P133" s="436"/>
      <c r="Q133" s="436"/>
      <c r="R133" s="436"/>
      <c r="S133" s="436"/>
    </row>
    <row r="134" spans="1:19" ht="15" x14ac:dyDescent="0.2">
      <c r="A134" s="505">
        <v>115</v>
      </c>
      <c r="B134" s="506">
        <f t="shared" si="17"/>
        <v>74</v>
      </c>
      <c r="C134" s="664">
        <f t="shared" si="21"/>
        <v>13344.709252556107</v>
      </c>
      <c r="D134" s="664">
        <f>IF(B134 &lt;= VLOOKUP(Main!$N$22,Coefficients!$E$2:$H$28,4,FALSE),E134,NA())</f>
        <v>13547.928175183866</v>
      </c>
      <c r="E134" s="507">
        <f>'4th Order Polynomial TMP vs Res'!$B$41+'4th Order Polynomial TMP vs Res'!$C$41*POWER(B134,1)+'4th Order Polynomial TMP vs Res'!$D$41*POWER(B134,2)+'4th Order Polynomial TMP vs Res'!$E$41*POWER(B134,3)+'4th Order Polynomial TMP vs Res'!$F$41*POWER(B134,4)</f>
        <v>13547.928175183866</v>
      </c>
      <c r="F134" s="664">
        <f t="shared" si="22"/>
        <v>13751.147097811623</v>
      </c>
      <c r="G134" s="665"/>
      <c r="H134" s="666"/>
      <c r="I134" s="436"/>
      <c r="J134" s="667">
        <f>'4th Order Polynomial TMP vs Res'!$I$41*E134^4 + '4th Order Polynomial TMP vs Res'!$J$41*E134^3 + '4th Order Polynomial TMP vs Res'!$K$41*E134^2 + '4th Order Polynomial TMP vs Res'!$L$41*E134 + '4th Order Polynomial TMP vs Res'!$M$41</f>
        <v>73.944730858629327</v>
      </c>
      <c r="K134" s="667">
        <f t="shared" si="18"/>
        <v>5.5269141370672514E-2</v>
      </c>
      <c r="L134" s="436"/>
      <c r="M134" s="436"/>
      <c r="N134" s="436"/>
      <c r="O134" s="436"/>
      <c r="P134" s="436"/>
      <c r="Q134" s="436"/>
      <c r="R134" s="436"/>
      <c r="S134" s="436"/>
    </row>
    <row r="135" spans="1:19" ht="15" x14ac:dyDescent="0.2">
      <c r="A135" s="505">
        <v>116</v>
      </c>
      <c r="B135" s="506">
        <f t="shared" si="17"/>
        <v>75</v>
      </c>
      <c r="C135" s="664">
        <f t="shared" si="21"/>
        <v>13423.158788665734</v>
      </c>
      <c r="D135" s="664">
        <f>IF(B135 &lt;= VLOOKUP(Main!$N$22,Coefficients!$E$2:$H$28,4,FALSE),E135,NA())</f>
        <v>13627.572374279933</v>
      </c>
      <c r="E135" s="507">
        <f>'4th Order Polynomial TMP vs Res'!$B$41+'4th Order Polynomial TMP vs Res'!$C$41*POWER(B135,1)+'4th Order Polynomial TMP vs Res'!$D$41*POWER(B135,2)+'4th Order Polynomial TMP vs Res'!$E$41*POWER(B135,3)+'4th Order Polynomial TMP vs Res'!$F$41*POWER(B135,4)</f>
        <v>13627.572374279933</v>
      </c>
      <c r="F135" s="664">
        <f t="shared" si="22"/>
        <v>13831.985959894131</v>
      </c>
      <c r="G135" s="665"/>
      <c r="H135" s="666"/>
      <c r="I135" s="436"/>
      <c r="J135" s="667">
        <f>'4th Order Polynomial TMP vs Res'!$I$41*E135^4 + '4th Order Polynomial TMP vs Res'!$J$41*E135^3 + '4th Order Polynomial TMP vs Res'!$K$41*E135^2 + '4th Order Polynomial TMP vs Res'!$L$41*E135 + '4th Order Polynomial TMP vs Res'!$M$41</f>
        <v>74.944903362726961</v>
      </c>
      <c r="K135" s="667">
        <f t="shared" si="18"/>
        <v>5.5096637273038596E-2</v>
      </c>
      <c r="L135" s="436"/>
      <c r="M135" s="436"/>
      <c r="N135" s="436"/>
      <c r="O135" s="436"/>
      <c r="P135" s="436"/>
      <c r="Q135" s="436"/>
      <c r="R135" s="436"/>
      <c r="S135" s="436"/>
    </row>
    <row r="136" spans="1:19" ht="15" x14ac:dyDescent="0.2">
      <c r="A136" s="505">
        <v>117</v>
      </c>
      <c r="B136" s="506">
        <f t="shared" si="17"/>
        <v>76</v>
      </c>
      <c r="C136" s="664">
        <f t="shared" si="21"/>
        <v>13501.955478769469</v>
      </c>
      <c r="D136" s="664">
        <f>IF(B136 &lt;= VLOOKUP(Main!$N$22,Coefficients!$E$2:$H$28,4,FALSE),E136,NA())</f>
        <v>13707.569013979157</v>
      </c>
      <c r="E136" s="507">
        <f>'4th Order Polynomial TMP vs Res'!$B$41+'4th Order Polynomial TMP vs Res'!$C$41*POWER(B136,1)+'4th Order Polynomial TMP vs Res'!$D$41*POWER(B136,2)+'4th Order Polynomial TMP vs Res'!$E$41*POWER(B136,3)+'4th Order Polynomial TMP vs Res'!$F$41*POWER(B136,4)</f>
        <v>13707.569013979157</v>
      </c>
      <c r="F136" s="664">
        <f t="shared" si="22"/>
        <v>13913.182549188843</v>
      </c>
      <c r="G136" s="665"/>
      <c r="H136" s="666"/>
      <c r="I136" s="436"/>
      <c r="J136" s="667">
        <f>'4th Order Polynomial TMP vs Res'!$I$41*E136^4 + '4th Order Polynomial TMP vs Res'!$J$41*E136^3 + '4th Order Polynomial TMP vs Res'!$K$41*E136^2 + '4th Order Polynomial TMP vs Res'!$L$41*E136 + '4th Order Polynomial TMP vs Res'!$M$41</f>
        <v>75.945385317521072</v>
      </c>
      <c r="K136" s="667">
        <f t="shared" si="18"/>
        <v>5.4614682478927534E-2</v>
      </c>
      <c r="L136" s="436"/>
      <c r="M136" s="436"/>
      <c r="N136" s="436"/>
      <c r="O136" s="436"/>
      <c r="P136" s="436"/>
      <c r="Q136" s="436"/>
      <c r="R136" s="436"/>
      <c r="S136" s="436"/>
    </row>
    <row r="137" spans="1:19" ht="15" x14ac:dyDescent="0.2">
      <c r="A137" s="505">
        <v>118</v>
      </c>
      <c r="B137" s="506">
        <f t="shared" si="17"/>
        <v>77</v>
      </c>
      <c r="C137" s="664">
        <f t="shared" si="21"/>
        <v>13581.100256036796</v>
      </c>
      <c r="D137" s="664">
        <f>IF(B137 &lt;= VLOOKUP(Main!$N$22,Coefficients!$E$2:$H$28,4,FALSE),E137,NA())</f>
        <v>13787.919041661722</v>
      </c>
      <c r="E137" s="507">
        <f>'4th Order Polynomial TMP vs Res'!$B$41+'4th Order Polynomial TMP vs Res'!$C$41*POWER(B137,1)+'4th Order Polynomial TMP vs Res'!$D$41*POWER(B137,2)+'4th Order Polynomial TMP vs Res'!$E$41*POWER(B137,3)+'4th Order Polynomial TMP vs Res'!$F$41*POWER(B137,4)</f>
        <v>13787.919041661722</v>
      </c>
      <c r="F137" s="664">
        <f t="shared" si="22"/>
        <v>13994.737827286646</v>
      </c>
      <c r="G137" s="665"/>
      <c r="H137" s="666"/>
      <c r="I137" s="436"/>
      <c r="J137" s="667">
        <f>'4th Order Polynomial TMP vs Res'!$I$41*E137^4 + '4th Order Polynomial TMP vs Res'!$J$41*E137^3 + '4th Order Polynomial TMP vs Res'!$K$41*E137^2 + '4th Order Polynomial TMP vs Res'!$L$41*E137 + '4th Order Polynomial TMP vs Res'!$M$41</f>
        <v>76.946181138455131</v>
      </c>
      <c r="K137" s="667">
        <f t="shared" si="18"/>
        <v>5.3818861544868923E-2</v>
      </c>
      <c r="L137" s="436"/>
      <c r="M137" s="436"/>
      <c r="N137" s="436"/>
      <c r="O137" s="436"/>
      <c r="P137" s="436"/>
      <c r="Q137" s="436"/>
      <c r="R137" s="436"/>
      <c r="S137" s="436"/>
    </row>
    <row r="138" spans="1:19" ht="15" x14ac:dyDescent="0.2">
      <c r="A138" s="505">
        <v>119</v>
      </c>
      <c r="B138" s="506">
        <f t="shared" si="17"/>
        <v>78</v>
      </c>
      <c r="C138" s="664">
        <f t="shared" si="21"/>
        <v>13660.594062249145</v>
      </c>
      <c r="D138" s="664">
        <f>IF(B138 &lt;= VLOOKUP(Main!$N$22,Coefficients!$E$2:$H$28,4,FALSE),E138,NA())</f>
        <v>13868.623413450909</v>
      </c>
      <c r="E138" s="507">
        <f>'4th Order Polynomial TMP vs Res'!$B$41+'4th Order Polynomial TMP vs Res'!$C$41*POWER(B138,1)+'4th Order Polynomial TMP vs Res'!$D$41*POWER(B138,2)+'4th Order Polynomial TMP vs Res'!$E$41*POWER(B138,3)+'4th Order Polynomial TMP vs Res'!$F$41*POWER(B138,4)</f>
        <v>13868.623413450909</v>
      </c>
      <c r="F138" s="664">
        <f t="shared" si="22"/>
        <v>14076.65276465267</v>
      </c>
      <c r="G138" s="665"/>
      <c r="H138" s="666"/>
      <c r="I138" s="436"/>
      <c r="J138" s="667">
        <f>'4th Order Polynomial TMP vs Res'!$I$41*E138^4 + '4th Order Polynomial TMP vs Res'!$J$41*E138^3 + '4th Order Polynomial TMP vs Res'!$K$41*E138^2 + '4th Order Polynomial TMP vs Res'!$L$41*E138 + '4th Order Polynomial TMP vs Res'!$M$41</f>
        <v>77.947293926414034</v>
      </c>
      <c r="K138" s="667">
        <f t="shared" si="18"/>
        <v>5.2706073585966351E-2</v>
      </c>
      <c r="L138" s="436"/>
      <c r="M138" s="436"/>
      <c r="N138" s="436"/>
      <c r="O138" s="436"/>
      <c r="P138" s="436"/>
      <c r="Q138" s="436"/>
      <c r="R138" s="436"/>
      <c r="S138" s="436"/>
    </row>
    <row r="139" spans="1:19" ht="15" x14ac:dyDescent="0.2">
      <c r="A139" s="505">
        <v>120</v>
      </c>
      <c r="B139" s="506">
        <f t="shared" si="17"/>
        <v>79</v>
      </c>
      <c r="C139" s="664">
        <f t="shared" si="21"/>
        <v>13740.43784779988</v>
      </c>
      <c r="D139" s="664">
        <f>IF(B139 &lt;= VLOOKUP(Main!$N$22,Coefficients!$E$2:$H$28,4,FALSE),E139,NA())</f>
        <v>13949.683094213076</v>
      </c>
      <c r="E139" s="507">
        <f>'4th Order Polynomial TMP vs Res'!$B$41+'4th Order Polynomial TMP vs Res'!$C$41*POWER(B139,1)+'4th Order Polynomial TMP vs Res'!$D$41*POWER(B139,2)+'4th Order Polynomial TMP vs Res'!$E$41*POWER(B139,3)+'4th Order Polynomial TMP vs Res'!$F$41*POWER(B139,4)</f>
        <v>13949.683094213076</v>
      </c>
      <c r="F139" s="664">
        <f t="shared" si="22"/>
        <v>14158.928340626271</v>
      </c>
      <c r="G139" s="665"/>
      <c r="H139" s="666"/>
      <c r="I139" s="436"/>
      <c r="J139" s="667">
        <f>'4th Order Polynomial TMP vs Res'!$I$41*E139^4 + '4th Order Polynomial TMP vs Res'!$J$41*E139^3 + '4th Order Polynomial TMP vs Res'!$K$41*E139^2 + '4th Order Polynomial TMP vs Res'!$L$41*E139 + '4th Order Polynomial TMP vs Res'!$M$41</f>
        <v>78.948725383775866</v>
      </c>
      <c r="K139" s="667">
        <f t="shared" si="18"/>
        <v>5.1274616224134206E-2</v>
      </c>
      <c r="L139" s="436"/>
      <c r="M139" s="436"/>
      <c r="N139" s="436"/>
      <c r="O139" s="436"/>
      <c r="P139" s="436"/>
      <c r="Q139" s="436"/>
      <c r="R139" s="436"/>
      <c r="S139" s="436"/>
    </row>
    <row r="140" spans="1:19" ht="15" x14ac:dyDescent="0.2">
      <c r="A140" s="505">
        <v>121</v>
      </c>
      <c r="B140" s="506">
        <f t="shared" si="17"/>
        <v>80</v>
      </c>
      <c r="C140" s="664">
        <f t="shared" si="21"/>
        <v>13820.63257169433</v>
      </c>
      <c r="D140" s="664">
        <f>IF(B140 &lt;= VLOOKUP(Main!$N$22,Coefficients!$E$2:$H$28,4,FALSE),E140,NA())</f>
        <v>14031.099057557696</v>
      </c>
      <c r="E140" s="507">
        <f>'4th Order Polynomial TMP vs Res'!$B$41+'4th Order Polynomial TMP vs Res'!$C$41*POWER(B140,1)+'4th Order Polynomial TMP vs Res'!$D$41*POWER(B140,2)+'4th Order Polynomial TMP vs Res'!$E$41*POWER(B140,3)+'4th Order Polynomial TMP vs Res'!$F$41*POWER(B140,4)</f>
        <v>14031.099057557696</v>
      </c>
      <c r="F140" s="664">
        <f t="shared" si="22"/>
        <v>14241.56554342106</v>
      </c>
      <c r="G140" s="665"/>
      <c r="H140" s="666"/>
      <c r="I140" s="436"/>
      <c r="J140" s="667">
        <f>'4th Order Polynomial TMP vs Res'!$I$41*E140^4 + '4th Order Polynomial TMP vs Res'!$J$41*E140^3 + '4th Order Polynomial TMP vs Res'!$K$41*E140^2 + '4th Order Polynomial TMP vs Res'!$L$41*E140 + '4th Order Polynomial TMP vs Res'!$M$41</f>
        <v>79.950475728203855</v>
      </c>
      <c r="K140" s="667">
        <f t="shared" si="18"/>
        <v>4.9524271796144603E-2</v>
      </c>
      <c r="L140" s="436"/>
      <c r="M140" s="436"/>
      <c r="N140" s="436"/>
      <c r="O140" s="436"/>
      <c r="P140" s="436"/>
      <c r="Q140" s="436"/>
      <c r="R140" s="436"/>
      <c r="S140" s="436"/>
    </row>
    <row r="141" spans="1:19" ht="15" x14ac:dyDescent="0.2">
      <c r="A141" s="505">
        <v>122</v>
      </c>
      <c r="B141" s="506">
        <f t="shared" si="17"/>
        <v>81</v>
      </c>
      <c r="C141" s="664">
        <f t="shared" si="21"/>
        <v>13901.179201549752</v>
      </c>
      <c r="D141" s="664">
        <f>IF(B141 &lt;= VLOOKUP(Main!$N$22,Coefficients!$E$2:$H$28,4,FALSE),E141,NA())</f>
        <v>14112.872285837311</v>
      </c>
      <c r="E141" s="507">
        <f>'4th Order Polynomial TMP vs Res'!$B$41+'4th Order Polynomial TMP vs Res'!$C$41*POWER(B141,1)+'4th Order Polynomial TMP vs Res'!$D$41*POWER(B141,2)+'4th Order Polynomial TMP vs Res'!$E$41*POWER(B141,3)+'4th Order Polynomial TMP vs Res'!$F$41*POWER(B141,4)</f>
        <v>14112.872285837311</v>
      </c>
      <c r="F141" s="664">
        <f t="shared" si="22"/>
        <v>14324.56537012487</v>
      </c>
      <c r="G141" s="665"/>
      <c r="H141" s="666"/>
      <c r="I141" s="436"/>
      <c r="J141" s="667">
        <f>'4th Order Polynomial TMP vs Res'!$I$41*E141^4 + '4th Order Polynomial TMP vs Res'!$J$41*E141^3 + '4th Order Polynomial TMP vs Res'!$K$41*E141^2 + '4th Order Polynomial TMP vs Res'!$L$41*E141 + '4th Order Polynomial TMP vs Res'!$M$41</f>
        <v>80.952543604125765</v>
      </c>
      <c r="K141" s="667">
        <f t="shared" si="18"/>
        <v>4.7456395874235113E-2</v>
      </c>
      <c r="L141" s="436"/>
      <c r="M141" s="436"/>
      <c r="N141" s="436"/>
      <c r="O141" s="436"/>
      <c r="P141" s="436"/>
      <c r="Q141" s="436"/>
      <c r="R141" s="436"/>
      <c r="S141" s="436"/>
    </row>
    <row r="142" spans="1:19" ht="15" x14ac:dyDescent="0.2">
      <c r="A142" s="505">
        <v>123</v>
      </c>
      <c r="B142" s="506">
        <f t="shared" si="17"/>
        <v>82</v>
      </c>
      <c r="C142" s="664">
        <f t="shared" si="21"/>
        <v>13982.078713595349</v>
      </c>
      <c r="D142" s="664">
        <f>IF(B142 &lt;= VLOOKUP(Main!$N$22,Coefficients!$E$2:$H$28,4,FALSE),E142,NA())</f>
        <v>14195.003770147563</v>
      </c>
      <c r="E142" s="507">
        <f>'4th Order Polynomial TMP vs Res'!$B$41+'4th Order Polynomial TMP vs Res'!$C$41*POWER(B142,1)+'4th Order Polynomial TMP vs Res'!$D$41*POWER(B142,2)+'4th Order Polynomial TMP vs Res'!$E$41*POWER(B142,3)+'4th Order Polynomial TMP vs Res'!$F$41*POWER(B142,4)</f>
        <v>14195.003770147563</v>
      </c>
      <c r="F142" s="664">
        <f t="shared" si="22"/>
        <v>14407.928826699776</v>
      </c>
      <c r="G142" s="665"/>
      <c r="H142" s="666"/>
      <c r="I142" s="436"/>
      <c r="J142" s="667">
        <f>'4th Order Polynomial TMP vs Res'!$I$41*E142^4 + '4th Order Polynomial TMP vs Res'!$J$41*E142^3 + '4th Order Polynomial TMP vs Res'!$K$41*E142^2 + '4th Order Polynomial TMP vs Res'!$L$41*E142 + '4th Order Polynomial TMP vs Res'!$M$41</f>
        <v>81.954925991852292</v>
      </c>
      <c r="K142" s="667">
        <f t="shared" si="18"/>
        <v>4.50740081477079E-2</v>
      </c>
      <c r="L142" s="436"/>
      <c r="M142" s="436"/>
      <c r="N142" s="436"/>
      <c r="O142" s="436"/>
      <c r="P142" s="436"/>
      <c r="Q142" s="436"/>
      <c r="R142" s="436"/>
      <c r="S142" s="436"/>
    </row>
    <row r="143" spans="1:19" ht="15" x14ac:dyDescent="0.2">
      <c r="A143" s="505">
        <v>124</v>
      </c>
      <c r="B143" s="506">
        <f t="shared" si="17"/>
        <v>83</v>
      </c>
      <c r="C143" s="664">
        <f t="shared" si="21"/>
        <v>14063.332092672286</v>
      </c>
      <c r="D143" s="664">
        <f>IF(B143 &lt;= VLOOKUP(Main!$N$22,Coefficients!$E$2:$H$28,4,FALSE),E143,NA())</f>
        <v>14277.494510327195</v>
      </c>
      <c r="E143" s="507">
        <f>'4th Order Polynomial TMP vs Res'!$B$41+'4th Order Polynomial TMP vs Res'!$C$41*POWER(B143,1)+'4th Order Polynomial TMP vs Res'!$D$41*POWER(B143,2)+'4th Order Polynomial TMP vs Res'!$E$41*POWER(B143,3)+'4th Order Polynomial TMP vs Res'!$F$41*POWER(B143,4)</f>
        <v>14277.494510327195</v>
      </c>
      <c r="F143" s="664">
        <f t="shared" si="22"/>
        <v>14491.656927982101</v>
      </c>
      <c r="G143" s="665"/>
      <c r="H143" s="666"/>
      <c r="I143" s="436"/>
      <c r="J143" s="667">
        <f>'4th Order Polynomial TMP vs Res'!$I$41*E143^4 + '4th Order Polynomial TMP vs Res'!$J$41*E143^3 + '4th Order Polynomial TMP vs Res'!$K$41*E143^2 + '4th Order Polynomial TMP vs Res'!$L$41*E143 + '4th Order Polynomial TMP vs Res'!$M$41</f>
        <v>82.957618114279057</v>
      </c>
      <c r="K143" s="667">
        <f t="shared" si="18"/>
        <v>4.2381885720942591E-2</v>
      </c>
      <c r="L143" s="436"/>
      <c r="M143" s="436"/>
      <c r="N143" s="436"/>
      <c r="O143" s="436"/>
      <c r="P143" s="436"/>
      <c r="Q143" s="436"/>
      <c r="R143" s="436"/>
      <c r="S143" s="436"/>
    </row>
    <row r="144" spans="1:19" ht="15" x14ac:dyDescent="0.2">
      <c r="A144" s="505">
        <v>125</v>
      </c>
      <c r="B144" s="506">
        <f t="shared" si="17"/>
        <v>84</v>
      </c>
      <c r="C144" s="664">
        <f t="shared" si="21"/>
        <v>14144.940332233662</v>
      </c>
      <c r="D144" s="664">
        <f>IF(B144 &lt;= VLOOKUP(Main!$N$22,Coefficients!$E$2:$H$28,4,FALSE),E144,NA())</f>
        <v>14360.345514958033</v>
      </c>
      <c r="E144" s="507">
        <f>'4th Order Polynomial TMP vs Res'!$B$41+'4th Order Polynomial TMP vs Res'!$C$41*POWER(B144,1)+'4th Order Polynomial TMP vs Res'!$D$41*POWER(B144,2)+'4th Order Polynomial TMP vs Res'!$E$41*POWER(B144,3)+'4th Order Polynomial TMP vs Res'!$F$41*POWER(B144,4)</f>
        <v>14360.345514958033</v>
      </c>
      <c r="F144" s="664">
        <f t="shared" si="22"/>
        <v>14575.750697682402</v>
      </c>
      <c r="G144" s="665"/>
      <c r="H144" s="666"/>
      <c r="I144" s="436"/>
      <c r="J144" s="667">
        <f>'4th Order Polynomial TMP vs Res'!$I$41*E144^4 + '4th Order Polynomial TMP vs Res'!$J$41*E144^3 + '4th Order Polynomial TMP vs Res'!$K$41*E144^2 + '4th Order Polynomial TMP vs Res'!$L$41*E144 + '4th Order Polynomial TMP vs Res'!$M$41</f>
        <v>83.960613341119313</v>
      </c>
      <c r="K144" s="667">
        <f t="shared" si="18"/>
        <v>3.9386658880687264E-2</v>
      </c>
      <c r="L144" s="436"/>
      <c r="M144" s="436"/>
      <c r="N144" s="436"/>
      <c r="O144" s="436"/>
      <c r="P144" s="436"/>
      <c r="Q144" s="436"/>
      <c r="R144" s="436"/>
      <c r="S144" s="436"/>
    </row>
    <row r="145" spans="1:19" ht="15" x14ac:dyDescent="0.2">
      <c r="A145" s="505">
        <v>126</v>
      </c>
      <c r="B145" s="506">
        <f t="shared" si="17"/>
        <v>85</v>
      </c>
      <c r="C145" s="664">
        <f t="shared" si="21"/>
        <v>14226.904434344529</v>
      </c>
      <c r="D145" s="664">
        <f>IF(B145 &lt;= VLOOKUP(Main!$N$22,Coefficients!$E$2:$H$28,4,FALSE),E145,NA())</f>
        <v>14443.557801365005</v>
      </c>
      <c r="E145" s="507">
        <f>'4th Order Polynomial TMP vs Res'!$B$41+'4th Order Polynomial TMP vs Res'!$C$41*POWER(B145,1)+'4th Order Polynomial TMP vs Res'!$D$41*POWER(B145,2)+'4th Order Polynomial TMP vs Res'!$E$41*POWER(B145,3)+'4th Order Polynomial TMP vs Res'!$F$41*POWER(B145,4)</f>
        <v>14443.557801365005</v>
      </c>
      <c r="F145" s="664">
        <f t="shared" si="22"/>
        <v>14660.211168385478</v>
      </c>
      <c r="G145" s="665"/>
      <c r="H145" s="666"/>
      <c r="I145" s="436"/>
      <c r="J145" s="667">
        <f>'4th Order Polynomial TMP vs Res'!$I$41*E145^4 + '4th Order Polynomial TMP vs Res'!$J$41*E145^3 + '4th Order Polynomial TMP vs Res'!$K$41*E145^2 + '4th Order Polynomial TMP vs Res'!$L$41*E145 + '4th Order Polynomial TMP vs Res'!$M$41</f>
        <v>84.963903090615418</v>
      </c>
      <c r="K145" s="667">
        <f t="shared" si="18"/>
        <v>3.6096909384582432E-2</v>
      </c>
      <c r="L145" s="436"/>
      <c r="M145" s="436"/>
      <c r="N145" s="436"/>
      <c r="O145" s="436"/>
      <c r="P145" s="436"/>
      <c r="Q145" s="436"/>
      <c r="R145" s="436"/>
      <c r="S145" s="436"/>
    </row>
    <row r="146" spans="1:19" ht="15" x14ac:dyDescent="0.2">
      <c r="A146" s="505">
        <v>127</v>
      </c>
      <c r="B146" s="506">
        <f t="shared" si="17"/>
        <v>86</v>
      </c>
      <c r="C146" s="664">
        <f t="shared" si="21"/>
        <v>14309.225409681872</v>
      </c>
      <c r="D146" s="664">
        <f>IF(B146 &lt;= VLOOKUP(Main!$N$22,Coefficients!$E$2:$H$28,4,FALSE),E146,NA())</f>
        <v>14527.132395616114</v>
      </c>
      <c r="E146" s="507">
        <f>'4th Order Polynomial TMP vs Res'!$B$41+'4th Order Polynomial TMP vs Res'!$C$41*POWER(B146,1)+'4th Order Polynomial TMP vs Res'!$D$41*POWER(B146,2)+'4th Order Polynomial TMP vs Res'!$E$41*POWER(B146,3)+'4th Order Polynomial TMP vs Res'!$F$41*POWER(B146,4)</f>
        <v>14527.132395616114</v>
      </c>
      <c r="F146" s="664">
        <f t="shared" si="22"/>
        <v>14745.039381550354</v>
      </c>
      <c r="G146" s="665"/>
      <c r="H146" s="666"/>
      <c r="I146" s="436"/>
      <c r="J146" s="667">
        <f>'4th Order Polynomial TMP vs Res'!$I$41*E146^4 + '4th Order Polynomial TMP vs Res'!$J$41*E146^3 + '4th Order Polynomial TMP vs Res'!$K$41*E146^2 + '4th Order Polynomial TMP vs Res'!$L$41*E146 + '4th Order Polynomial TMP vs Res'!$M$41</f>
        <v>85.967476728669169</v>
      </c>
      <c r="K146" s="667">
        <f t="shared" si="18"/>
        <v>3.2523271330830994E-2</v>
      </c>
      <c r="L146" s="436"/>
      <c r="M146" s="436"/>
      <c r="N146" s="436"/>
      <c r="O146" s="436"/>
      <c r="P146" s="436"/>
      <c r="Q146" s="436"/>
      <c r="R146" s="436"/>
      <c r="S146" s="436"/>
    </row>
    <row r="147" spans="1:19" ht="15" x14ac:dyDescent="0.2">
      <c r="A147" s="505">
        <v>128</v>
      </c>
      <c r="B147" s="506">
        <f t="shared" si="17"/>
        <v>87</v>
      </c>
      <c r="C147" s="664">
        <f t="shared" si="21"/>
        <v>14391.904277534633</v>
      </c>
      <c r="D147" s="664">
        <f>IF(B147 &lt;= VLOOKUP(Main!$N$22,Coefficients!$E$2:$H$28,4,FALSE),E147,NA())</f>
        <v>14611.070332522471</v>
      </c>
      <c r="E147" s="507">
        <f>'4th Order Polynomial TMP vs Res'!$B$41+'4th Order Polynomial TMP vs Res'!$C$41*POWER(B147,1)+'4th Order Polynomial TMP vs Res'!$D$41*POWER(B147,2)+'4th Order Polynomial TMP vs Res'!$E$41*POWER(B147,3)+'4th Order Polynomial TMP vs Res'!$F$41*POWER(B147,4)</f>
        <v>14611.070332522471</v>
      </c>
      <c r="F147" s="664">
        <f t="shared" si="22"/>
        <v>14830.236387510307</v>
      </c>
      <c r="G147" s="665"/>
      <c r="H147" s="666"/>
      <c r="I147" s="436"/>
      <c r="J147" s="667">
        <f>'4th Order Polynomial TMP vs Res'!$I$41*E147^4 + '4th Order Polynomial TMP vs Res'!$J$41*E147^3 + '4th Order Polynomial TMP vs Res'!$K$41*E147^2 + '4th Order Polynomial TMP vs Res'!$L$41*E147 + '4th Order Polynomial TMP vs Res'!$M$41</f>
        <v>86.971321465336189</v>
      </c>
      <c r="K147" s="667">
        <f t="shared" si="18"/>
        <v>2.8678534663811206E-2</v>
      </c>
      <c r="L147" s="436"/>
      <c r="M147" s="436"/>
      <c r="N147" s="436"/>
      <c r="O147" s="436"/>
      <c r="P147" s="436"/>
      <c r="Q147" s="436"/>
      <c r="R147" s="436"/>
      <c r="S147" s="436"/>
    </row>
    <row r="148" spans="1:19" ht="15" x14ac:dyDescent="0.2">
      <c r="A148" s="505">
        <v>129</v>
      </c>
      <c r="B148" s="506">
        <f t="shared" si="17"/>
        <v>88</v>
      </c>
      <c r="C148" s="664">
        <f t="shared" si="21"/>
        <v>14474.9420658037</v>
      </c>
      <c r="D148" s="664">
        <f>IF(B148 &lt;= VLOOKUP(Main!$N$22,Coefficients!$E$2:$H$28,4,FALSE),E148,NA())</f>
        <v>14695.372655638273</v>
      </c>
      <c r="E148" s="507">
        <f>'4th Order Polynomial TMP vs Res'!$B$41+'4th Order Polynomial TMP vs Res'!$C$41*POWER(B148,1)+'4th Order Polynomial TMP vs Res'!$D$41*POWER(B148,2)+'4th Order Polynomial TMP vs Res'!$E$41*POWER(B148,3)+'4th Order Polynomial TMP vs Res'!$F$41*POWER(B148,4)</f>
        <v>14695.372655638273</v>
      </c>
      <c r="F148" s="664">
        <f t="shared" si="22"/>
        <v>14915.803245472845</v>
      </c>
      <c r="G148" s="665"/>
      <c r="H148" s="666"/>
      <c r="I148" s="436"/>
      <c r="J148" s="667">
        <f>'4th Order Polynomial TMP vs Res'!$I$41*E148^4 + '4th Order Polynomial TMP vs Res'!$J$41*E148^3 + '4th Order Polynomial TMP vs Res'!$K$41*E148^2 + '4th Order Polynomial TMP vs Res'!$L$41*E148 + '4th Order Polynomial TMP vs Res'!$M$41</f>
        <v>87.97542224862724</v>
      </c>
      <c r="K148" s="667">
        <f t="shared" ref="K148:K179" si="23">B148-J148</f>
        <v>2.4577751372760304E-2</v>
      </c>
      <c r="L148" s="436"/>
      <c r="M148" s="436"/>
      <c r="N148" s="436"/>
      <c r="O148" s="436"/>
      <c r="P148" s="436"/>
      <c r="Q148" s="436"/>
      <c r="R148" s="436"/>
      <c r="S148" s="436"/>
    </row>
    <row r="149" spans="1:19" ht="15" x14ac:dyDescent="0.2">
      <c r="A149" s="505">
        <v>130</v>
      </c>
      <c r="B149" s="506">
        <f t="shared" si="17"/>
        <v>89</v>
      </c>
      <c r="C149" s="664">
        <f t="shared" si="21"/>
        <v>14558.339811001906</v>
      </c>
      <c r="D149" s="664">
        <f>IF(B149 &lt;= VLOOKUP(Main!$N$22,Coefficients!$E$2:$H$28,4,FALSE),E149,NA())</f>
        <v>14780.040417260818</v>
      </c>
      <c r="E149" s="507">
        <f>'4th Order Polynomial TMP vs Res'!$B$41+'4th Order Polynomial TMP vs Res'!$C$41*POWER(B149,1)+'4th Order Polynomial TMP vs Res'!$D$41*POWER(B149,2)+'4th Order Polynomial TMP vs Res'!$E$41*POWER(B149,3)+'4th Order Polynomial TMP vs Res'!$F$41*POWER(B149,4)</f>
        <v>14780.040417260818</v>
      </c>
      <c r="F149" s="664">
        <f t="shared" si="22"/>
        <v>15001.741023519729</v>
      </c>
      <c r="G149" s="665"/>
      <c r="H149" s="666"/>
      <c r="I149" s="436"/>
      <c r="J149" s="667">
        <f>'4th Order Polynomial TMP vs Res'!$I$41*E149^4 + '4th Order Polynomial TMP vs Res'!$J$41*E149^3 + '4th Order Polynomial TMP vs Res'!$K$41*E149^2 + '4th Order Polynomial TMP vs Res'!$L$41*E149 + '4th Order Polynomial TMP vs Res'!$M$41</f>
        <v>88.979761655555762</v>
      </c>
      <c r="K149" s="667">
        <f t="shared" si="23"/>
        <v>2.0238344444237555E-2</v>
      </c>
      <c r="L149" s="436"/>
      <c r="M149" s="436"/>
      <c r="N149" s="436"/>
      <c r="O149" s="436"/>
      <c r="P149" s="436"/>
      <c r="Q149" s="436"/>
      <c r="R149" s="436"/>
      <c r="S149" s="436"/>
    </row>
    <row r="150" spans="1:19" ht="15" x14ac:dyDescent="0.2">
      <c r="A150" s="505">
        <v>131</v>
      </c>
      <c r="B150" s="506">
        <f t="shared" ref="B150:B213" si="24">B149+1</f>
        <v>90</v>
      </c>
      <c r="C150" s="664">
        <f t="shared" si="21"/>
        <v>14642.098558254023</v>
      </c>
      <c r="D150" s="664">
        <f>IF(B150 &lt;= VLOOKUP(Main!$N$22,Coefficients!$E$2:$H$28,4,FALSE),E150,NA())</f>
        <v>14865.074678430481</v>
      </c>
      <c r="E150" s="507">
        <f>'4th Order Polynomial TMP vs Res'!$B$41+'4th Order Polynomial TMP vs Res'!$C$41*POWER(B150,1)+'4th Order Polynomial TMP vs Res'!$D$41*POWER(B150,2)+'4th Order Polynomial TMP vs Res'!$E$41*POWER(B150,3)+'4th Order Polynomial TMP vs Res'!$F$41*POWER(B150,4)</f>
        <v>14865.074678430481</v>
      </c>
      <c r="F150" s="664">
        <f t="shared" si="22"/>
        <v>15088.050798606937</v>
      </c>
      <c r="G150" s="665"/>
      <c r="H150" s="666"/>
      <c r="I150" s="436"/>
      <c r="J150" s="667">
        <f>'4th Order Polynomial TMP vs Res'!$I$41*E150^4 + '4th Order Polynomial TMP vs Res'!$J$41*E150^3 + '4th Order Polynomial TMP vs Res'!$K$41*E150^2 + '4th Order Polynomial TMP vs Res'!$L$41*E150 + '4th Order Polynomial TMP vs Res'!$M$41</f>
        <v>89.984319780370015</v>
      </c>
      <c r="K150" s="667">
        <f t="shared" si="23"/>
        <v>1.5680219629985004E-2</v>
      </c>
      <c r="L150" s="436"/>
      <c r="M150" s="436"/>
      <c r="N150" s="436"/>
      <c r="O150" s="436"/>
      <c r="P150" s="436"/>
      <c r="Q150" s="436"/>
      <c r="R150" s="436"/>
      <c r="S150" s="436"/>
    </row>
    <row r="151" spans="1:19" ht="15" x14ac:dyDescent="0.2">
      <c r="A151" s="505">
        <v>132</v>
      </c>
      <c r="B151" s="506">
        <f t="shared" si="24"/>
        <v>91</v>
      </c>
      <c r="C151" s="664">
        <f t="shared" si="21"/>
        <v>14726.219361296775</v>
      </c>
      <c r="D151" s="664">
        <f>IF(B151 &lt;= VLOOKUP(Main!$N$22,Coefficients!$E$2:$H$28,4,FALSE),E151,NA())</f>
        <v>14950.476508930737</v>
      </c>
      <c r="E151" s="507">
        <f>'4th Order Polynomial TMP vs Res'!$B$41+'4th Order Polynomial TMP vs Res'!$C$41*POWER(B151,1)+'4th Order Polynomial TMP vs Res'!$D$41*POWER(B151,2)+'4th Order Polynomial TMP vs Res'!$E$41*POWER(B151,3)+'4th Order Polynomial TMP vs Res'!$F$41*POWER(B151,4)</f>
        <v>14950.476508930737</v>
      </c>
      <c r="F151" s="664">
        <f t="shared" si="22"/>
        <v>15174.733656564697</v>
      </c>
      <c r="G151" s="665"/>
      <c r="H151" s="666"/>
      <c r="I151" s="436"/>
      <c r="J151" s="667">
        <f>'4th Order Polynomial TMP vs Res'!$I$41*E151^4 + '4th Order Polynomial TMP vs Res'!$J$41*E151^3 + '4th Order Polynomial TMP vs Res'!$K$41*E151^2 + '4th Order Polynomial TMP vs Res'!$L$41*E151 + '4th Order Polynomial TMP vs Res'!$M$41</f>
        <v>90.989074119911663</v>
      </c>
      <c r="K151" s="667">
        <f t="shared" si="23"/>
        <v>1.0925880088336726E-2</v>
      </c>
      <c r="L151" s="436"/>
      <c r="M151" s="436"/>
      <c r="N151" s="436"/>
      <c r="O151" s="436"/>
      <c r="P151" s="436"/>
      <c r="Q151" s="436"/>
      <c r="R151" s="436"/>
      <c r="S151" s="436"/>
    </row>
    <row r="152" spans="1:19" ht="15" x14ac:dyDescent="0.2">
      <c r="A152" s="505">
        <v>133</v>
      </c>
      <c r="B152" s="506">
        <f t="shared" si="24"/>
        <v>92</v>
      </c>
      <c r="C152" s="664">
        <f t="shared" si="21"/>
        <v>14810.703282478837</v>
      </c>
      <c r="D152" s="664">
        <f>IF(B152 &lt;= VLOOKUP(Main!$N$22,Coefficients!$E$2:$H$28,4,FALSE),E152,NA())</f>
        <v>15036.246987288159</v>
      </c>
      <c r="E152" s="507">
        <f>'4th Order Polynomial TMP vs Res'!$B$41+'4th Order Polynomial TMP vs Res'!$C$41*POWER(B152,1)+'4th Order Polynomial TMP vs Res'!$D$41*POWER(B152,2)+'4th Order Polynomial TMP vs Res'!$E$41*POWER(B152,3)+'4th Order Polynomial TMP vs Res'!$F$41*POWER(B152,4)</f>
        <v>15036.246987288159</v>
      </c>
      <c r="F152" s="664">
        <f t="shared" si="22"/>
        <v>15261.79069209748</v>
      </c>
      <c r="G152" s="665"/>
      <c r="H152" s="666"/>
      <c r="I152" s="436"/>
      <c r="J152" s="667">
        <f>'4th Order Polynomial TMP vs Res'!$I$41*E152^4 + '4th Order Polynomial TMP vs Res'!$J$41*E152^3 + '4th Order Polynomial TMP vs Res'!$K$41*E152^2 + '4th Order Polynomial TMP vs Res'!$L$41*E152 + '4th Order Polynomial TMP vs Res'!$M$41</f>
        <v>91.993999456034373</v>
      </c>
      <c r="K152" s="667">
        <f t="shared" si="23"/>
        <v>6.000543965626548E-3</v>
      </c>
      <c r="L152" s="436"/>
      <c r="M152" s="436"/>
      <c r="N152" s="436"/>
      <c r="O152" s="436"/>
      <c r="P152" s="436"/>
      <c r="Q152" s="436"/>
      <c r="R152" s="436"/>
      <c r="S152" s="436"/>
    </row>
    <row r="153" spans="1:19" ht="15" x14ac:dyDescent="0.2">
      <c r="A153" s="505">
        <v>134</v>
      </c>
      <c r="B153" s="506">
        <f t="shared" si="24"/>
        <v>93</v>
      </c>
      <c r="C153" s="664">
        <f t="shared" si="21"/>
        <v>14895.551392760817</v>
      </c>
      <c r="D153" s="664">
        <f>IF(B153 &lt;= VLOOKUP(Main!$N$22,Coefficients!$E$2:$H$28,4,FALSE),E153,NA())</f>
        <v>15122.387200772404</v>
      </c>
      <c r="E153" s="507">
        <f>'4th Order Polynomial TMP vs Res'!$B$41+'4th Order Polynomial TMP vs Res'!$C$41*POWER(B153,1)+'4th Order Polynomial TMP vs Res'!$D$41*POWER(B153,2)+'4th Order Polynomial TMP vs Res'!$E$41*POWER(B153,3)+'4th Order Polynomial TMP vs Res'!$F$41*POWER(B153,4)</f>
        <v>15122.387200772404</v>
      </c>
      <c r="F153" s="664">
        <f t="shared" si="22"/>
        <v>15349.223008783989</v>
      </c>
      <c r="G153" s="665"/>
      <c r="H153" s="666"/>
      <c r="I153" s="436"/>
      <c r="J153" s="667">
        <f>'4th Order Polynomial TMP vs Res'!$I$41*E153^4 + '4th Order Polynomial TMP vs Res'!$J$41*E153^3 + '4th Order Polynomial TMP vs Res'!$K$41*E153^2 + '4th Order Polynomial TMP vs Res'!$L$41*E153 + '4th Order Polynomial TMP vs Res'!$M$41</f>
        <v>92.99906773502056</v>
      </c>
      <c r="K153" s="667">
        <f t="shared" si="23"/>
        <v>9.3226497943987852E-4</v>
      </c>
      <c r="L153" s="436"/>
      <c r="M153" s="436"/>
      <c r="N153" s="436"/>
      <c r="O153" s="436"/>
      <c r="P153" s="436"/>
      <c r="Q153" s="436"/>
      <c r="R153" s="436"/>
      <c r="S153" s="436"/>
    </row>
    <row r="154" spans="1:19" ht="15" x14ac:dyDescent="0.2">
      <c r="A154" s="505">
        <v>135</v>
      </c>
      <c r="B154" s="506">
        <f t="shared" si="24"/>
        <v>94</v>
      </c>
      <c r="C154" s="664">
        <f t="shared" si="21"/>
        <v>14980.764771715281</v>
      </c>
      <c r="D154" s="664">
        <f>IF(B154 &lt;= VLOOKUP(Main!$N$22,Coefficients!$E$2:$H$28,4,FALSE),E154,NA())</f>
        <v>15208.898245396225</v>
      </c>
      <c r="E154" s="507">
        <f>'4th Order Polynomial TMP vs Res'!$B$41+'4th Order Polynomial TMP vs Res'!$C$41*POWER(B154,1)+'4th Order Polynomial TMP vs Res'!$D$41*POWER(B154,2)+'4th Order Polynomial TMP vs Res'!$E$41*POWER(B154,3)+'4th Order Polynomial TMP vs Res'!$F$41*POWER(B154,4)</f>
        <v>15208.898245396225</v>
      </c>
      <c r="F154" s="664">
        <f t="shared" si="22"/>
        <v>15437.031719077168</v>
      </c>
      <c r="G154" s="665"/>
      <c r="H154" s="666"/>
      <c r="I154" s="436"/>
      <c r="J154" s="667">
        <f>'4th Order Polynomial TMP vs Res'!$I$41*E154^4 + '4th Order Polynomial TMP vs Res'!$J$41*E154^3 + '4th Order Polynomial TMP vs Res'!$K$41*E154^2 + '4th Order Polynomial TMP vs Res'!$L$41*E154 + '4th Order Polynomial TMP vs Res'!$M$41</f>
        <v>94.004247943929158</v>
      </c>
      <c r="K154" s="667">
        <f t="shared" si="23"/>
        <v>-4.2479439291582821E-3</v>
      </c>
      <c r="L154" s="436"/>
      <c r="M154" s="436"/>
      <c r="N154" s="436"/>
      <c r="O154" s="436"/>
      <c r="P154" s="436"/>
      <c r="Q154" s="436"/>
      <c r="R154" s="436"/>
      <c r="S154" s="436"/>
    </row>
    <row r="155" spans="1:19" ht="15" x14ac:dyDescent="0.2">
      <c r="A155" s="505">
        <v>136</v>
      </c>
      <c r="B155" s="506">
        <f t="shared" si="24"/>
        <v>95</v>
      </c>
      <c r="C155" s="664">
        <f t="shared" si="21"/>
        <v>15066.344507526734</v>
      </c>
      <c r="D155" s="664">
        <f>IF(B155 &lt;= VLOOKUP(Main!$N$22,Coefficients!$E$2:$H$28,4,FALSE),E155,NA())</f>
        <v>15295.781225915465</v>
      </c>
      <c r="E155" s="507">
        <f>'4th Order Polynomial TMP vs Res'!$B$41+'4th Order Polynomial TMP vs Res'!$C$41*POWER(B155,1)+'4th Order Polynomial TMP vs Res'!$D$41*POWER(B155,2)+'4th Order Polynomial TMP vs Res'!$E$41*POWER(B155,3)+'4th Order Polynomial TMP vs Res'!$F$41*POWER(B155,4)</f>
        <v>15295.781225915465</v>
      </c>
      <c r="F155" s="664">
        <f t="shared" si="22"/>
        <v>15525.217944304195</v>
      </c>
      <c r="G155" s="665"/>
      <c r="H155" s="666"/>
      <c r="I155" s="436"/>
      <c r="J155" s="667">
        <f>'4th Order Polynomial TMP vs Res'!$I$41*E155^4 + '4th Order Polynomial TMP vs Res'!$J$41*E155^3 + '4th Order Polynomial TMP vs Res'!$K$41*E155^2 + '4th Order Polynomial TMP vs Res'!$L$41*E155 + '4th Order Polynomial TMP vs Res'!$M$41</f>
        <v>95.009505983808822</v>
      </c>
      <c r="K155" s="667">
        <f t="shared" si="23"/>
        <v>-9.5059838088218385E-3</v>
      </c>
      <c r="L155" s="436"/>
      <c r="M155" s="436"/>
      <c r="N155" s="436"/>
      <c r="O155" s="436"/>
      <c r="P155" s="436"/>
      <c r="Q155" s="436"/>
      <c r="R155" s="436"/>
      <c r="S155" s="436"/>
    </row>
    <row r="156" spans="1:19" ht="15" x14ac:dyDescent="0.2">
      <c r="A156" s="505">
        <v>137</v>
      </c>
      <c r="B156" s="506">
        <f t="shared" si="24"/>
        <v>96</v>
      </c>
      <c r="C156" s="664">
        <f t="shared" si="21"/>
        <v>15152.291696991631</v>
      </c>
      <c r="D156" s="664">
        <f>IF(B156 &lt;= VLOOKUP(Main!$N$22,Coefficients!$E$2:$H$28,4,FALSE),E156,NA())</f>
        <v>15383.037255829067</v>
      </c>
      <c r="E156" s="507">
        <f>'4th Order Polynomial TMP vs Res'!$B$41+'4th Order Polynomial TMP vs Res'!$C$41*POWER(B156,1)+'4th Order Polynomial TMP vs Res'!$D$41*POWER(B156,2)+'4th Order Polynomial TMP vs Res'!$E$41*POWER(B156,3)+'4th Order Polynomial TMP vs Res'!$F$41*POWER(B156,4)</f>
        <v>15383.037255829067</v>
      </c>
      <c r="F156" s="664">
        <f t="shared" si="22"/>
        <v>15613.782814666502</v>
      </c>
      <c r="G156" s="665"/>
      <c r="H156" s="666"/>
      <c r="I156" s="436"/>
      <c r="J156" s="667">
        <f>'4th Order Polynomial TMP vs Res'!$I$41*E156^4 + '4th Order Polynomial TMP vs Res'!$J$41*E156^3 + '4th Order Polynomial TMP vs Res'!$K$41*E156^2 + '4th Order Polynomial TMP vs Res'!$L$41*E156 + '4th Order Polynomial TMP vs Res'!$M$41</f>
        <v>96.014804539707427</v>
      </c>
      <c r="K156" s="667">
        <f t="shared" si="23"/>
        <v>-1.4804539707427011E-2</v>
      </c>
      <c r="L156" s="436"/>
      <c r="M156" s="436"/>
      <c r="N156" s="436"/>
      <c r="O156" s="436"/>
      <c r="P156" s="436"/>
      <c r="Q156" s="436"/>
      <c r="R156" s="436"/>
      <c r="S156" s="436"/>
    </row>
    <row r="157" spans="1:19" ht="15" x14ac:dyDescent="0.2">
      <c r="A157" s="505">
        <v>138</v>
      </c>
      <c r="B157" s="506">
        <f t="shared" si="24"/>
        <v>97</v>
      </c>
      <c r="C157" s="664">
        <f t="shared" si="21"/>
        <v>15238.607445518366</v>
      </c>
      <c r="D157" s="664">
        <f>IF(B157 &lt;= VLOOKUP(Main!$N$22,Coefficients!$E$2:$H$28,4,FALSE),E157,NA())</f>
        <v>15470.667457379051</v>
      </c>
      <c r="E157" s="507">
        <f>'4th Order Polynomial TMP vs Res'!$B$41+'4th Order Polynomial TMP vs Res'!$C$41*POWER(B157,1)+'4th Order Polynomial TMP vs Res'!$D$41*POWER(B157,2)+'4th Order Polynomial TMP vs Res'!$E$41*POWER(B157,3)+'4th Order Polynomial TMP vs Res'!$F$41*POWER(B157,4)</f>
        <v>15470.667457379051</v>
      </c>
      <c r="F157" s="664">
        <f t="shared" si="22"/>
        <v>15702.727469239735</v>
      </c>
      <c r="G157" s="665"/>
      <c r="H157" s="666"/>
      <c r="I157" s="436"/>
      <c r="J157" s="667">
        <f>'4th Order Polynomial TMP vs Res'!$I$41*E157^4 + '4th Order Polynomial TMP vs Res'!$J$41*E157^3 + '4th Order Polynomial TMP vs Res'!$K$41*E157^2 + '4th Order Polynomial TMP vs Res'!$L$41*E157 + '4th Order Polynomial TMP vs Res'!$M$41</f>
        <v>97.020102947409157</v>
      </c>
      <c r="K157" s="667">
        <f t="shared" si="23"/>
        <v>-2.0102947409156968E-2</v>
      </c>
      <c r="L157" s="436"/>
      <c r="M157" s="436"/>
      <c r="N157" s="436"/>
      <c r="O157" s="436"/>
      <c r="P157" s="436"/>
      <c r="Q157" s="436"/>
      <c r="R157" s="436"/>
      <c r="S157" s="436"/>
    </row>
    <row r="158" spans="1:19" ht="15" x14ac:dyDescent="0.2">
      <c r="A158" s="505">
        <v>139</v>
      </c>
      <c r="B158" s="506">
        <f t="shared" si="24"/>
        <v>98</v>
      </c>
      <c r="C158" s="664">
        <f t="shared" si="21"/>
        <v>15325.292867127291</v>
      </c>
      <c r="D158" s="664">
        <f>IF(B158 &lt;= VLOOKUP(Main!$N$22,Coefficients!$E$2:$H$28,4,FALSE),E158,NA())</f>
        <v>15558.67296155055</v>
      </c>
      <c r="E158" s="507">
        <f>'4th Order Polynomial TMP vs Res'!$B$41+'4th Order Polynomial TMP vs Res'!$C$41*POWER(B158,1)+'4th Order Polynomial TMP vs Res'!$D$41*POWER(B158,2)+'4th Order Polynomial TMP vs Res'!$E$41*POWER(B158,3)+'4th Order Polynomial TMP vs Res'!$F$41*POWER(B158,4)</f>
        <v>15558.67296155055</v>
      </c>
      <c r="F158" s="664">
        <f t="shared" si="22"/>
        <v>15792.053055973807</v>
      </c>
      <c r="G158" s="665"/>
      <c r="H158" s="666"/>
      <c r="I158" s="436"/>
      <c r="J158" s="667">
        <f>'4th Order Polynomial TMP vs Res'!$I$41*E158^4 + '4th Order Polynomial TMP vs Res'!$J$41*E158^3 + '4th Order Polynomial TMP vs Res'!$K$41*E158^2 + '4th Order Polynomial TMP vs Res'!$L$41*E158 + '4th Order Polynomial TMP vs Res'!$M$41</f>
        <v>98.025357056827431</v>
      </c>
      <c r="K158" s="667">
        <f t="shared" si="23"/>
        <v>-2.5357056827431279E-2</v>
      </c>
      <c r="L158" s="436"/>
      <c r="M158" s="436"/>
      <c r="N158" s="436"/>
      <c r="O158" s="436"/>
      <c r="P158" s="436"/>
      <c r="Q158" s="436"/>
      <c r="R158" s="436"/>
      <c r="S158" s="436"/>
    </row>
    <row r="159" spans="1:19" ht="15" x14ac:dyDescent="0.2">
      <c r="A159" s="505">
        <v>140</v>
      </c>
      <c r="B159" s="506">
        <f t="shared" si="24"/>
        <v>99</v>
      </c>
      <c r="C159" s="664">
        <f t="shared" si="21"/>
        <v>15412.349084450696</v>
      </c>
      <c r="D159" s="664">
        <f>IF(B159 &lt;= VLOOKUP(Main!$N$22,Coefficients!$E$2:$H$28,4,FALSE),E159,NA())</f>
        <v>15647.054908071772</v>
      </c>
      <c r="E159" s="507">
        <f>'4th Order Polynomial TMP vs Res'!$B$41+'4th Order Polynomial TMP vs Res'!$C$41*POWER(B159,1)+'4th Order Polynomial TMP vs Res'!$D$41*POWER(B159,2)+'4th Order Polynomial TMP vs Res'!$E$41*POWER(B159,3)+'4th Order Polynomial TMP vs Res'!$F$41*POWER(B159,4)</f>
        <v>15647.054908071772</v>
      </c>
      <c r="F159" s="664">
        <f t="shared" si="22"/>
        <v>15881.760731692846</v>
      </c>
      <c r="G159" s="665"/>
      <c r="H159" s="666"/>
      <c r="I159" s="436"/>
      <c r="J159" s="667">
        <f>'4th Order Polynomial TMP vs Res'!$I$41*E159^4 + '4th Order Polynomial TMP vs Res'!$J$41*E159^3 + '4th Order Polynomial TMP vs Res'!$K$41*E159^2 + '4th Order Polynomial TMP vs Res'!$L$41*E159 + '4th Order Polynomial TMP vs Res'!$M$41</f>
        <v>99.030519091983138</v>
      </c>
      <c r="K159" s="667">
        <f t="shared" si="23"/>
        <v>-3.0519091983137514E-2</v>
      </c>
      <c r="L159" s="436"/>
      <c r="M159" s="436"/>
      <c r="N159" s="436"/>
      <c r="O159" s="436"/>
      <c r="P159" s="436"/>
      <c r="Q159" s="436"/>
      <c r="R159" s="436"/>
      <c r="S159" s="436"/>
    </row>
    <row r="160" spans="1:19" ht="15" x14ac:dyDescent="0.2">
      <c r="A160" s="505">
        <v>141</v>
      </c>
      <c r="B160" s="506">
        <f t="shared" si="24"/>
        <v>100</v>
      </c>
      <c r="C160" s="664">
        <f t="shared" si="21"/>
        <v>15499.77722873281</v>
      </c>
      <c r="D160" s="664">
        <f>IF(B160 &lt;= VLOOKUP(Main!$N$22,Coefficients!$E$2:$H$28,4,FALSE),E160,NA())</f>
        <v>15735.81444541402</v>
      </c>
      <c r="E160" s="507">
        <f>'4th Order Polynomial TMP vs Res'!$B$41+'4th Order Polynomial TMP vs Res'!$C$41*POWER(B160,1)+'4th Order Polynomial TMP vs Res'!$D$41*POWER(B160,2)+'4th Order Polynomial TMP vs Res'!$E$41*POWER(B160,3)+'4th Order Polynomial TMP vs Res'!$F$41*POWER(B160,4)</f>
        <v>15735.81444541402</v>
      </c>
      <c r="F160" s="664">
        <f t="shared" si="22"/>
        <v>15971.851662095229</v>
      </c>
      <c r="G160" s="665"/>
      <c r="H160" s="666"/>
      <c r="I160" s="436"/>
      <c r="J160" s="667">
        <f>'4th Order Polynomial TMP vs Res'!$I$41*E160^4 + '4th Order Polynomial TMP vs Res'!$J$41*E160^3 + '4th Order Polynomial TMP vs Res'!$K$41*E160^2 + '4th Order Polynomial TMP vs Res'!$L$41*E160 + '4th Order Polynomial TMP vs Res'!$M$41</f>
        <v>100.0355375074908</v>
      </c>
      <c r="K160" s="667">
        <f t="shared" si="23"/>
        <v>-3.553750749080109E-2</v>
      </c>
      <c r="L160" s="436"/>
      <c r="M160" s="436"/>
      <c r="N160" s="436"/>
      <c r="O160" s="436"/>
      <c r="P160" s="436"/>
      <c r="Q160" s="436"/>
      <c r="R160" s="436"/>
      <c r="S160" s="436"/>
    </row>
    <row r="161" spans="1:19" ht="15" x14ac:dyDescent="0.2">
      <c r="A161" s="505">
        <v>142</v>
      </c>
      <c r="B161" s="506">
        <f t="shared" si="24"/>
        <v>101</v>
      </c>
      <c r="C161" s="664">
        <f t="shared" si="21"/>
        <v>15587.578439829826</v>
      </c>
      <c r="D161" s="664">
        <f>IF(B161 &lt;= VLOOKUP(Main!$N$22,Coefficients!$E$2:$H$28,4,FALSE),E161,NA())</f>
        <v>15824.952730791701</v>
      </c>
      <c r="E161" s="507">
        <f>'4th Order Polynomial TMP vs Res'!$B$41+'4th Order Polynomial TMP vs Res'!$C$41*POWER(B161,1)+'4th Order Polynomial TMP vs Res'!$D$41*POWER(B161,2)+'4th Order Polynomial TMP vs Res'!$E$41*POWER(B161,3)+'4th Order Polynomial TMP vs Res'!$F$41*POWER(B161,4)</f>
        <v>15824.952730791701</v>
      </c>
      <c r="F161" s="664">
        <f t="shared" si="22"/>
        <v>16062.327021753576</v>
      </c>
      <c r="G161" s="665"/>
      <c r="H161" s="666"/>
      <c r="I161" s="436"/>
      <c r="J161" s="667">
        <f>'4th Order Polynomial TMP vs Res'!$I$41*E161^4 + '4th Order Polynomial TMP vs Res'!$J$41*E161^3 + '4th Order Polynomial TMP vs Res'!$K$41*E161^2 + '4th Order Polynomial TMP vs Res'!$L$41*E161 + '4th Order Polynomial TMP vs Res'!$M$41</f>
        <v>101.04035684148249</v>
      </c>
      <c r="K161" s="667">
        <f t="shared" si="23"/>
        <v>-4.0356841482491745E-2</v>
      </c>
      <c r="L161" s="436"/>
      <c r="M161" s="436"/>
      <c r="N161" s="436"/>
      <c r="O161" s="436"/>
      <c r="P161" s="436"/>
      <c r="Q161" s="436"/>
      <c r="R161" s="436"/>
      <c r="S161" s="436"/>
    </row>
    <row r="162" spans="1:19" ht="15" x14ac:dyDescent="0.2">
      <c r="A162" s="505">
        <v>143</v>
      </c>
      <c r="B162" s="506">
        <f t="shared" si="24"/>
        <v>102</v>
      </c>
      <c r="C162" s="664">
        <f t="shared" si="21"/>
        <v>15675.753866209865</v>
      </c>
      <c r="D162" s="664">
        <f>IF(B162 &lt;= VLOOKUP(Main!$N$22,Coefficients!$E$2:$H$28,4,FALSE),E162,NA())</f>
        <v>15914.470930162299</v>
      </c>
      <c r="E162" s="507">
        <f>'4th Order Polynomial TMP vs Res'!$B$41+'4th Order Polynomial TMP vs Res'!$C$41*POWER(B162,1)+'4th Order Polynomial TMP vs Res'!$D$41*POWER(B162,2)+'4th Order Polynomial TMP vs Res'!$E$41*POWER(B162,3)+'4th Order Polynomial TMP vs Res'!$F$41*POWER(B162,4)</f>
        <v>15914.470930162299</v>
      </c>
      <c r="F162" s="664">
        <f t="shared" si="22"/>
        <v>16153.187994114733</v>
      </c>
      <c r="G162" s="665"/>
      <c r="H162" s="666"/>
      <c r="I162" s="436"/>
      <c r="J162" s="667">
        <f>'4th Order Polynomial TMP vs Res'!$I$41*E162^4 + '4th Order Polynomial TMP vs Res'!$J$41*E162^3 + '4th Order Polynomial TMP vs Res'!$K$41*E162^2 + '4th Order Polynomial TMP vs Res'!$L$41*E162 + '4th Order Polynomial TMP vs Res'!$M$41</f>
        <v>102.04491756488733</v>
      </c>
      <c r="K162" s="667">
        <f t="shared" si="23"/>
        <v>-4.4917564887327899E-2</v>
      </c>
      <c r="L162" s="436"/>
      <c r="M162" s="436"/>
      <c r="N162" s="436"/>
      <c r="O162" s="436"/>
      <c r="P162" s="436"/>
      <c r="Q162" s="436"/>
      <c r="R162" s="436"/>
      <c r="S162" s="436"/>
    </row>
    <row r="163" spans="1:19" ht="15" x14ac:dyDescent="0.2">
      <c r="A163" s="505">
        <v>144</v>
      </c>
      <c r="B163" s="506">
        <f t="shared" si="24"/>
        <v>103</v>
      </c>
      <c r="C163" s="664">
        <f t="shared" si="21"/>
        <v>15764.304664953006</v>
      </c>
      <c r="D163" s="664">
        <f>IF(B163 &lt;= VLOOKUP(Main!$N$22,Coefficients!$E$2:$H$28,4,FALSE),E163,NA())</f>
        <v>16004.370218226402</v>
      </c>
      <c r="E163" s="507">
        <f>'4th Order Polynomial TMP vs Res'!$B$41+'4th Order Polynomial TMP vs Res'!$C$41*POWER(B163,1)+'4th Order Polynomial TMP vs Res'!$D$41*POWER(B163,2)+'4th Order Polynomial TMP vs Res'!$E$41*POWER(B163,3)+'4th Order Polynomial TMP vs Res'!$F$41*POWER(B163,4)</f>
        <v>16004.370218226402</v>
      </c>
      <c r="F163" s="664">
        <f t="shared" si="22"/>
        <v>16244.435771499797</v>
      </c>
      <c r="G163" s="665"/>
      <c r="H163" s="666"/>
      <c r="I163" s="436"/>
      <c r="J163" s="667">
        <f>'4th Order Polynomial TMP vs Res'!$I$41*E163^4 + '4th Order Polynomial TMP vs Res'!$J$41*E163^3 + '4th Order Polynomial TMP vs Res'!$K$41*E163^2 + '4th Order Polynomial TMP vs Res'!$L$41*E163 + '4th Order Polynomial TMP vs Res'!$M$41</f>
        <v>103.04915592699359</v>
      </c>
      <c r="K163" s="667">
        <f t="shared" si="23"/>
        <v>-4.9155926993591947E-2</v>
      </c>
      <c r="L163" s="436"/>
      <c r="M163" s="436"/>
      <c r="N163" s="436"/>
      <c r="O163" s="436"/>
      <c r="P163" s="436"/>
      <c r="Q163" s="436"/>
      <c r="R163" s="436"/>
      <c r="S163" s="436"/>
    </row>
    <row r="164" spans="1:19" ht="15" x14ac:dyDescent="0.2">
      <c r="A164" s="505">
        <v>145</v>
      </c>
      <c r="B164" s="506">
        <f t="shared" si="24"/>
        <v>104</v>
      </c>
      <c r="C164" s="664">
        <f t="shared" si="21"/>
        <v>15853.232001751272</v>
      </c>
      <c r="D164" s="664">
        <f>IF(B164 &lt;= VLOOKUP(Main!$N$22,Coefficients!$E$2:$H$28,4,FALSE),E164,NA())</f>
        <v>16094.651778427688</v>
      </c>
      <c r="E164" s="507">
        <f>'4th Order Polynomial TMP vs Res'!$B$41+'4th Order Polynomial TMP vs Res'!$C$41*POWER(B164,1)+'4th Order Polynomial TMP vs Res'!$D$41*POWER(B164,2)+'4th Order Polynomial TMP vs Res'!$E$41*POWER(B164,3)+'4th Order Polynomial TMP vs Res'!$F$41*POWER(B164,4)</f>
        <v>16094.651778427688</v>
      </c>
      <c r="F164" s="664">
        <f t="shared" si="22"/>
        <v>16336.071555104101</v>
      </c>
      <c r="G164" s="665"/>
      <c r="H164" s="666"/>
      <c r="I164" s="436"/>
      <c r="J164" s="667">
        <f>'4th Order Polynomial TMP vs Res'!$I$41*E164^4 + '4th Order Polynomial TMP vs Res'!$J$41*E164^3 + '4th Order Polynomial TMP vs Res'!$K$41*E164^2 + '4th Order Polynomial TMP vs Res'!$L$41*E164 + '4th Order Polynomial TMP vs Res'!$M$41</f>
        <v>104.05300379720916</v>
      </c>
      <c r="K164" s="667">
        <f t="shared" si="23"/>
        <v>-5.300379720915771E-2</v>
      </c>
      <c r="L164" s="436"/>
      <c r="M164" s="436"/>
      <c r="N164" s="436"/>
      <c r="O164" s="436"/>
      <c r="P164" s="436"/>
      <c r="Q164" s="436"/>
      <c r="R164" s="436"/>
      <c r="S164" s="436"/>
    </row>
    <row r="165" spans="1:19" ht="15" x14ac:dyDescent="0.2">
      <c r="A165" s="505">
        <v>146</v>
      </c>
      <c r="B165" s="506">
        <f t="shared" si="24"/>
        <v>105</v>
      </c>
      <c r="C165" s="664">
        <f t="shared" si="21"/>
        <v>15942.537050908622</v>
      </c>
      <c r="D165" s="664">
        <f>IF(B165 &lt;= VLOOKUP(Main!$N$22,Coefficients!$E$2:$H$28,4,FALSE),E165,NA())</f>
        <v>16185.316802952917</v>
      </c>
      <c r="E165" s="507">
        <f>'4th Order Polynomial TMP vs Res'!$B$41+'4th Order Polynomial TMP vs Res'!$C$41*POWER(B165,1)+'4th Order Polynomial TMP vs Res'!$D$41*POWER(B165,2)+'4th Order Polynomial TMP vs Res'!$E$41*POWER(B165,3)+'4th Order Polynomial TMP vs Res'!$F$41*POWER(B165,4)</f>
        <v>16185.316802952917</v>
      </c>
      <c r="F165" s="664">
        <f t="shared" si="22"/>
        <v>16428.09655499721</v>
      </c>
      <c r="G165" s="665"/>
      <c r="H165" s="666"/>
      <c r="I165" s="436"/>
      <c r="J165" s="667">
        <f>'4th Order Polynomial TMP vs Res'!$I$41*E165^4 + '4th Order Polynomial TMP vs Res'!$J$41*E165^3 + '4th Order Polynomial TMP vs Res'!$K$41*E165^2 + '4th Order Polynomial TMP vs Res'!$L$41*E165 + '4th Order Polynomial TMP vs Res'!$M$41</f>
        <v>105.05638850294184</v>
      </c>
      <c r="K165" s="667">
        <f t="shared" si="23"/>
        <v>-5.6388502941842944E-2</v>
      </c>
      <c r="L165" s="436"/>
      <c r="M165" s="436"/>
      <c r="N165" s="436"/>
      <c r="O165" s="436"/>
      <c r="P165" s="436"/>
      <c r="Q165" s="436"/>
      <c r="R165" s="436"/>
      <c r="S165" s="436"/>
    </row>
    <row r="166" spans="1:19" ht="15" x14ac:dyDescent="0.2">
      <c r="A166" s="505">
        <v>147</v>
      </c>
      <c r="B166" s="506">
        <f t="shared" si="24"/>
        <v>106</v>
      </c>
      <c r="C166" s="664">
        <f t="shared" si="21"/>
        <v>16032.220995340975</v>
      </c>
      <c r="D166" s="664">
        <f>IF(B166 &lt;= VLOOKUP(Main!$N$22,Coefficients!$E$2:$H$28,4,FALSE),E166,NA())</f>
        <v>16276.366492731955</v>
      </c>
      <c r="E166" s="507">
        <f>'4th Order Polynomial TMP vs Res'!$B$41+'4th Order Polynomial TMP vs Res'!$C$41*POWER(B166,1)+'4th Order Polynomial TMP vs Res'!$D$41*POWER(B166,2)+'4th Order Polynomial TMP vs Res'!$E$41*POWER(B166,3)+'4th Order Polynomial TMP vs Res'!$F$41*POWER(B166,4)</f>
        <v>16276.366492731955</v>
      </c>
      <c r="F166" s="664">
        <f t="shared" si="22"/>
        <v>16520.511990122934</v>
      </c>
      <c r="G166" s="665"/>
      <c r="H166" s="666"/>
      <c r="I166" s="436"/>
      <c r="J166" s="667">
        <f>'4th Order Polynomial TMP vs Res'!$I$41*E166^4 + '4th Order Polynomial TMP vs Res'!$J$41*E166^3 + '4th Order Polynomial TMP vs Res'!$K$41*E166^2 + '4th Order Polynomial TMP vs Res'!$L$41*E166 + '4th Order Polynomial TMP vs Res'!$M$41</f>
        <v>106.05923266351584</v>
      </c>
      <c r="K166" s="667">
        <f t="shared" si="23"/>
        <v>-5.9232663515842887E-2</v>
      </c>
      <c r="L166" s="436"/>
      <c r="M166" s="436"/>
      <c r="N166" s="436"/>
      <c r="O166" s="436"/>
      <c r="P166" s="436"/>
      <c r="Q166" s="436"/>
      <c r="R166" s="436"/>
      <c r="S166" s="436"/>
    </row>
    <row r="167" spans="1:19" ht="15" x14ac:dyDescent="0.2">
      <c r="A167" s="505">
        <v>148</v>
      </c>
      <c r="B167" s="506">
        <f t="shared" si="24"/>
        <v>107</v>
      </c>
      <c r="C167" s="664">
        <f t="shared" si="21"/>
        <v>16122.28502657619</v>
      </c>
      <c r="D167" s="664">
        <f>IF(B167 &lt;= VLOOKUP(Main!$N$22,Coefficients!$E$2:$H$28,4,FALSE),E167,NA())</f>
        <v>16367.802057437757</v>
      </c>
      <c r="E167" s="507">
        <f>'4th Order Polynomial TMP vs Res'!$B$41+'4th Order Polynomial TMP vs Res'!$C$41*POWER(B167,1)+'4th Order Polynomial TMP vs Res'!$D$41*POWER(B167,2)+'4th Order Polynomial TMP vs Res'!$E$41*POWER(B167,3)+'4th Order Polynomial TMP vs Res'!$F$41*POWER(B167,4)</f>
        <v>16367.802057437757</v>
      </c>
      <c r="F167" s="664">
        <f t="shared" si="22"/>
        <v>16613.319088299322</v>
      </c>
      <c r="G167" s="665"/>
      <c r="H167" s="666"/>
      <c r="I167" s="436"/>
      <c r="J167" s="667">
        <f>'4th Order Polynomial TMP vs Res'!$I$41*E167^4 + '4th Order Polynomial TMP vs Res'!$J$41*E167^3 + '4th Order Polynomial TMP vs Res'!$K$41*E167^2 + '4th Order Polynomial TMP vs Res'!$L$41*E167 + '4th Order Polynomial TMP vs Res'!$M$41</f>
        <v>107.06145402003898</v>
      </c>
      <c r="K167" s="667">
        <f t="shared" si="23"/>
        <v>-6.1454020038979706E-2</v>
      </c>
      <c r="L167" s="436"/>
      <c r="M167" s="436"/>
      <c r="N167" s="436"/>
      <c r="O167" s="436"/>
      <c r="P167" s="436"/>
      <c r="Q167" s="436"/>
      <c r="R167" s="436"/>
      <c r="S167" s="436"/>
    </row>
    <row r="168" spans="1:19" ht="15" x14ac:dyDescent="0.2">
      <c r="A168" s="505">
        <v>149</v>
      </c>
      <c r="B168" s="506">
        <f t="shared" si="24"/>
        <v>108</v>
      </c>
      <c r="C168" s="664">
        <f t="shared" si="21"/>
        <v>16212.730344754067</v>
      </c>
      <c r="D168" s="664">
        <f>IF(B168 &lt;= VLOOKUP(Main!$N$22,Coefficients!$E$2:$H$28,4,FALSE),E168,NA())</f>
        <v>16459.624715486363</v>
      </c>
      <c r="E168" s="507">
        <f>'4th Order Polynomial TMP vs Res'!$B$41+'4th Order Polynomial TMP vs Res'!$C$41*POWER(B168,1)+'4th Order Polynomial TMP vs Res'!$D$41*POWER(B168,2)+'4th Order Polynomial TMP vs Res'!$E$41*POWER(B168,3)+'4th Order Polynomial TMP vs Res'!$F$41*POWER(B168,4)</f>
        <v>16459.624715486363</v>
      </c>
      <c r="F168" s="664">
        <f t="shared" si="22"/>
        <v>16706.519086218657</v>
      </c>
      <c r="G168" s="665"/>
      <c r="H168" s="666"/>
      <c r="I168" s="436"/>
      <c r="J168" s="667">
        <f>'4th Order Polynomial TMP vs Res'!$I$41*E168^4 + '4th Order Polynomial TMP vs Res'!$J$41*E168^3 + '4th Order Polynomial TMP vs Res'!$K$41*E168^2 + '4th Order Polynomial TMP vs Res'!$L$41*E168 + '4th Order Polynomial TMP vs Res'!$M$41</f>
        <v>108.06296526113607</v>
      </c>
      <c r="K168" s="667">
        <f t="shared" si="23"/>
        <v>-6.2965261136071149E-2</v>
      </c>
      <c r="L168" s="436"/>
      <c r="M168" s="436"/>
      <c r="N168" s="436"/>
      <c r="O168" s="436"/>
      <c r="P168" s="436"/>
      <c r="Q168" s="436"/>
      <c r="R168" s="436"/>
      <c r="S168" s="436"/>
    </row>
    <row r="169" spans="1:19" ht="15" x14ac:dyDescent="0.2">
      <c r="A169" s="505">
        <v>150</v>
      </c>
      <c r="B169" s="506">
        <f t="shared" si="24"/>
        <v>109</v>
      </c>
      <c r="C169" s="664">
        <f t="shared" si="21"/>
        <v>16303.558158626362</v>
      </c>
      <c r="D169" s="664">
        <f>IF(B169 &lt;= VLOOKUP(Main!$N$22,Coefficients!$E$2:$H$28,4,FALSE),E169,NA())</f>
        <v>16551.835694036916</v>
      </c>
      <c r="E169" s="507">
        <f>'4th Order Polynomial TMP vs Res'!$B$41+'4th Order Polynomial TMP vs Res'!$C$41*POWER(B169,1)+'4th Order Polynomial TMP vs Res'!$D$41*POWER(B169,2)+'4th Order Polynomial TMP vs Res'!$E$41*POWER(B169,3)+'4th Order Polynomial TMP vs Res'!$F$41*POWER(B169,4)</f>
        <v>16551.835694036916</v>
      </c>
      <c r="F169" s="664">
        <f t="shared" si="22"/>
        <v>16800.113229447466</v>
      </c>
      <c r="G169" s="665"/>
      <c r="H169" s="666"/>
      <c r="I169" s="436"/>
      <c r="J169" s="667">
        <f>'4th Order Polynomial TMP vs Res'!$I$41*E169^4 + '4th Order Polynomial TMP vs Res'!$J$41*E169^3 + '4th Order Polynomial TMP vs Res'!$K$41*E169^2 + '4th Order Polynomial TMP vs Res'!$L$41*E169 + '4th Order Polynomial TMP vs Res'!$M$41</f>
        <v>109.06367384445861</v>
      </c>
      <c r="K169" s="667">
        <f t="shared" si="23"/>
        <v>-6.3673844458605799E-2</v>
      </c>
      <c r="L169" s="436"/>
      <c r="M169" s="436"/>
      <c r="N169" s="436"/>
      <c r="O169" s="436"/>
      <c r="P169" s="436"/>
      <c r="Q169" s="436"/>
      <c r="R169" s="436"/>
      <c r="S169" s="436"/>
    </row>
    <row r="170" spans="1:19" ht="15" x14ac:dyDescent="0.2">
      <c r="A170" s="505">
        <v>151</v>
      </c>
      <c r="B170" s="506">
        <f t="shared" si="24"/>
        <v>110</v>
      </c>
      <c r="C170" s="664">
        <f t="shared" si="21"/>
        <v>16394.769685556766</v>
      </c>
      <c r="D170" s="664">
        <f>IF(B170 &lt;= VLOOKUP(Main!$N$22,Coefficients!$E$2:$H$28,4,FALSE),E170,NA())</f>
        <v>16644.436228991643</v>
      </c>
      <c r="E170" s="507">
        <f>'4th Order Polynomial TMP vs Res'!$B$41+'4th Order Polynomial TMP vs Res'!$C$41*POWER(B170,1)+'4th Order Polynomial TMP vs Res'!$D$41*POWER(B170,2)+'4th Order Polynomial TMP vs Res'!$E$41*POWER(B170,3)+'4th Order Polynomial TMP vs Res'!$F$41*POWER(B170,4)</f>
        <v>16644.436228991643</v>
      </c>
      <c r="F170" s="664">
        <f t="shared" si="22"/>
        <v>16894.102772426515</v>
      </c>
      <c r="G170" s="665"/>
      <c r="H170" s="666"/>
      <c r="I170" s="436"/>
      <c r="J170" s="667">
        <f>'4th Order Polynomial TMP vs Res'!$I$41*E170^4 + '4th Order Polynomial TMP vs Res'!$J$41*E170^3 + '4th Order Polynomial TMP vs Res'!$K$41*E170^2 + '4th Order Polynomial TMP vs Res'!$L$41*E170 + '4th Order Polynomial TMP vs Res'!$M$41</f>
        <v>110.06348181388307</v>
      </c>
      <c r="K170" s="667">
        <f t="shared" si="23"/>
        <v>-6.3481813883072391E-2</v>
      </c>
      <c r="L170" s="436"/>
      <c r="M170" s="436"/>
      <c r="N170" s="436"/>
      <c r="O170" s="436"/>
      <c r="P170" s="436"/>
      <c r="Q170" s="436"/>
      <c r="R170" s="436"/>
      <c r="S170" s="436"/>
    </row>
    <row r="171" spans="1:19" ht="15" x14ac:dyDescent="0.2">
      <c r="A171" s="505">
        <v>152</v>
      </c>
      <c r="B171" s="506">
        <f t="shared" si="24"/>
        <v>111</v>
      </c>
      <c r="C171" s="664">
        <f t="shared" si="21"/>
        <v>16486.366151520924</v>
      </c>
      <c r="D171" s="664">
        <f>IF(B171 &lt;= VLOOKUP(Main!$N$22,Coefficients!$E$2:$H$28,4,FALSE),E171,NA())</f>
        <v>16737.427564995862</v>
      </c>
      <c r="E171" s="507">
        <f>'4th Order Polynomial TMP vs Res'!$B$41+'4th Order Polynomial TMP vs Res'!$C$41*POWER(B171,1)+'4th Order Polynomial TMP vs Res'!$D$41*POWER(B171,2)+'4th Order Polynomial TMP vs Res'!$E$41*POWER(B171,3)+'4th Order Polynomial TMP vs Res'!$F$41*POWER(B171,4)</f>
        <v>16737.427564995862</v>
      </c>
      <c r="F171" s="664">
        <f t="shared" si="22"/>
        <v>16988.488978470799</v>
      </c>
      <c r="G171" s="665"/>
      <c r="H171" s="666"/>
      <c r="I171" s="436"/>
      <c r="J171" s="667">
        <f>'4th Order Polynomial TMP vs Res'!$I$41*E171^4 + '4th Order Polynomial TMP vs Res'!$J$41*E171^3 + '4th Order Polynomial TMP vs Res'!$K$41*E171^2 + '4th Order Polynomial TMP vs Res'!$L$41*E171 + '4th Order Polynomial TMP vs Res'!$M$41</f>
        <v>111.06228561230483</v>
      </c>
      <c r="K171" s="667">
        <f t="shared" si="23"/>
        <v>-6.2285612304833649E-2</v>
      </c>
      <c r="L171" s="436"/>
      <c r="M171" s="436"/>
      <c r="N171" s="436"/>
      <c r="O171" s="436"/>
      <c r="P171" s="436"/>
      <c r="Q171" s="436"/>
      <c r="R171" s="436"/>
      <c r="S171" s="436"/>
    </row>
    <row r="172" spans="1:19" ht="15" x14ac:dyDescent="0.2">
      <c r="A172" s="505">
        <v>153</v>
      </c>
      <c r="B172" s="506">
        <f t="shared" si="24"/>
        <v>112</v>
      </c>
      <c r="C172" s="664">
        <f t="shared" si="21"/>
        <v>16578.348791106426</v>
      </c>
      <c r="D172" s="664">
        <f>IF(B172 &lt;= VLOOKUP(Main!$N$22,Coefficients!$E$2:$H$28,4,FALSE),E172,NA())</f>
        <v>16830.810955437995</v>
      </c>
      <c r="E172" s="507">
        <f>'4th Order Polynomial TMP vs Res'!$B$41+'4th Order Polynomial TMP vs Res'!$C$41*POWER(B172,1)+'4th Order Polynomial TMP vs Res'!$D$41*POWER(B172,2)+'4th Order Polynomial TMP vs Res'!$E$41*POWER(B172,3)+'4th Order Polynomial TMP vs Res'!$F$41*POWER(B172,4)</f>
        <v>16830.810955437995</v>
      </c>
      <c r="F172" s="664">
        <f t="shared" si="22"/>
        <v>17083.273119769565</v>
      </c>
      <c r="G172" s="665"/>
      <c r="H172" s="666"/>
      <c r="I172" s="436"/>
      <c r="J172" s="667">
        <f>'4th Order Polynomial TMP vs Res'!$I$41*E172^4 + '4th Order Polynomial TMP vs Res'!$J$41*E172^3 + '4th Order Polynomial TMP vs Res'!$K$41*E172^2 + '4th Order Polynomial TMP vs Res'!$L$41*E172 + '4th Order Polynomial TMP vs Res'!$M$41</f>
        <v>112.05997588993574</v>
      </c>
      <c r="K172" s="667">
        <f t="shared" si="23"/>
        <v>-5.9975889935742543E-2</v>
      </c>
      <c r="L172" s="436"/>
      <c r="M172" s="436"/>
      <c r="N172" s="436"/>
      <c r="O172" s="436"/>
      <c r="P172" s="436"/>
      <c r="Q172" s="436"/>
      <c r="R172" s="436"/>
      <c r="S172" s="436"/>
    </row>
    <row r="173" spans="1:19" ht="15" x14ac:dyDescent="0.2">
      <c r="A173" s="505">
        <v>154</v>
      </c>
      <c r="B173" s="506">
        <f t="shared" si="24"/>
        <v>113</v>
      </c>
      <c r="C173" s="664">
        <f t="shared" si="21"/>
        <v>16670.718847512802</v>
      </c>
      <c r="D173" s="664">
        <f>IF(B173 &lt;= VLOOKUP(Main!$N$22,Coefficients!$E$2:$H$28,4,FALSE),E173,NA())</f>
        <v>16924.587662449547</v>
      </c>
      <c r="E173" s="507">
        <f>'4th Order Polynomial TMP vs Res'!$B$41+'4th Order Polynomial TMP vs Res'!$C$41*POWER(B173,1)+'4th Order Polynomial TMP vs Res'!$D$41*POWER(B173,2)+'4th Order Polynomial TMP vs Res'!$E$41*POWER(B173,3)+'4th Order Polynomial TMP vs Res'!$F$41*POWER(B173,4)</f>
        <v>16924.587662449547</v>
      </c>
      <c r="F173" s="664">
        <f t="shared" si="22"/>
        <v>17178.456477386288</v>
      </c>
      <c r="G173" s="665"/>
      <c r="H173" s="666"/>
      <c r="I173" s="436"/>
      <c r="J173" s="667">
        <f>'4th Order Polynomial TMP vs Res'!$I$41*E173^4 + '4th Order Polynomial TMP vs Res'!$J$41*E173^3 + '4th Order Polynomial TMP vs Res'!$K$41*E173^2 + '4th Order Polynomial TMP vs Res'!$L$41*E173 + '4th Order Polynomial TMP vs Res'!$M$41</f>
        <v>113.05643730800972</v>
      </c>
      <c r="K173" s="667">
        <f t="shared" si="23"/>
        <v>-5.64373080097198E-2</v>
      </c>
      <c r="L173" s="436"/>
      <c r="M173" s="436"/>
      <c r="N173" s="436"/>
      <c r="O173" s="436"/>
      <c r="P173" s="436"/>
      <c r="Q173" s="436"/>
      <c r="R173" s="436"/>
      <c r="S173" s="436"/>
    </row>
    <row r="174" spans="1:19" ht="15" x14ac:dyDescent="0.2">
      <c r="A174" s="505">
        <v>155</v>
      </c>
      <c r="B174" s="506">
        <f t="shared" si="24"/>
        <v>114</v>
      </c>
      <c r="C174" s="664">
        <f t="shared" si="21"/>
        <v>16763.477572551539</v>
      </c>
      <c r="D174" s="664">
        <f>IF(B174 &lt;= VLOOKUP(Main!$N$22,Coefficients!$E$2:$H$28,4,FALSE),E174,NA())</f>
        <v>17018.758956905116</v>
      </c>
      <c r="E174" s="507">
        <f>'4th Order Polynomial TMP vs Res'!$B$41+'4th Order Polynomial TMP vs Res'!$C$41*POWER(B174,1)+'4th Order Polynomial TMP vs Res'!$D$41*POWER(B174,2)+'4th Order Polynomial TMP vs Res'!$E$41*POWER(B174,3)+'4th Order Polynomial TMP vs Res'!$F$41*POWER(B174,4)</f>
        <v>17018.758956905116</v>
      </c>
      <c r="F174" s="664">
        <f t="shared" si="22"/>
        <v>17274.040341258693</v>
      </c>
      <c r="G174" s="665"/>
      <c r="H174" s="666"/>
      <c r="I174" s="436"/>
      <c r="J174" s="667">
        <f>'4th Order Polynomial TMP vs Res'!$I$41*E174^4 + '4th Order Polynomial TMP vs Res'!$J$41*E174^3 + '4th Order Polynomial TMP vs Res'!$K$41*E174^2 + '4th Order Polynomial TMP vs Res'!$L$41*E174 + '4th Order Polynomial TMP vs Res'!$M$41</f>
        <v>114.05154833779983</v>
      </c>
      <c r="K174" s="667">
        <f t="shared" si="23"/>
        <v>-5.1548337799829369E-2</v>
      </c>
      <c r="L174" s="436"/>
      <c r="M174" s="436"/>
      <c r="N174" s="436"/>
      <c r="O174" s="436"/>
      <c r="P174" s="436"/>
      <c r="Q174" s="436"/>
      <c r="R174" s="436"/>
      <c r="S174" s="436"/>
    </row>
    <row r="175" spans="1:19" ht="15" x14ac:dyDescent="0.2">
      <c r="A175" s="505">
        <v>156</v>
      </c>
      <c r="B175" s="506">
        <f t="shared" si="24"/>
        <v>115</v>
      </c>
      <c r="C175" s="664">
        <f t="shared" si="21"/>
        <v>16856.626226646058</v>
      </c>
      <c r="D175" s="664">
        <f>IF(B175 &lt;= VLOOKUP(Main!$N$22,Coefficients!$E$2:$H$28,4,FALSE),E175,NA())</f>
        <v>17113.326118422396</v>
      </c>
      <c r="E175" s="507">
        <f>'4th Order Polynomial TMP vs Res'!$B$41+'4th Order Polynomial TMP vs Res'!$C$41*POWER(B175,1)+'4th Order Polynomial TMP vs Res'!$D$41*POWER(B175,2)+'4th Order Polynomial TMP vs Res'!$E$41*POWER(B175,3)+'4th Order Polynomial TMP vs Res'!$F$41*POWER(B175,4)</f>
        <v>17113.326118422396</v>
      </c>
      <c r="F175" s="664">
        <f t="shared" si="22"/>
        <v>17370.02601019873</v>
      </c>
      <c r="G175" s="665"/>
      <c r="H175" s="666"/>
      <c r="I175" s="436"/>
      <c r="J175" s="667">
        <f>'4th Order Polynomial TMP vs Res'!$I$41*E175^4 + '4th Order Polynomial TMP vs Res'!$J$41*E175^3 + '4th Order Polynomial TMP vs Res'!$K$41*E175^2 + '4th Order Polynomial TMP vs Res'!$L$41*E175 + '4th Order Polynomial TMP vs Res'!$M$41</f>
        <v>115.04518105484789</v>
      </c>
      <c r="K175" s="667">
        <f t="shared" si="23"/>
        <v>-4.5181054847887481E-2</v>
      </c>
      <c r="L175" s="436"/>
      <c r="M175" s="436"/>
      <c r="N175" s="436"/>
      <c r="O175" s="436"/>
      <c r="P175" s="436"/>
      <c r="Q175" s="436"/>
      <c r="R175" s="436"/>
      <c r="S175" s="436"/>
    </row>
    <row r="176" spans="1:19" ht="15" x14ac:dyDescent="0.2">
      <c r="A176" s="505">
        <v>157</v>
      </c>
      <c r="B176" s="506">
        <f t="shared" si="24"/>
        <v>116</v>
      </c>
      <c r="C176" s="664">
        <f t="shared" ref="C176:C210" si="25">IFERROR(D176*0.985,NA())</f>
        <v>16950.166078831735</v>
      </c>
      <c r="D176" s="664">
        <f>IF(B176 &lt;= VLOOKUP(Main!$N$22,Coefficients!$E$2:$H$28,4,FALSE),E176,NA())</f>
        <v>17208.290435362167</v>
      </c>
      <c r="E176" s="507">
        <f>'4th Order Polynomial TMP vs Res'!$B$41+'4th Order Polynomial TMP vs Res'!$C$41*POWER(B176,1)+'4th Order Polynomial TMP vs Res'!$D$41*POWER(B176,2)+'4th Order Polynomial TMP vs Res'!$E$41*POWER(B176,3)+'4th Order Polynomial TMP vs Res'!$F$41*POWER(B176,4)</f>
        <v>17208.290435362167</v>
      </c>
      <c r="F176" s="664">
        <f t="shared" ref="F176:F210" si="26">IFERROR(D176*1.015,NA())</f>
        <v>17466.414791892599</v>
      </c>
      <c r="G176" s="665"/>
      <c r="H176" s="666"/>
      <c r="I176" s="436"/>
      <c r="J176" s="667">
        <f>'4th Order Polynomial TMP vs Res'!$I$41*E176^4 + '4th Order Polynomial TMP vs Res'!$J$41*E176^3 + '4th Order Polynomial TMP vs Res'!$K$41*E176^2 + '4th Order Polynomial TMP vs Res'!$L$41*E176 + '4th Order Polynomial TMP vs Res'!$M$41</f>
        <v>116.0372009283073</v>
      </c>
      <c r="K176" s="667">
        <f t="shared" si="23"/>
        <v>-3.7200928307299819E-2</v>
      </c>
      <c r="L176" s="436"/>
      <c r="M176" s="436"/>
      <c r="N176" s="436"/>
      <c r="O176" s="436"/>
      <c r="P176" s="436"/>
      <c r="Q176" s="436"/>
      <c r="R176" s="436"/>
      <c r="S176" s="436"/>
    </row>
    <row r="177" spans="1:19" ht="15" x14ac:dyDescent="0.2">
      <c r="A177" s="505">
        <v>158</v>
      </c>
      <c r="B177" s="506">
        <f t="shared" si="24"/>
        <v>117</v>
      </c>
      <c r="C177" s="664">
        <f t="shared" si="25"/>
        <v>17044.098406755882</v>
      </c>
      <c r="D177" s="664">
        <f>IF(B177 &lt;= VLOOKUP(Main!$N$22,Coefficients!$E$2:$H$28,4,FALSE),E177,NA())</f>
        <v>17303.653204828308</v>
      </c>
      <c r="E177" s="507">
        <f>'4th Order Polynomial TMP vs Res'!$B$41+'4th Order Polynomial TMP vs Res'!$C$41*POWER(B177,1)+'4th Order Polynomial TMP vs Res'!$D$41*POWER(B177,2)+'4th Order Polynomial TMP vs Res'!$E$41*POWER(B177,3)+'4th Order Polynomial TMP vs Res'!$F$41*POWER(B177,4)</f>
        <v>17303.653204828308</v>
      </c>
      <c r="F177" s="664">
        <f t="shared" si="26"/>
        <v>17563.20800290073</v>
      </c>
      <c r="G177" s="665"/>
      <c r="H177" s="666"/>
      <c r="I177" s="436"/>
      <c r="J177" s="667">
        <f>'4th Order Polynomial TMP vs Res'!$I$41*E177^4 + '4th Order Polynomial TMP vs Res'!$J$41*E177^3 + '4th Order Polynomial TMP vs Res'!$K$41*E177^2 + '4th Order Polynomial TMP vs Res'!$L$41*E177 + '4th Order Polynomial TMP vs Res'!$M$41</f>
        <v>117.02746660529368</v>
      </c>
      <c r="K177" s="667">
        <f t="shared" si="23"/>
        <v>-2.7466605293682278E-2</v>
      </c>
      <c r="L177" s="436"/>
      <c r="M177" s="436"/>
      <c r="N177" s="436"/>
      <c r="O177" s="436"/>
      <c r="P177" s="436"/>
      <c r="Q177" s="436"/>
      <c r="R177" s="436"/>
      <c r="S177" s="436"/>
    </row>
    <row r="178" spans="1:19" ht="15" x14ac:dyDescent="0.2">
      <c r="A178" s="505">
        <v>159</v>
      </c>
      <c r="B178" s="506">
        <f t="shared" si="24"/>
        <v>118</v>
      </c>
      <c r="C178" s="664">
        <f t="shared" si="25"/>
        <v>17138.424496677777</v>
      </c>
      <c r="D178" s="664">
        <f>IF(B178 &lt;= VLOOKUP(Main!$N$22,Coefficients!$E$2:$H$28,4,FALSE),E178,NA())</f>
        <v>17399.415732667792</v>
      </c>
      <c r="E178" s="507">
        <f>'4th Order Polynomial TMP vs Res'!$B$41+'4th Order Polynomial TMP vs Res'!$C$41*POWER(B178,1)+'4th Order Polynomial TMP vs Res'!$D$41*POWER(B178,2)+'4th Order Polynomial TMP vs Res'!$E$41*POWER(B178,3)+'4th Order Polynomial TMP vs Res'!$F$41*POWER(B178,4)</f>
        <v>17399.415732667792</v>
      </c>
      <c r="F178" s="664">
        <f t="shared" si="26"/>
        <v>17660.406968657808</v>
      </c>
      <c r="G178" s="665"/>
      <c r="H178" s="666"/>
      <c r="I178" s="436"/>
      <c r="J178" s="667">
        <f>'4th Order Polynomial TMP vs Res'!$I$41*E178^4 + '4th Order Polynomial TMP vs Res'!$J$41*E178^3 + '4th Order Polynomial TMP vs Res'!$K$41*E178^2 + '4th Order Polynomial TMP vs Res'!$L$41*E178 + '4th Order Polynomial TMP vs Res'!$M$41</f>
        <v>118.01582969014345</v>
      </c>
      <c r="K178" s="667">
        <f t="shared" si="23"/>
        <v>-1.5829690143448261E-2</v>
      </c>
      <c r="L178" s="436"/>
      <c r="M178" s="436"/>
      <c r="N178" s="436"/>
      <c r="O178" s="436"/>
      <c r="P178" s="436"/>
      <c r="Q178" s="436"/>
      <c r="R178" s="436"/>
      <c r="S178" s="436"/>
    </row>
    <row r="179" spans="1:19" ht="15" x14ac:dyDescent="0.2">
      <c r="A179" s="505">
        <v>160</v>
      </c>
      <c r="B179" s="506">
        <f t="shared" si="24"/>
        <v>119</v>
      </c>
      <c r="C179" s="664">
        <f t="shared" si="25"/>
        <v>17233.145643468608</v>
      </c>
      <c r="D179" s="664">
        <f>IF(B179 &lt;= VLOOKUP(Main!$N$22,Coefficients!$E$2:$H$28,4,FALSE),E179,NA())</f>
        <v>17495.579333470669</v>
      </c>
      <c r="E179" s="507">
        <f>'4th Order Polynomial TMP vs Res'!$B$41+'4th Order Polynomial TMP vs Res'!$C$41*POWER(B179,1)+'4th Order Polynomial TMP vs Res'!$D$41*POWER(B179,2)+'4th Order Polynomial TMP vs Res'!$E$41*POWER(B179,3)+'4th Order Polynomial TMP vs Res'!$F$41*POWER(B179,4)</f>
        <v>17495.579333470669</v>
      </c>
      <c r="F179" s="664">
        <f t="shared" si="26"/>
        <v>17758.013023472726</v>
      </c>
      <c r="G179" s="665"/>
      <c r="H179" s="666"/>
      <c r="I179" s="436"/>
      <c r="J179" s="667">
        <f>'4th Order Polynomial TMP vs Res'!$I$41*E179^4 + '4th Order Polynomial TMP vs Res'!$J$41*E179^3 + '4th Order Polynomial TMP vs Res'!$K$41*E179^2 + '4th Order Polynomial TMP vs Res'!$L$41*E179 + '4th Order Polynomial TMP vs Res'!$M$41</f>
        <v>119.00213451846759</v>
      </c>
      <c r="K179" s="667">
        <f t="shared" si="23"/>
        <v>-2.1345184675851669E-3</v>
      </c>
      <c r="L179" s="436"/>
      <c r="M179" s="436"/>
      <c r="N179" s="436"/>
      <c r="O179" s="436"/>
      <c r="P179" s="436"/>
      <c r="Q179" s="436"/>
      <c r="R179" s="436"/>
      <c r="S179" s="436"/>
    </row>
    <row r="180" spans="1:19" ht="15" x14ac:dyDescent="0.2">
      <c r="A180" s="505">
        <v>161</v>
      </c>
      <c r="B180" s="506">
        <f t="shared" si="24"/>
        <v>120</v>
      </c>
      <c r="C180" s="664">
        <f t="shared" si="25"/>
        <v>17328.263150611547</v>
      </c>
      <c r="D180" s="664">
        <f>IF(B180 &lt;= VLOOKUP(Main!$N$22,Coefficients!$E$2:$H$28,4,FALSE),E180,NA())</f>
        <v>17592.1453305701</v>
      </c>
      <c r="E180" s="507">
        <f>'4th Order Polynomial TMP vs Res'!$B$41+'4th Order Polynomial TMP vs Res'!$C$41*POWER(B180,1)+'4th Order Polynomial TMP vs Res'!$D$41*POWER(B180,2)+'4th Order Polynomial TMP vs Res'!$E$41*POWER(B180,3)+'4th Order Polynomial TMP vs Res'!$F$41*POWER(B180,4)</f>
        <v>17592.1453305701</v>
      </c>
      <c r="F180" s="664">
        <f t="shared" si="26"/>
        <v>17856.027510528649</v>
      </c>
      <c r="G180" s="665"/>
      <c r="H180" s="666"/>
      <c r="I180" s="436"/>
      <c r="J180" s="667">
        <f>'4th Order Polynomial TMP vs Res'!$I$41*E180^4 + '4th Order Polynomial TMP vs Res'!$J$41*E180^3 + '4th Order Polynomial TMP vs Res'!$K$41*E180^2 + '4th Order Polynomial TMP vs Res'!$L$41*E180 + '4th Order Polynomial TMP vs Res'!$M$41</f>
        <v>119.98621792590069</v>
      </c>
      <c r="K180" s="667">
        <f t="shared" ref="K180:K185" si="27">B180-J180</f>
        <v>1.3782074099310648E-2</v>
      </c>
      <c r="L180" s="436"/>
      <c r="M180" s="436"/>
      <c r="N180" s="436"/>
      <c r="O180" s="436"/>
      <c r="P180" s="436"/>
      <c r="Q180" s="436"/>
      <c r="R180" s="436"/>
      <c r="S180" s="436"/>
    </row>
    <row r="181" spans="1:19" ht="15" x14ac:dyDescent="0.2">
      <c r="A181" s="505">
        <v>162</v>
      </c>
      <c r="B181" s="506">
        <f t="shared" si="24"/>
        <v>121</v>
      </c>
      <c r="C181" s="664">
        <f t="shared" si="25"/>
        <v>17423.778330201698</v>
      </c>
      <c r="D181" s="664">
        <f>IF(B181 &lt;= VLOOKUP(Main!$N$22,Coefficients!$E$2:$H$28,4,FALSE),E181,NA())</f>
        <v>17689.115056042334</v>
      </c>
      <c r="E181" s="507">
        <f>'4th Order Polynomial TMP vs Res'!$B$41+'4th Order Polynomial TMP vs Res'!$C$41*POWER(B181,1)+'4th Order Polynomial TMP vs Res'!$D$41*POWER(B181,2)+'4th Order Polynomial TMP vs Res'!$E$41*POWER(B181,3)+'4th Order Polynomial TMP vs Res'!$F$41*POWER(B181,4)</f>
        <v>17689.115056042334</v>
      </c>
      <c r="F181" s="664">
        <f t="shared" si="26"/>
        <v>17954.451781882966</v>
      </c>
      <c r="G181" s="665"/>
      <c r="H181" s="666"/>
      <c r="I181" s="436"/>
      <c r="J181" s="667">
        <f>'4th Order Polynomial TMP vs Res'!$I$41*E181^4 + '4th Order Polynomial TMP vs Res'!$J$41*E181^3 + '4th Order Polynomial TMP vs Res'!$K$41*E181^2 + '4th Order Polynomial TMP vs Res'!$L$41*E181 + '4th Order Polynomial TMP vs Res'!$M$41</f>
        <v>120.96790901142271</v>
      </c>
      <c r="K181" s="667">
        <f t="shared" si="27"/>
        <v>3.2090988577294866E-2</v>
      </c>
      <c r="L181" s="436"/>
      <c r="M181" s="436"/>
      <c r="N181" s="436"/>
      <c r="O181" s="436"/>
      <c r="P181" s="436"/>
      <c r="Q181" s="436"/>
      <c r="R181" s="436"/>
      <c r="S181" s="436"/>
    </row>
    <row r="182" spans="1:19" ht="15" x14ac:dyDescent="0.2">
      <c r="A182" s="505">
        <v>163</v>
      </c>
      <c r="B182" s="506">
        <f t="shared" si="24"/>
        <v>122</v>
      </c>
      <c r="C182" s="664">
        <f t="shared" si="25"/>
        <v>17519.692502946102</v>
      </c>
      <c r="D182" s="664">
        <f>IF(B182 &lt;= VLOOKUP(Main!$N$22,Coefficients!$E$2:$H$28,4,FALSE),E182,NA())</f>
        <v>17786.489850706701</v>
      </c>
      <c r="E182" s="507">
        <f>'4th Order Polynomial TMP vs Res'!$B$41+'4th Order Polynomial TMP vs Res'!$C$41*POWER(B182,1)+'4th Order Polynomial TMP vs Res'!$D$41*POWER(B182,2)+'4th Order Polynomial TMP vs Res'!$E$41*POWER(B182,3)+'4th Order Polynomial TMP vs Res'!$F$41*POWER(B182,4)</f>
        <v>17786.489850706701</v>
      </c>
      <c r="F182" s="664">
        <f t="shared" si="26"/>
        <v>18053.2871984673</v>
      </c>
      <c r="G182" s="665"/>
      <c r="H182" s="666"/>
      <c r="I182" s="436"/>
      <c r="J182" s="667">
        <f>'4th Order Polynomial TMP vs Res'!$I$41*E182^4 + '4th Order Polynomial TMP vs Res'!$J$41*E182^3 + '4th Order Polynomial TMP vs Res'!$K$41*E182^2 + '4th Order Polynomial TMP vs Res'!$L$41*E182 + '4th Order Polynomial TMP vs Res'!$M$41</f>
        <v>121.94702889515514</v>
      </c>
      <c r="K182" s="667">
        <f t="shared" si="27"/>
        <v>5.2971104844857564E-2</v>
      </c>
      <c r="L182" s="436"/>
      <c r="M182" s="436"/>
      <c r="N182" s="436"/>
      <c r="O182" s="436"/>
      <c r="P182" s="436"/>
      <c r="Q182" s="436"/>
      <c r="R182" s="436"/>
      <c r="S182" s="436"/>
    </row>
    <row r="183" spans="1:19" ht="15" x14ac:dyDescent="0.2">
      <c r="A183" s="505">
        <v>164</v>
      </c>
      <c r="B183" s="506">
        <f t="shared" si="24"/>
        <v>123</v>
      </c>
      <c r="C183" s="664">
        <f t="shared" si="25"/>
        <v>17616.006998163746</v>
      </c>
      <c r="D183" s="664">
        <f>IF(B183 &lt;= VLOOKUP(Main!$N$22,Coefficients!$E$2:$H$28,4,FALSE),E183,NA())</f>
        <v>17884.271064125631</v>
      </c>
      <c r="E183" s="507">
        <f>'4th Order Polynomial TMP vs Res'!$B$41+'4th Order Polynomial TMP vs Res'!$C$41*POWER(B183,1)+'4th Order Polynomial TMP vs Res'!$D$41*POWER(B183,2)+'4th Order Polynomial TMP vs Res'!$E$41*POWER(B183,3)+'4th Order Polynomial TMP vs Res'!$F$41*POWER(B183,4)</f>
        <v>17884.271064125631</v>
      </c>
      <c r="F183" s="664">
        <f t="shared" si="26"/>
        <v>18152.535130087512</v>
      </c>
      <c r="G183" s="665"/>
      <c r="H183" s="666"/>
      <c r="I183" s="436"/>
      <c r="J183" s="667">
        <f>'4th Order Polynomial TMP vs Res'!$I$41*E183^4 + '4th Order Polynomial TMP vs Res'!$J$41*E183^3 + '4th Order Polynomial TMP vs Res'!$K$41*E183^2 + '4th Order Polynomial TMP vs Res'!$L$41*E183 + '4th Order Polynomial TMP vs Res'!$M$41</f>
        <v>122.9233904705041</v>
      </c>
      <c r="K183" s="667">
        <f t="shared" si="27"/>
        <v>7.6609529495897277E-2</v>
      </c>
      <c r="L183" s="436"/>
      <c r="M183" s="436"/>
      <c r="N183" s="436"/>
      <c r="O183" s="436"/>
      <c r="P183" s="436"/>
      <c r="Q183" s="436"/>
      <c r="R183" s="436"/>
      <c r="S183" s="436"/>
    </row>
    <row r="184" spans="1:19" ht="15" x14ac:dyDescent="0.2">
      <c r="A184" s="505">
        <v>165</v>
      </c>
      <c r="B184" s="506">
        <f t="shared" si="24"/>
        <v>124</v>
      </c>
      <c r="C184" s="664">
        <f t="shared" si="25"/>
        <v>17712.723153785595</v>
      </c>
      <c r="D184" s="664">
        <f>IF(B184 &lt;= VLOOKUP(Main!$N$22,Coefficients!$E$2:$H$28,4,FALSE),E184,NA())</f>
        <v>17982.460054604664</v>
      </c>
      <c r="E184" s="507">
        <f>'4th Order Polynomial TMP vs Res'!$B$41+'4th Order Polynomial TMP vs Res'!$C$41*POWER(B184,1)+'4th Order Polynomial TMP vs Res'!$D$41*POWER(B184,2)+'4th Order Polynomial TMP vs Res'!$E$41*POWER(B184,3)+'4th Order Polynomial TMP vs Res'!$F$41*POWER(B184,4)</f>
        <v>17982.460054604664</v>
      </c>
      <c r="F184" s="664">
        <f t="shared" si="26"/>
        <v>18252.196955423733</v>
      </c>
      <c r="G184" s="665"/>
      <c r="H184" s="666"/>
      <c r="I184" s="436"/>
      <c r="J184" s="667">
        <f>'4th Order Polynomial TMP vs Res'!$I$41*E184^4 + '4th Order Polynomial TMP vs Res'!$J$41*E184^3 + '4th Order Polynomial TMP vs Res'!$K$41*E184^2 + '4th Order Polynomial TMP vs Res'!$L$41*E184 + '4th Order Polynomial TMP vs Res'!$M$41</f>
        <v>123.89679815054052</v>
      </c>
      <c r="K184" s="667">
        <f t="shared" si="27"/>
        <v>0.10320184945948085</v>
      </c>
      <c r="L184" s="436"/>
      <c r="M184" s="436"/>
      <c r="N184" s="436"/>
      <c r="O184" s="436"/>
      <c r="P184" s="436"/>
      <c r="Q184" s="436"/>
      <c r="R184" s="436"/>
      <c r="S184" s="436"/>
    </row>
    <row r="185" spans="1:19" ht="15" x14ac:dyDescent="0.2">
      <c r="A185" s="505">
        <v>166</v>
      </c>
      <c r="B185" s="506">
        <f t="shared" si="24"/>
        <v>125</v>
      </c>
      <c r="C185" s="664">
        <f t="shared" si="25"/>
        <v>17809.842316354505</v>
      </c>
      <c r="D185" s="664">
        <f>IF(B185 &lt;= VLOOKUP(Main!$N$22,Coefficients!$E$2:$H$28,4,FALSE),E185,NA())</f>
        <v>18081.05818919239</v>
      </c>
      <c r="E185" s="507">
        <f>'4th Order Polynomial TMP vs Res'!$B$41+'4th Order Polynomial TMP vs Res'!$C$41*POWER(B185,1)+'4th Order Polynomial TMP vs Res'!$D$41*POWER(B185,2)+'4th Order Polynomial TMP vs Res'!$E$41*POWER(B185,3)+'4th Order Polynomial TMP vs Res'!$F$41*POWER(B185,4)</f>
        <v>18081.05818919239</v>
      </c>
      <c r="F185" s="664">
        <f t="shared" si="26"/>
        <v>18352.274062030276</v>
      </c>
      <c r="G185" s="665"/>
      <c r="H185" s="666"/>
      <c r="I185" s="436"/>
      <c r="J185" s="667">
        <f>'4th Order Polynomial TMP vs Res'!$I$41*E185^4 + '4th Order Polynomial TMP vs Res'!$J$41*E185^3 + '4th Order Polynomial TMP vs Res'!$K$41*E185^2 + '4th Order Polynomial TMP vs Res'!$L$41*E185 + '4th Order Polynomial TMP vs Res'!$M$41</f>
        <v>124.86704760849494</v>
      </c>
      <c r="K185" s="667">
        <f t="shared" si="27"/>
        <v>0.13295239150505722</v>
      </c>
      <c r="L185" s="436"/>
      <c r="M185" s="436"/>
      <c r="N185" s="436"/>
      <c r="O185" s="436"/>
      <c r="P185" s="436"/>
      <c r="Q185" s="436"/>
      <c r="R185" s="436"/>
      <c r="S185" s="436"/>
    </row>
    <row r="186" spans="1:19" ht="15" x14ac:dyDescent="0.2">
      <c r="A186" s="505">
        <v>167</v>
      </c>
      <c r="B186" s="506">
        <f t="shared" si="24"/>
        <v>126</v>
      </c>
      <c r="C186" s="664" t="e">
        <f t="shared" si="25"/>
        <v>#N/A</v>
      </c>
      <c r="D186" s="664" t="e">
        <f>IF(B186 &lt;= VLOOKUP(Main!$N$22,Coefficients!$E$2:$H$28,4,FALSE),E186,NA())</f>
        <v>#N/A</v>
      </c>
      <c r="E186" s="507">
        <f>'4th Order Polynomial TMP vs Res'!$B$41+'4th Order Polynomial TMP vs Res'!$C$41*POWER(B186,1)+'4th Order Polynomial TMP vs Res'!$D$41*POWER(B186,2)+'4th Order Polynomial TMP vs Res'!$E$41*POWER(B186,3)+'4th Order Polynomial TMP vs Res'!$F$41*POWER(B186,4)</f>
        <v>18180.066843680532</v>
      </c>
      <c r="F186" s="664" t="e">
        <f t="shared" si="26"/>
        <v>#N/A</v>
      </c>
      <c r="G186" s="665"/>
      <c r="H186" s="666"/>
      <c r="I186" s="436"/>
      <c r="J186" s="667">
        <f>'4th Order Polynomial TMP vs Res'!$I$41*E186^4 + '4th Order Polynomial TMP vs Res'!$J$41*E186^3 + '4th Order Polynomial TMP vs Res'!$K$41*E186^2 + '4th Order Polynomial TMP vs Res'!$L$41*E186 + '4th Order Polynomial TMP vs Res'!$M$41</f>
        <v>125.8339255122483</v>
      </c>
      <c r="K186" s="667" t="e">
        <f>IF((VLOOKUP(Main!$N$22,Coefficients!$E$2:$H$28,4,FALSE)) = 125, NA(), B186-J186)</f>
        <v>#N/A</v>
      </c>
      <c r="L186" s="436"/>
      <c r="M186" s="436"/>
      <c r="N186" s="436"/>
      <c r="O186" s="436"/>
      <c r="P186" s="436"/>
      <c r="Q186" s="436"/>
      <c r="R186" s="436"/>
      <c r="S186" s="436"/>
    </row>
    <row r="187" spans="1:19" ht="15" x14ac:dyDescent="0.2">
      <c r="A187" s="505">
        <v>168</v>
      </c>
      <c r="B187" s="506">
        <f t="shared" si="24"/>
        <v>127</v>
      </c>
      <c r="C187" s="664" t="e">
        <f t="shared" si="25"/>
        <v>#N/A</v>
      </c>
      <c r="D187" s="664" t="e">
        <f>IF(B187 &lt;= VLOOKUP(Main!$N$22,Coefficients!$E$2:$H$28,4,FALSE),E187,NA())</f>
        <v>#N/A</v>
      </c>
      <c r="E187" s="507">
        <f>'4th Order Polynomial TMP vs Res'!$B$41+'4th Order Polynomial TMP vs Res'!$C$41*POWER(B187,1)+'4th Order Polynomial TMP vs Res'!$D$41*POWER(B187,2)+'4th Order Polynomial TMP vs Res'!$E$41*POWER(B187,3)+'4th Order Polynomial TMP vs Res'!$F$41*POWER(B187,4)</f>
        <v>18279.487402603892</v>
      </c>
      <c r="F187" s="664" t="e">
        <f t="shared" si="26"/>
        <v>#N/A</v>
      </c>
      <c r="G187" s="665"/>
      <c r="H187" s="666"/>
      <c r="I187" s="436"/>
      <c r="J187" s="667">
        <f>'4th Order Polynomial TMP vs Res'!$I$41*E187^4 + '4th Order Polynomial TMP vs Res'!$J$41*E187^3 + '4th Order Polynomial TMP vs Res'!$K$41*E187^2 + '4th Order Polynomial TMP vs Res'!$L$41*E187 + '4th Order Polynomial TMP vs Res'!$M$41</f>
        <v>126.79720925269243</v>
      </c>
      <c r="K187" s="667" t="e">
        <f>IF((VLOOKUP(Main!$N$22,Coefficients!$E$2:$H$28,4,FALSE)) = 125, NA(), B187-J187)</f>
        <v>#N/A</v>
      </c>
      <c r="L187" s="436"/>
      <c r="M187" s="436"/>
      <c r="N187" s="436"/>
      <c r="O187" s="436"/>
      <c r="P187" s="436"/>
      <c r="Q187" s="436"/>
      <c r="R187" s="436"/>
      <c r="S187" s="436"/>
    </row>
    <row r="188" spans="1:19" ht="15" x14ac:dyDescent="0.2">
      <c r="A188" s="505">
        <v>169</v>
      </c>
      <c r="B188" s="506">
        <f t="shared" si="24"/>
        <v>128</v>
      </c>
      <c r="C188" s="664" t="e">
        <f t="shared" si="25"/>
        <v>#N/A</v>
      </c>
      <c r="D188" s="664" t="e">
        <f>IF(B188 &lt;= VLOOKUP(Main!$N$22,Coefficients!$E$2:$H$28,4,FALSE),E188,NA())</f>
        <v>#N/A</v>
      </c>
      <c r="E188" s="507">
        <f>'4th Order Polynomial TMP vs Res'!$B$41+'4th Order Polynomial TMP vs Res'!$C$41*POWER(B188,1)+'4th Order Polynomial TMP vs Res'!$D$41*POWER(B188,2)+'4th Order Polynomial TMP vs Res'!$E$41*POWER(B188,3)+'4th Order Polynomial TMP vs Res'!$F$41*POWER(B188,4)</f>
        <v>18379.321259240351</v>
      </c>
      <c r="F188" s="664" t="e">
        <f t="shared" si="26"/>
        <v>#N/A</v>
      </c>
      <c r="G188" s="665"/>
      <c r="H188" s="666"/>
      <c r="I188" s="436"/>
      <c r="J188" s="667">
        <f>'4th Order Polynomial TMP vs Res'!$I$41*E188^4 + '4th Order Polynomial TMP vs Res'!$J$41*E188^3 + '4th Order Polynomial TMP vs Res'!$K$41*E188^2 + '4th Order Polynomial TMP vs Res'!$L$41*E188 + '4th Order Polynomial TMP vs Res'!$M$41</f>
        <v>127.75666666583271</v>
      </c>
      <c r="K188" s="667" t="e">
        <f>IF((VLOOKUP(Main!$N$22,Coefficients!$E$2:$H$28,4,FALSE)) = 125, NA(), B188-J188)</f>
        <v>#N/A</v>
      </c>
      <c r="L188" s="436"/>
      <c r="M188" s="436"/>
      <c r="N188" s="436"/>
      <c r="O188" s="436"/>
      <c r="P188" s="436"/>
      <c r="Q188" s="436"/>
      <c r="R188" s="436"/>
      <c r="S188" s="436"/>
    </row>
    <row r="189" spans="1:19" ht="15" x14ac:dyDescent="0.2">
      <c r="A189" s="505">
        <v>170</v>
      </c>
      <c r="B189" s="506">
        <f t="shared" si="24"/>
        <v>129</v>
      </c>
      <c r="C189" s="664" t="e">
        <f t="shared" si="25"/>
        <v>#N/A</v>
      </c>
      <c r="D189" s="664" t="e">
        <f>IF(B189 &lt;= VLOOKUP(Main!$N$22,Coefficients!$E$2:$H$28,4,FALSE),E189,NA())</f>
        <v>#N/A</v>
      </c>
      <c r="E189" s="507">
        <f>'4th Order Polynomial TMP vs Res'!$B$41+'4th Order Polynomial TMP vs Res'!$C$41*POWER(B189,1)+'4th Order Polynomial TMP vs Res'!$D$41*POWER(B189,2)+'4th Order Polynomial TMP vs Res'!$E$41*POWER(B189,3)+'4th Order Polynomial TMP vs Res'!$F$41*POWER(B189,4)</f>
        <v>18479.569815610896</v>
      </c>
      <c r="F189" s="664" t="e">
        <f t="shared" si="26"/>
        <v>#N/A</v>
      </c>
      <c r="G189" s="665"/>
      <c r="H189" s="666"/>
      <c r="I189" s="436"/>
      <c r="J189" s="667">
        <f>'4th Order Polynomial TMP vs Res'!$I$41*E189^4 + '4th Order Polynomial TMP vs Res'!$J$41*E189^3 + '4th Order Polynomial TMP vs Res'!$K$41*E189^2 + '4th Order Polynomial TMP vs Res'!$L$41*E189 + '4th Order Polynomial TMP vs Res'!$M$41</f>
        <v>128.71205574850984</v>
      </c>
      <c r="K189" s="667" t="e">
        <f>IF((VLOOKUP(Main!$N$22,Coefficients!$E$2:$H$28,4,FALSE)) = 125, NA(), B189-J189)</f>
        <v>#N/A</v>
      </c>
      <c r="L189" s="436"/>
      <c r="M189" s="436"/>
      <c r="N189" s="436"/>
      <c r="O189" s="436"/>
      <c r="P189" s="436"/>
      <c r="Q189" s="436"/>
      <c r="R189" s="436"/>
      <c r="S189" s="436"/>
    </row>
    <row r="190" spans="1:19" ht="15" x14ac:dyDescent="0.2">
      <c r="A190" s="505">
        <v>171</v>
      </c>
      <c r="B190" s="506">
        <f t="shared" si="24"/>
        <v>130</v>
      </c>
      <c r="C190" s="664" t="e">
        <f t="shared" si="25"/>
        <v>#N/A</v>
      </c>
      <c r="D190" s="664" t="e">
        <f>IF(B190 &lt;= VLOOKUP(Main!$N$22,Coefficients!$E$2:$H$28,4,FALSE),E190,NA())</f>
        <v>#N/A</v>
      </c>
      <c r="E190" s="507">
        <f>'4th Order Polynomial TMP vs Res'!$B$41+'4th Order Polynomial TMP vs Res'!$C$41*POWER(B190,1)+'4th Order Polynomial TMP vs Res'!$D$41*POWER(B190,2)+'4th Order Polynomial TMP vs Res'!$E$41*POWER(B190,3)+'4th Order Polynomial TMP vs Res'!$F$41*POWER(B190,4)</f>
        <v>18580.234482479616</v>
      </c>
      <c r="F190" s="664" t="e">
        <f t="shared" si="26"/>
        <v>#N/A</v>
      </c>
      <c r="G190" s="665"/>
      <c r="H190" s="666"/>
      <c r="I190" s="436"/>
      <c r="J190" s="667">
        <f>'4th Order Polynomial TMP vs Res'!$I$41*E190^4 + '4th Order Polynomial TMP vs Res'!$J$41*E190^3 + '4th Order Polynomial TMP vs Res'!$K$41*E190^2 + '4th Order Polynomial TMP vs Res'!$L$41*E190 + '4th Order Polynomial TMP vs Res'!$M$41</f>
        <v>129.66312436760353</v>
      </c>
      <c r="K190" s="667" t="e">
        <f>IF((VLOOKUP(Main!$N$22,Coefficients!$E$2:$H$28,4,FALSE)) = 125, NA(), B190-J190)</f>
        <v>#N/A</v>
      </c>
      <c r="L190" s="436"/>
      <c r="M190" s="436"/>
      <c r="N190" s="436"/>
      <c r="O190" s="436"/>
      <c r="P190" s="436"/>
      <c r="Q190" s="436"/>
      <c r="R190" s="436"/>
      <c r="S190" s="436"/>
    </row>
    <row r="191" spans="1:19" ht="15" x14ac:dyDescent="0.2">
      <c r="A191" s="505">
        <v>172</v>
      </c>
      <c r="B191" s="506">
        <f t="shared" si="24"/>
        <v>131</v>
      </c>
      <c r="C191" s="664" t="e">
        <f t="shared" si="25"/>
        <v>#N/A</v>
      </c>
      <c r="D191" s="664" t="e">
        <f>IF(B191 &lt;= VLOOKUP(Main!$N$22,Coefficients!$E$2:$H$28,4,FALSE),E191,NA())</f>
        <v>#N/A</v>
      </c>
      <c r="E191" s="507">
        <f>'4th Order Polynomial TMP vs Res'!$B$41+'4th Order Polynomial TMP vs Res'!$C$41*POWER(B191,1)+'4th Order Polynomial TMP vs Res'!$D$41*POWER(B191,2)+'4th Order Polynomial TMP vs Res'!$E$41*POWER(B191,3)+'4th Order Polynomial TMP vs Res'!$F$41*POWER(B191,4)</f>
        <v>18681.316679353669</v>
      </c>
      <c r="F191" s="664" t="e">
        <f t="shared" si="26"/>
        <v>#N/A</v>
      </c>
      <c r="G191" s="665"/>
      <c r="H191" s="666"/>
      <c r="I191" s="436"/>
      <c r="J191" s="667">
        <f>'4th Order Polynomial TMP vs Res'!$I$41*E191^4 + '4th Order Polynomial TMP vs Res'!$J$41*E191^3 + '4th Order Polynomial TMP vs Res'!$K$41*E191^2 + '4th Order Polynomial TMP vs Res'!$L$41*E191 + '4th Order Polynomial TMP vs Res'!$M$41</f>
        <v>130.60960996258979</v>
      </c>
      <c r="K191" s="667" t="e">
        <f>IF((VLOOKUP(Main!$N$22,Coefficients!$E$2:$H$28,4,FALSE)) = 125, NA(), B191-J191)</f>
        <v>#N/A</v>
      </c>
      <c r="L191" s="436"/>
      <c r="M191" s="436"/>
      <c r="N191" s="436"/>
      <c r="O191" s="436"/>
      <c r="P191" s="436"/>
      <c r="Q191" s="436"/>
      <c r="R191" s="436"/>
      <c r="S191" s="436"/>
    </row>
    <row r="192" spans="1:19" ht="15" x14ac:dyDescent="0.2">
      <c r="A192" s="505">
        <v>173</v>
      </c>
      <c r="B192" s="506">
        <f t="shared" si="24"/>
        <v>132</v>
      </c>
      <c r="C192" s="664" t="e">
        <f t="shared" si="25"/>
        <v>#N/A</v>
      </c>
      <c r="D192" s="664" t="e">
        <f>IF(B192 &lt;= VLOOKUP(Main!$N$22,Coefficients!$E$2:$H$28,4,FALSE),E192,NA())</f>
        <v>#N/A</v>
      </c>
      <c r="E192" s="507">
        <f>'4th Order Polynomial TMP vs Res'!$B$41+'4th Order Polynomial TMP vs Res'!$C$41*POWER(B192,1)+'4th Order Polynomial TMP vs Res'!$D$41*POWER(B192,2)+'4th Order Polynomial TMP vs Res'!$E$41*POWER(B192,3)+'4th Order Polynomial TMP vs Res'!$F$41*POWER(B192,4)</f>
        <v>18782.817834483314</v>
      </c>
      <c r="F192" s="664" t="e">
        <f t="shared" si="26"/>
        <v>#N/A</v>
      </c>
      <c r="G192" s="665"/>
      <c r="H192" s="666"/>
      <c r="I192" s="436"/>
      <c r="J192" s="667">
        <f>'4th Order Polynomial TMP vs Res'!$I$41*E192^4 + '4th Order Polynomial TMP vs Res'!$J$41*E192^3 + '4th Order Polynomial TMP vs Res'!$K$41*E192^2 + '4th Order Polynomial TMP vs Res'!$L$41*E192 + '4th Order Polynomial TMP vs Res'!$M$41</f>
        <v>131.55123924131107</v>
      </c>
      <c r="K192" s="667" t="e">
        <f>IF((VLOOKUP(Main!$N$22,Coefficients!$E$2:$H$28,4,FALSE)) = 125, NA(), B192-J192)</f>
        <v>#N/A</v>
      </c>
      <c r="L192" s="436"/>
      <c r="M192" s="436"/>
      <c r="N192" s="436"/>
      <c r="O192" s="436"/>
      <c r="P192" s="436"/>
      <c r="Q192" s="436"/>
      <c r="R192" s="436"/>
      <c r="S192" s="436"/>
    </row>
    <row r="193" spans="1:19" ht="15" x14ac:dyDescent="0.2">
      <c r="A193" s="505">
        <v>174</v>
      </c>
      <c r="B193" s="506">
        <f t="shared" si="24"/>
        <v>133</v>
      </c>
      <c r="C193" s="664" t="e">
        <f t="shared" si="25"/>
        <v>#N/A</v>
      </c>
      <c r="D193" s="664" t="e">
        <f>IF(B193 &lt;= VLOOKUP(Main!$N$22,Coefficients!$E$2:$H$28,4,FALSE),E193,NA())</f>
        <v>#N/A</v>
      </c>
      <c r="E193" s="507">
        <f>'4th Order Polynomial TMP vs Res'!$B$41+'4th Order Polynomial TMP vs Res'!$C$41*POWER(B193,1)+'4th Order Polynomial TMP vs Res'!$D$41*POWER(B193,2)+'4th Order Polynomial TMP vs Res'!$E$41*POWER(B193,3)+'4th Order Polynomial TMP vs Res'!$F$41*POWER(B193,4)</f>
        <v>18884.739384861914</v>
      </c>
      <c r="F193" s="664" t="e">
        <f t="shared" si="26"/>
        <v>#N/A</v>
      </c>
      <c r="G193" s="665"/>
      <c r="H193" s="666"/>
      <c r="I193" s="436"/>
      <c r="J193" s="667">
        <f>'4th Order Polynomial TMP vs Res'!$I$41*E193^4 + '4th Order Polynomial TMP vs Res'!$J$41*E193^3 + '4th Order Polynomial TMP vs Res'!$K$41*E193^2 + '4th Order Polynomial TMP vs Res'!$L$41*E193 + '4th Order Polynomial TMP vs Res'!$M$41</f>
        <v>132.48772786882392</v>
      </c>
      <c r="K193" s="667" t="e">
        <f>IF((VLOOKUP(Main!$N$22,Coefficients!$E$2:$H$28,4,FALSE)) = 125, NA(), B193-J193)</f>
        <v>#N/A</v>
      </c>
      <c r="L193" s="436"/>
      <c r="M193" s="436"/>
      <c r="N193" s="436"/>
      <c r="O193" s="436"/>
      <c r="P193" s="436"/>
      <c r="Q193" s="436"/>
      <c r="R193" s="436"/>
      <c r="S193" s="436"/>
    </row>
    <row r="194" spans="1:19" ht="15" x14ac:dyDescent="0.2">
      <c r="A194" s="505">
        <v>175</v>
      </c>
      <c r="B194" s="506">
        <f t="shared" si="24"/>
        <v>134</v>
      </c>
      <c r="C194" s="664" t="e">
        <f t="shared" si="25"/>
        <v>#N/A</v>
      </c>
      <c r="D194" s="664" t="e">
        <f>IF(B194 &lt;= VLOOKUP(Main!$N$22,Coefficients!$E$2:$H$28,4,FALSE),E194,NA())</f>
        <v>#N/A</v>
      </c>
      <c r="E194" s="507">
        <f>'4th Order Polynomial TMP vs Res'!$B$41+'4th Order Polynomial TMP vs Res'!$C$41*POWER(B194,1)+'4th Order Polynomial TMP vs Res'!$D$41*POWER(B194,2)+'4th Order Polynomial TMP vs Res'!$E$41*POWER(B194,3)+'4th Order Polynomial TMP vs Res'!$F$41*POWER(B194,4)</f>
        <v>18987.08277622591</v>
      </c>
      <c r="F194" s="664" t="e">
        <f t="shared" si="26"/>
        <v>#N/A</v>
      </c>
      <c r="G194" s="665"/>
      <c r="H194" s="666"/>
      <c r="I194" s="436"/>
      <c r="J194" s="667">
        <f>'4th Order Polynomial TMP vs Res'!$I$41*E194^4 + '4th Order Polynomial TMP vs Res'!$J$41*E194^3 + '4th Order Polynomial TMP vs Res'!$K$41*E194^2 + '4th Order Polynomial TMP vs Res'!$L$41*E194 + '4th Order Polynomial TMP vs Res'!$M$41</f>
        <v>133.41878014918433</v>
      </c>
      <c r="K194" s="667" t="e">
        <f>IF((VLOOKUP(Main!$N$22,Coefficients!$E$2:$H$28,4,FALSE)) = 125, NA(), B194-J194)</f>
        <v>#N/A</v>
      </c>
      <c r="L194" s="436"/>
      <c r="M194" s="436"/>
      <c r="N194" s="436"/>
      <c r="O194" s="436"/>
      <c r="P194" s="436"/>
      <c r="Q194" s="436"/>
      <c r="R194" s="436"/>
      <c r="S194" s="436"/>
    </row>
    <row r="195" spans="1:19" ht="15" x14ac:dyDescent="0.2">
      <c r="A195" s="505">
        <v>176</v>
      </c>
      <c r="B195" s="506">
        <f t="shared" si="24"/>
        <v>135</v>
      </c>
      <c r="C195" s="664" t="e">
        <f t="shared" si="25"/>
        <v>#N/A</v>
      </c>
      <c r="D195" s="664" t="e">
        <f>IF(B195 &lt;= VLOOKUP(Main!$N$22,Coefficients!$E$2:$H$28,4,FALSE),E195,NA())</f>
        <v>#N/A</v>
      </c>
      <c r="E195" s="507">
        <f>'4th Order Polynomial TMP vs Res'!$B$41+'4th Order Polynomial TMP vs Res'!$C$41*POWER(B195,1)+'4th Order Polynomial TMP vs Res'!$D$41*POWER(B195,2)+'4th Order Polynomial TMP vs Res'!$E$41*POWER(B195,3)+'4th Order Polynomial TMP vs Res'!$F$41*POWER(B195,4)</f>
        <v>19089.849463054838</v>
      </c>
      <c r="F195" s="664" t="e">
        <f t="shared" si="26"/>
        <v>#N/A</v>
      </c>
      <c r="G195" s="665"/>
      <c r="H195" s="666"/>
      <c r="I195" s="436"/>
      <c r="J195" s="667">
        <f>'4th Order Polynomial TMP vs Res'!$I$41*E195^4 + '4th Order Polynomial TMP vs Res'!$J$41*E195^3 + '4th Order Polynomial TMP vs Res'!$K$41*E195^2 + '4th Order Polynomial TMP vs Res'!$L$41*E195 + '4th Order Polynomial TMP vs Res'!$M$41</f>
        <v>134.34408870002216</v>
      </c>
      <c r="K195" s="667" t="e">
        <f>IF((VLOOKUP(Main!$N$22,Coefficients!$E$2:$H$28,4,FALSE)) = 125, NA(), B195-J195)</f>
        <v>#N/A</v>
      </c>
      <c r="L195" s="436"/>
      <c r="M195" s="436"/>
      <c r="N195" s="436"/>
      <c r="O195" s="436"/>
      <c r="P195" s="436"/>
      <c r="Q195" s="436"/>
      <c r="R195" s="436"/>
      <c r="S195" s="436"/>
    </row>
    <row r="196" spans="1:19" ht="15" x14ac:dyDescent="0.2">
      <c r="A196" s="505">
        <v>177</v>
      </c>
      <c r="B196" s="506">
        <f t="shared" si="24"/>
        <v>136</v>
      </c>
      <c r="C196" s="664" t="e">
        <f t="shared" si="25"/>
        <v>#N/A</v>
      </c>
      <c r="D196" s="664" t="e">
        <f>IF(B196 &lt;= VLOOKUP(Main!$N$22,Coefficients!$E$2:$H$28,4,FALSE),E196,NA())</f>
        <v>#N/A</v>
      </c>
      <c r="E196" s="507">
        <f>'4th Order Polynomial TMP vs Res'!$B$41+'4th Order Polynomial TMP vs Res'!$C$41*POWER(B196,1)+'4th Order Polynomial TMP vs Res'!$D$41*POWER(B196,2)+'4th Order Polynomial TMP vs Res'!$E$41*POWER(B196,3)+'4th Order Polynomial TMP vs Res'!$F$41*POWER(B196,4)</f>
        <v>19193.040908571336</v>
      </c>
      <c r="F196" s="664" t="e">
        <f t="shared" si="26"/>
        <v>#N/A</v>
      </c>
      <c r="G196" s="665"/>
      <c r="H196" s="666"/>
      <c r="I196" s="436"/>
      <c r="J196" s="667">
        <f>'4th Order Polynomial TMP vs Res'!$I$41*E196^4 + '4th Order Polynomial TMP vs Res'!$J$41*E196^3 + '4th Order Polynomial TMP vs Res'!$K$41*E196^2 + '4th Order Polynomial TMP vs Res'!$L$41*E196 + '4th Order Polynomial TMP vs Res'!$M$41</f>
        <v>135.26333411976242</v>
      </c>
      <c r="K196" s="667" t="e">
        <f>IF((VLOOKUP(Main!$N$22,Coefficients!$E$2:$H$28,4,FALSE)) = 125, NA(), B196-J196)</f>
        <v>#N/A</v>
      </c>
      <c r="L196" s="436"/>
      <c r="M196" s="436"/>
      <c r="N196" s="436"/>
      <c r="O196" s="436"/>
      <c r="P196" s="436"/>
      <c r="Q196" s="436"/>
      <c r="R196" s="436"/>
      <c r="S196" s="436"/>
    </row>
    <row r="197" spans="1:19" ht="15" x14ac:dyDescent="0.2">
      <c r="A197" s="505">
        <v>178</v>
      </c>
      <c r="B197" s="506">
        <f t="shared" si="24"/>
        <v>137</v>
      </c>
      <c r="C197" s="664" t="e">
        <f t="shared" si="25"/>
        <v>#N/A</v>
      </c>
      <c r="D197" s="664" t="e">
        <f>IF(B197 &lt;= VLOOKUP(Main!$N$22,Coefficients!$E$2:$H$28,4,FALSE),E197,NA())</f>
        <v>#N/A</v>
      </c>
      <c r="E197" s="507">
        <f>'4th Order Polynomial TMP vs Res'!$B$41+'4th Order Polynomial TMP vs Res'!$C$41*POWER(B197,1)+'4th Order Polynomial TMP vs Res'!$D$41*POWER(B197,2)+'4th Order Polynomial TMP vs Res'!$E$41*POWER(B197,3)+'4th Order Polynomial TMP vs Res'!$F$41*POWER(B197,4)</f>
        <v>19296.658584741126</v>
      </c>
      <c r="F197" s="664" t="e">
        <f t="shared" si="26"/>
        <v>#N/A</v>
      </c>
      <c r="G197" s="665"/>
      <c r="H197" s="666"/>
      <c r="I197" s="436"/>
      <c r="J197" s="667">
        <f>'4th Order Polynomial TMP vs Res'!$I$41*E197^4 + '4th Order Polynomial TMP vs Res'!$J$41*E197^3 + '4th Order Polynomial TMP vs Res'!$K$41*E197^2 + '4th Order Polynomial TMP vs Res'!$L$41*E197 + '4th Order Polynomial TMP vs Res'!$M$41</f>
        <v>136.17618464734272</v>
      </c>
      <c r="K197" s="667" t="e">
        <f>IF((VLOOKUP(Main!$N$22,Coefficients!$E$2:$H$28,4,FALSE)) = 125, NA(), B197-J197)</f>
        <v>#N/A</v>
      </c>
      <c r="L197" s="436"/>
      <c r="M197" s="436"/>
      <c r="N197" s="436"/>
      <c r="O197" s="436"/>
      <c r="P197" s="436"/>
      <c r="Q197" s="436"/>
      <c r="R197" s="436"/>
      <c r="S197" s="436"/>
    </row>
    <row r="198" spans="1:19" ht="15" x14ac:dyDescent="0.2">
      <c r="A198" s="505">
        <v>179</v>
      </c>
      <c r="B198" s="506">
        <f t="shared" si="24"/>
        <v>138</v>
      </c>
      <c r="C198" s="664" t="e">
        <f t="shared" si="25"/>
        <v>#N/A</v>
      </c>
      <c r="D198" s="664" t="e">
        <f>IF(B198 &lt;= VLOOKUP(Main!$N$22,Coefficients!$E$2:$H$28,4,FALSE),E198,NA())</f>
        <v>#N/A</v>
      </c>
      <c r="E198" s="507">
        <f>'4th Order Polynomial TMP vs Res'!$B$41+'4th Order Polynomial TMP vs Res'!$C$41*POWER(B198,1)+'4th Order Polynomial TMP vs Res'!$D$41*POWER(B198,2)+'4th Order Polynomial TMP vs Res'!$E$41*POWER(B198,3)+'4th Order Polynomial TMP vs Res'!$F$41*POWER(B198,4)</f>
        <v>19400.703972273015</v>
      </c>
      <c r="F198" s="664" t="e">
        <f t="shared" si="26"/>
        <v>#N/A</v>
      </c>
      <c r="G198" s="665"/>
      <c r="H198" s="666"/>
      <c r="I198" s="436"/>
      <c r="J198" s="667">
        <f>'4th Order Polynomial TMP vs Res'!$I$41*E198^4 + '4th Order Polynomial TMP vs Res'!$J$41*E198^3 + '4th Order Polynomial TMP vs Res'!$K$41*E198^2 + '4th Order Polynomial TMP vs Res'!$L$41*E198 + '4th Order Polynomial TMP vs Res'!$M$41</f>
        <v>137.08229581427526</v>
      </c>
      <c r="K198" s="667" t="e">
        <f>IF((VLOOKUP(Main!$N$22,Coefficients!$E$2:$H$28,4,FALSE)) = 125, NA(), B198-J198)</f>
        <v>#N/A</v>
      </c>
      <c r="L198" s="436"/>
      <c r="M198" s="436"/>
      <c r="N198" s="436"/>
      <c r="O198" s="436"/>
      <c r="P198" s="436"/>
      <c r="Q198" s="436"/>
      <c r="R198" s="436"/>
      <c r="S198" s="436"/>
    </row>
    <row r="199" spans="1:19" ht="15" x14ac:dyDescent="0.2">
      <c r="A199" s="505">
        <v>180</v>
      </c>
      <c r="B199" s="506">
        <f t="shared" si="24"/>
        <v>139</v>
      </c>
      <c r="C199" s="664" t="e">
        <f t="shared" si="25"/>
        <v>#N/A</v>
      </c>
      <c r="D199" s="664" t="e">
        <f>IF(B199 &lt;= VLOOKUP(Main!$N$22,Coefficients!$E$2:$H$28,4,FALSE),E199,NA())</f>
        <v>#N/A</v>
      </c>
      <c r="E199" s="507">
        <f>'4th Order Polynomial TMP vs Res'!$B$41+'4th Order Polynomial TMP vs Res'!$C$41*POWER(B199,1)+'4th Order Polynomial TMP vs Res'!$D$41*POWER(B199,2)+'4th Order Polynomial TMP vs Res'!$E$41*POWER(B199,3)+'4th Order Polynomial TMP vs Res'!$F$41*POWER(B199,4)</f>
        <v>19505.178560618926</v>
      </c>
      <c r="F199" s="664" t="e">
        <f t="shared" si="26"/>
        <v>#N/A</v>
      </c>
      <c r="G199" s="665"/>
      <c r="H199" s="666"/>
      <c r="I199" s="436"/>
      <c r="J199" s="667">
        <f>'4th Order Polynomial TMP vs Res'!$I$41*E199^4 + '4th Order Polynomial TMP vs Res'!$J$41*E199^3 + '4th Order Polynomial TMP vs Res'!$K$41*E199^2 + '4th Order Polynomial TMP vs Res'!$L$41*E199 + '4th Order Polynomial TMP vs Res'!$M$41</f>
        <v>137.98131008889828</v>
      </c>
      <c r="K199" s="667" t="e">
        <f>IF((VLOOKUP(Main!$N$22,Coefficients!$E$2:$H$28,4,FALSE)) = 125, NA(), B199-J199)</f>
        <v>#N/A</v>
      </c>
      <c r="L199" s="436"/>
      <c r="M199" s="436"/>
      <c r="N199" s="436"/>
      <c r="O199" s="436"/>
      <c r="P199" s="436"/>
      <c r="Q199" s="436"/>
      <c r="R199" s="436"/>
      <c r="S199" s="436"/>
    </row>
    <row r="200" spans="1:19" ht="15" x14ac:dyDescent="0.2">
      <c r="A200" s="505">
        <v>181</v>
      </c>
      <c r="B200" s="506">
        <f t="shared" si="24"/>
        <v>140</v>
      </c>
      <c r="C200" s="664" t="e">
        <f t="shared" si="25"/>
        <v>#N/A</v>
      </c>
      <c r="D200" s="664" t="e">
        <f>IF(B200 &lt;= VLOOKUP(Main!$N$22,Coefficients!$E$2:$H$28,4,FALSE),E200,NA())</f>
        <v>#N/A</v>
      </c>
      <c r="E200" s="507">
        <f>'4th Order Polynomial TMP vs Res'!$B$41+'4th Order Polynomial TMP vs Res'!$C$41*POWER(B200,1)+'4th Order Polynomial TMP vs Res'!$D$41*POWER(B200,2)+'4th Order Polynomial TMP vs Res'!$E$41*POWER(B200,3)+'4th Order Polynomial TMP vs Res'!$F$41*POWER(B200,4)</f>
        <v>19610.083847973845</v>
      </c>
      <c r="F200" s="664" t="e">
        <f t="shared" si="26"/>
        <v>#N/A</v>
      </c>
      <c r="G200" s="665"/>
      <c r="H200" s="666"/>
      <c r="I200" s="436"/>
      <c r="J200" s="667">
        <f>'4th Order Polynomial TMP vs Res'!$I$41*E200^4 + '4th Order Polynomial TMP vs Res'!$J$41*E200^3 + '4th Order Polynomial TMP vs Res'!$K$41*E200^2 + '4th Order Polynomial TMP vs Res'!$L$41*E200 + '4th Order Polynomial TMP vs Res'!$M$41</f>
        <v>138.87285651265853</v>
      </c>
      <c r="K200" s="667" t="e">
        <f>IF((VLOOKUP(Main!$N$22,Coefficients!$E$2:$H$28,4,FALSE)) = 125, NA(), B200-J200)</f>
        <v>#N/A</v>
      </c>
      <c r="L200" s="436"/>
      <c r="M200" s="436"/>
      <c r="N200" s="436"/>
      <c r="O200" s="436"/>
      <c r="P200" s="436"/>
      <c r="Q200" s="436"/>
      <c r="R200" s="436"/>
      <c r="S200" s="436"/>
    </row>
    <row r="201" spans="1:19" ht="15" x14ac:dyDescent="0.2">
      <c r="A201" s="505">
        <v>182</v>
      </c>
      <c r="B201" s="506">
        <f t="shared" si="24"/>
        <v>141</v>
      </c>
      <c r="C201" s="664" t="e">
        <f t="shared" si="25"/>
        <v>#N/A</v>
      </c>
      <c r="D201" s="664" t="e">
        <f>IF(B201 &lt;= VLOOKUP(Main!$N$22,Coefficients!$E$2:$H$28,4,FALSE),E201,NA())</f>
        <v>#N/A</v>
      </c>
      <c r="E201" s="507">
        <f>'4th Order Polynomial TMP vs Res'!$B$41+'4th Order Polynomial TMP vs Res'!$C$41*POWER(B201,1)+'4th Order Polynomial TMP vs Res'!$D$41*POWER(B201,2)+'4th Order Polynomial TMP vs Res'!$E$41*POWER(B201,3)+'4th Order Polynomial TMP vs Res'!$F$41*POWER(B201,4)</f>
        <v>19715.421341275865</v>
      </c>
      <c r="F201" s="664" t="e">
        <f t="shared" si="26"/>
        <v>#N/A</v>
      </c>
      <c r="G201" s="665"/>
      <c r="H201" s="666"/>
      <c r="I201" s="436"/>
      <c r="J201" s="667">
        <f>'4th Order Polynomial TMP vs Res'!$I$41*E201^4 + '4th Order Polynomial TMP vs Res'!$J$41*E201^3 + '4th Order Polynomial TMP vs Res'!$K$41*E201^2 + '4th Order Polynomial TMP vs Res'!$L$41*E201 + '4th Order Polynomial TMP vs Res'!$M$41</f>
        <v>139.756550328267</v>
      </c>
      <c r="K201" s="667" t="e">
        <f>IF((VLOOKUP(Main!$N$22,Coefficients!$E$2:$H$28,4,FALSE)) = 125, NA(), B201-J201)</f>
        <v>#N/A</v>
      </c>
      <c r="L201" s="436"/>
      <c r="M201" s="436"/>
      <c r="N201" s="436"/>
      <c r="O201" s="436"/>
      <c r="P201" s="436"/>
      <c r="Q201" s="436"/>
      <c r="R201" s="436"/>
      <c r="S201" s="436"/>
    </row>
    <row r="202" spans="1:19" ht="15" x14ac:dyDescent="0.2">
      <c r="A202" s="505">
        <v>183</v>
      </c>
      <c r="B202" s="506">
        <f t="shared" si="24"/>
        <v>142</v>
      </c>
      <c r="C202" s="664" t="e">
        <f t="shared" si="25"/>
        <v>#N/A</v>
      </c>
      <c r="D202" s="664" t="e">
        <f>IF(B202 &lt;= VLOOKUP(Main!$N$22,Coefficients!$E$2:$H$28,4,FALSE),E202,NA())</f>
        <v>#N/A</v>
      </c>
      <c r="E202" s="507">
        <f>'4th Order Polynomial TMP vs Res'!$B$41+'4th Order Polynomial TMP vs Res'!$C$41*POWER(B202,1)+'4th Order Polynomial TMP vs Res'!$D$41*POWER(B202,2)+'4th Order Polynomial TMP vs Res'!$E$41*POWER(B202,3)+'4th Order Polynomial TMP vs Res'!$F$41*POWER(B202,4)</f>
        <v>19821.192556206184</v>
      </c>
      <c r="F202" s="664" t="e">
        <f t="shared" si="26"/>
        <v>#N/A</v>
      </c>
      <c r="G202" s="665"/>
      <c r="H202" s="666"/>
      <c r="I202" s="436"/>
      <c r="J202" s="667">
        <f>'4th Order Polynomial TMP vs Res'!$I$41*E202^4 + '4th Order Polynomial TMP vs Res'!$J$41*E202^3 + '4th Order Polynomial TMP vs Res'!$K$41*E202^2 + '4th Order Polynomial TMP vs Res'!$L$41*E202 + '4th Order Polynomial TMP vs Res'!$M$41</f>
        <v>140.63199259956269</v>
      </c>
      <c r="K202" s="667" t="e">
        <f>IF((VLOOKUP(Main!$N$22,Coefficients!$E$2:$H$28,4,FALSE)) = 125, NA(), B202-J202)</f>
        <v>#N/A</v>
      </c>
      <c r="L202" s="436"/>
      <c r="M202" s="436"/>
      <c r="N202" s="436"/>
      <c r="O202" s="436"/>
      <c r="P202" s="436"/>
      <c r="Q202" s="436"/>
      <c r="R202" s="436"/>
      <c r="S202" s="436"/>
    </row>
    <row r="203" spans="1:19" ht="15" x14ac:dyDescent="0.2">
      <c r="A203" s="505">
        <v>184</v>
      </c>
      <c r="B203" s="506">
        <f t="shared" si="24"/>
        <v>143</v>
      </c>
      <c r="C203" s="664" t="e">
        <f t="shared" si="25"/>
        <v>#N/A</v>
      </c>
      <c r="D203" s="664" t="e">
        <f>IF(B203 &lt;= VLOOKUP(Main!$N$22,Coefficients!$E$2:$H$28,4,FALSE),E203,NA())</f>
        <v>#N/A</v>
      </c>
      <c r="E203" s="507">
        <f>'4th Order Polynomial TMP vs Res'!$B$41+'4th Order Polynomial TMP vs Res'!$C$41*POWER(B203,1)+'4th Order Polynomial TMP vs Res'!$D$41*POWER(B203,2)+'4th Order Polynomial TMP vs Res'!$E$41*POWER(B203,3)+'4th Order Polynomial TMP vs Res'!$F$41*POWER(B203,4)</f>
        <v>19927.399017189073</v>
      </c>
      <c r="F203" s="664" t="e">
        <f t="shared" si="26"/>
        <v>#N/A</v>
      </c>
      <c r="G203" s="665"/>
      <c r="H203" s="666"/>
      <c r="I203" s="436"/>
      <c r="J203" s="667">
        <f>'4th Order Polynomial TMP vs Res'!$I$41*E203^4 + '4th Order Polynomial TMP vs Res'!$J$41*E203^3 + '4th Order Polynomial TMP vs Res'!$K$41*E203^2 + '4th Order Polynomial TMP vs Res'!$L$41*E203 + '4th Order Polynomial TMP vs Res'!$M$41</f>
        <v>141.49876982291318</v>
      </c>
      <c r="K203" s="667" t="e">
        <f>IF((VLOOKUP(Main!$N$22,Coefficients!$E$2:$H$28,4,FALSE)) = 125, NA(), B203-J203)</f>
        <v>#N/A</v>
      </c>
      <c r="L203" s="436"/>
      <c r="M203" s="436"/>
      <c r="N203" s="436"/>
      <c r="O203" s="436"/>
      <c r="P203" s="436"/>
      <c r="Q203" s="436"/>
      <c r="R203" s="436"/>
      <c r="S203" s="436"/>
    </row>
    <row r="204" spans="1:19" ht="15" x14ac:dyDescent="0.2">
      <c r="A204" s="505">
        <v>185</v>
      </c>
      <c r="B204" s="506">
        <f t="shared" si="24"/>
        <v>144</v>
      </c>
      <c r="C204" s="664" t="e">
        <f t="shared" si="25"/>
        <v>#N/A</v>
      </c>
      <c r="D204" s="664" t="e">
        <f>IF(B204 &lt;= VLOOKUP(Main!$N$22,Coefficients!$E$2:$H$28,4,FALSE),E204,NA())</f>
        <v>#N/A</v>
      </c>
      <c r="E204" s="507">
        <f>'4th Order Polynomial TMP vs Res'!$B$41+'4th Order Polynomial TMP vs Res'!$C$41*POWER(B204,1)+'4th Order Polynomial TMP vs Res'!$D$41*POWER(B204,2)+'4th Order Polynomial TMP vs Res'!$E$41*POWER(B204,3)+'4th Order Polynomial TMP vs Res'!$F$41*POWER(B204,4)</f>
        <v>20034.042257391895</v>
      </c>
      <c r="F204" s="664" t="e">
        <f t="shared" si="26"/>
        <v>#N/A</v>
      </c>
      <c r="G204" s="665"/>
      <c r="H204" s="666"/>
      <c r="I204" s="436"/>
      <c r="J204" s="667">
        <f>'4th Order Polynomial TMP vs Res'!$I$41*E204^4 + '4th Order Polynomial TMP vs Res'!$J$41*E204^3 + '4th Order Polynomial TMP vs Res'!$K$41*E204^2 + '4th Order Polynomial TMP vs Res'!$L$41*E204 + '4th Order Polynomial TMP vs Res'!$M$41</f>
        <v>142.35645352999398</v>
      </c>
      <c r="K204" s="667" t="e">
        <f>IF((VLOOKUP(Main!$N$22,Coefficients!$E$2:$H$28,4,FALSE)) = 125, NA(), B204-J204)</f>
        <v>#N/A</v>
      </c>
      <c r="L204" s="436"/>
      <c r="M204" s="436"/>
      <c r="N204" s="436"/>
      <c r="O204" s="436"/>
      <c r="P204" s="436"/>
      <c r="Q204" s="436"/>
      <c r="R204" s="436"/>
      <c r="S204" s="436"/>
    </row>
    <row r="205" spans="1:19" ht="15" x14ac:dyDescent="0.2">
      <c r="A205" s="505">
        <v>186</v>
      </c>
      <c r="B205" s="506">
        <f t="shared" si="24"/>
        <v>145</v>
      </c>
      <c r="C205" s="664" t="e">
        <f t="shared" si="25"/>
        <v>#N/A</v>
      </c>
      <c r="D205" s="664" t="e">
        <f>IF(B205 &lt;= VLOOKUP(Main!$N$22,Coefficients!$E$2:$H$28,4,FALSE),E205,NA())</f>
        <v>#N/A</v>
      </c>
      <c r="E205" s="507">
        <f>'4th Order Polynomial TMP vs Res'!$B$41+'4th Order Polynomial TMP vs Res'!$C$41*POWER(B205,1)+'4th Order Polynomial TMP vs Res'!$D$41*POWER(B205,2)+'4th Order Polynomial TMP vs Res'!$E$41*POWER(B205,3)+'4th Order Polynomial TMP vs Res'!$F$41*POWER(B205,4)</f>
        <v>20141.123818725122</v>
      </c>
      <c r="F205" s="664" t="e">
        <f t="shared" si="26"/>
        <v>#N/A</v>
      </c>
      <c r="G205" s="665"/>
      <c r="H205" s="666"/>
      <c r="I205" s="436"/>
      <c r="J205" s="667">
        <f>'4th Order Polynomial TMP vs Res'!$I$41*E205^4 + '4th Order Polynomial TMP vs Res'!$J$41*E205^3 + '4th Order Polynomial TMP vs Res'!$K$41*E205^2 + '4th Order Polynomial TMP vs Res'!$L$41*E205 + '4th Order Polynomial TMP vs Res'!$M$41</f>
        <v>143.20459988176054</v>
      </c>
      <c r="K205" s="667" t="e">
        <f>IF((VLOOKUP(Main!$N$22,Coefficients!$E$2:$H$28,4,FALSE)) = 125, NA(), B205-J205)</f>
        <v>#N/A</v>
      </c>
      <c r="L205" s="436"/>
      <c r="M205" s="436"/>
      <c r="N205" s="436"/>
      <c r="O205" s="436"/>
      <c r="P205" s="436"/>
      <c r="Q205" s="436"/>
      <c r="R205" s="436"/>
      <c r="S205" s="436"/>
    </row>
    <row r="206" spans="1:19" ht="15" x14ac:dyDescent="0.2">
      <c r="A206" s="505">
        <v>187</v>
      </c>
      <c r="B206" s="506">
        <f t="shared" si="24"/>
        <v>146</v>
      </c>
      <c r="C206" s="664" t="e">
        <f t="shared" si="25"/>
        <v>#N/A</v>
      </c>
      <c r="D206" s="664" t="e">
        <f>IF(B206 &lt;= VLOOKUP(Main!$N$22,Coefficients!$E$2:$H$28,4,FALSE),E206,NA())</f>
        <v>#N/A</v>
      </c>
      <c r="E206" s="507">
        <f>'4th Order Polynomial TMP vs Res'!$B$41+'4th Order Polynomial TMP vs Res'!$C$41*POWER(B206,1)+'4th Order Polynomial TMP vs Res'!$D$41*POWER(B206,2)+'4th Order Polynomial TMP vs Res'!$E$41*POWER(B206,3)+'4th Order Polynomial TMP vs Res'!$F$41*POWER(B206,4)</f>
        <v>20248.645251842299</v>
      </c>
      <c r="F206" s="664" t="e">
        <f t="shared" si="26"/>
        <v>#N/A</v>
      </c>
      <c r="G206" s="665"/>
      <c r="H206" s="666"/>
      <c r="I206" s="436"/>
      <c r="J206" s="667">
        <f>'4th Order Polynomial TMP vs Res'!$I$41*E206^4 + '4th Order Polynomial TMP vs Res'!$J$41*E206^3 + '4th Order Polynomial TMP vs Res'!$K$41*E206^2 + '4th Order Polynomial TMP vs Res'!$L$41*E206 + '4th Order Polynomial TMP vs Res'!$M$41</f>
        <v>144.04274925344754</v>
      </c>
      <c r="K206" s="667" t="e">
        <f>IF((VLOOKUP(Main!$N$22,Coefficients!$E$2:$H$28,4,FALSE)) = 125, NA(), B206-J206)</f>
        <v>#N/A</v>
      </c>
      <c r="L206" s="436"/>
      <c r="M206" s="436"/>
      <c r="N206" s="436"/>
      <c r="O206" s="436"/>
      <c r="P206" s="436"/>
      <c r="Q206" s="436"/>
      <c r="R206" s="436"/>
      <c r="S206" s="436"/>
    </row>
    <row r="207" spans="1:19" ht="15" x14ac:dyDescent="0.2">
      <c r="A207" s="505">
        <v>188</v>
      </c>
      <c r="B207" s="506">
        <f t="shared" si="24"/>
        <v>147</v>
      </c>
      <c r="C207" s="664" t="e">
        <f t="shared" si="25"/>
        <v>#N/A</v>
      </c>
      <c r="D207" s="664" t="e">
        <f>IF(B207 &lt;= VLOOKUP(Main!$N$22,Coefficients!$E$2:$H$28,4,FALSE),E207,NA())</f>
        <v>#N/A</v>
      </c>
      <c r="E207" s="507">
        <f>'4th Order Polynomial TMP vs Res'!$B$41+'4th Order Polynomial TMP vs Res'!$C$41*POWER(B207,1)+'4th Order Polynomial TMP vs Res'!$D$41*POWER(B207,2)+'4th Order Polynomial TMP vs Res'!$E$41*POWER(B207,3)+'4th Order Polynomial TMP vs Res'!$F$41*POWER(B207,4)</f>
        <v>20356.608116140083</v>
      </c>
      <c r="F207" s="664" t="e">
        <f t="shared" si="26"/>
        <v>#N/A</v>
      </c>
      <c r="G207" s="665"/>
      <c r="H207" s="666"/>
      <c r="I207" s="436"/>
      <c r="J207" s="667">
        <f>'4th Order Polynomial TMP vs Res'!$I$41*E207^4 + '4th Order Polynomial TMP vs Res'!$J$41*E207^3 + '4th Order Polynomial TMP vs Res'!$K$41*E207^2 + '4th Order Polynomial TMP vs Res'!$L$41*E207 + '4th Order Polynomial TMP vs Res'!$M$41</f>
        <v>144.87042581040947</v>
      </c>
      <c r="K207" s="667" t="e">
        <f>IF((VLOOKUP(Main!$N$22,Coefficients!$E$2:$H$28,4,FALSE)) = 125, NA(), B207-J207)</f>
        <v>#N/A</v>
      </c>
      <c r="L207" s="436"/>
      <c r="M207" s="436"/>
      <c r="N207" s="436"/>
      <c r="O207" s="436"/>
      <c r="P207" s="436"/>
      <c r="Q207" s="436"/>
      <c r="R207" s="436"/>
      <c r="S207" s="436"/>
    </row>
    <row r="208" spans="1:19" ht="15" x14ac:dyDescent="0.2">
      <c r="A208" s="505">
        <v>189</v>
      </c>
      <c r="B208" s="506">
        <f t="shared" si="24"/>
        <v>148</v>
      </c>
      <c r="C208" s="664" t="e">
        <f t="shared" si="25"/>
        <v>#N/A</v>
      </c>
      <c r="D208" s="664" t="e">
        <f>IF(B208 &lt;= VLOOKUP(Main!$N$22,Coefficients!$E$2:$H$28,4,FALSE),E208,NA())</f>
        <v>#N/A</v>
      </c>
      <c r="E208" s="507">
        <f>'4th Order Polynomial TMP vs Res'!$B$41+'4th Order Polynomial TMP vs Res'!$C$41*POWER(B208,1)+'4th Order Polynomial TMP vs Res'!$D$41*POWER(B208,2)+'4th Order Polynomial TMP vs Res'!$E$41*POWER(B208,3)+'4th Order Polynomial TMP vs Res'!$F$41*POWER(B208,4)</f>
        <v>20465.013979758201</v>
      </c>
      <c r="F208" s="664" t="e">
        <f t="shared" si="26"/>
        <v>#N/A</v>
      </c>
      <c r="G208" s="665"/>
      <c r="H208" s="666"/>
      <c r="I208" s="436"/>
      <c r="J208" s="667">
        <f>'4th Order Polynomial TMP vs Res'!$I$41*E208^4 + '4th Order Polynomial TMP vs Res'!$J$41*E208^3 + '4th Order Polynomial TMP vs Res'!$K$41*E208^2 + '4th Order Polynomial TMP vs Res'!$L$41*E208 + '4th Order Polynomial TMP vs Res'!$M$41</f>
        <v>145.68713707462308</v>
      </c>
      <c r="K208" s="667" t="e">
        <f>IF((VLOOKUP(Main!$N$22,Coefficients!$E$2:$H$28,4,FALSE)) = 125, NA(), B208-J208)</f>
        <v>#N/A</v>
      </c>
      <c r="L208" s="436"/>
      <c r="M208" s="436"/>
      <c r="N208" s="436"/>
      <c r="O208" s="436"/>
      <c r="P208" s="436"/>
      <c r="Q208" s="436"/>
      <c r="R208" s="436"/>
      <c r="S208" s="436"/>
    </row>
    <row r="209" spans="1:19" ht="15" x14ac:dyDescent="0.2">
      <c r="A209" s="505">
        <v>190</v>
      </c>
      <c r="B209" s="506">
        <f t="shared" si="24"/>
        <v>149</v>
      </c>
      <c r="C209" s="664" t="e">
        <f t="shared" si="25"/>
        <v>#N/A</v>
      </c>
      <c r="D209" s="664" t="e">
        <f>IF(B209 &lt;= VLOOKUP(Main!$N$22,Coefficients!$E$2:$H$28,4,FALSE),E209,NA())</f>
        <v>#N/A</v>
      </c>
      <c r="E209" s="507">
        <f>'4th Order Polynomial TMP vs Res'!$B$41+'4th Order Polynomial TMP vs Res'!$C$41*POWER(B209,1)+'4th Order Polynomial TMP vs Res'!$D$41*POWER(B209,2)+'4th Order Polynomial TMP vs Res'!$E$41*POWER(B209,3)+'4th Order Polynomial TMP vs Res'!$F$41*POWER(B209,4)</f>
        <v>20573.864419579499</v>
      </c>
      <c r="F209" s="664" t="e">
        <f t="shared" si="26"/>
        <v>#N/A</v>
      </c>
      <c r="G209" s="665"/>
      <c r="H209" s="666"/>
      <c r="I209" s="436"/>
      <c r="J209" s="667">
        <f>'4th Order Polynomial TMP vs Res'!$I$41*E209^4 + '4th Order Polynomial TMP vs Res'!$J$41*E209^3 + '4th Order Polynomial TMP vs Res'!$K$41*E209^2 + '4th Order Polynomial TMP vs Res'!$L$41*E209 + '4th Order Polynomial TMP vs Res'!$M$41</f>
        <v>146.49237348166611</v>
      </c>
      <c r="K209" s="667" t="e">
        <f>IF((VLOOKUP(Main!$N$22,Coefficients!$E$2:$H$28,4,FALSE)) = 125, NA(), B209-J209)</f>
        <v>#N/A</v>
      </c>
      <c r="L209" s="436"/>
      <c r="M209" s="436"/>
      <c r="N209" s="436"/>
      <c r="O209" s="436"/>
      <c r="P209" s="436"/>
      <c r="Q209" s="436"/>
      <c r="R209" s="436"/>
      <c r="S209" s="436"/>
    </row>
    <row r="210" spans="1:19" ht="15" x14ac:dyDescent="0.2">
      <c r="A210" s="505">
        <v>191</v>
      </c>
      <c r="B210" s="506">
        <f t="shared" si="24"/>
        <v>150</v>
      </c>
      <c r="C210" s="664" t="e">
        <f t="shared" si="25"/>
        <v>#N/A</v>
      </c>
      <c r="D210" s="664" t="e">
        <f>IF(B210 &lt;= VLOOKUP(Main!$N$22,Coefficients!$E$2:$H$28,4,FALSE),E210,NA())</f>
        <v>#N/A</v>
      </c>
      <c r="E210" s="507">
        <f>'4th Order Polynomial TMP vs Res'!$B$41+'4th Order Polynomial TMP vs Res'!$C$41*POWER(B210,1)+'4th Order Polynomial TMP vs Res'!$D$41*POWER(B210,2)+'4th Order Polynomial TMP vs Res'!$E$41*POWER(B210,3)+'4th Order Polynomial TMP vs Res'!$F$41*POWER(B210,4)</f>
        <v>20683.161021229887</v>
      </c>
      <c r="F210" s="664" t="e">
        <f t="shared" si="26"/>
        <v>#N/A</v>
      </c>
      <c r="G210" s="665"/>
      <c r="H210" s="666"/>
      <c r="I210" s="436"/>
      <c r="J210" s="667">
        <f>'4th Order Polynomial TMP vs Res'!$I$41*E210^4 + '4th Order Polynomial TMP vs Res'!$J$41*E210^3 + '4th Order Polynomial TMP vs Res'!$K$41*E210^2 + '4th Order Polynomial TMP vs Res'!$L$41*E210 + '4th Order Polynomial TMP vs Res'!$M$41</f>
        <v>147.2856079279822</v>
      </c>
      <c r="K210" s="667" t="e">
        <f>IF((VLOOKUP(Main!$N$22,Coefficients!$E$2:$H$28,4,FALSE)) = 125, NA(), B210-J210)</f>
        <v>#N/A</v>
      </c>
      <c r="L210" s="436"/>
      <c r="M210" s="436"/>
      <c r="N210" s="436"/>
      <c r="O210" s="436"/>
      <c r="P210" s="436"/>
      <c r="Q210" s="436"/>
      <c r="R210" s="436"/>
      <c r="S210" s="436"/>
    </row>
    <row r="211" spans="1:19" s="222" customFormat="1" ht="15" x14ac:dyDescent="0.2">
      <c r="A211" s="505">
        <v>192</v>
      </c>
      <c r="B211" s="506">
        <f t="shared" si="24"/>
        <v>151</v>
      </c>
      <c r="C211" s="664" t="e">
        <f>IFERROR(D211*0.975,NA())</f>
        <v>#N/A</v>
      </c>
      <c r="D211" s="664" t="e">
        <f>IF(B211 &lt;= VLOOKUP(Main!$N$22,Coefficients!$E$2:$H$28,4,FALSE),E211,NA())</f>
        <v>#N/A</v>
      </c>
      <c r="E211" s="507">
        <f>'4th Order Polynomial TMP vs Res'!$B$41+'4th Order Polynomial TMP vs Res'!$C$41*POWER(B211,1)+'4th Order Polynomial TMP vs Res'!$D$41*POWER(B211,2)+'4th Order Polynomial TMP vs Res'!$E$41*POWER(B211,3)+'4th Order Polynomial TMP vs Res'!$F$41*POWER(B211,4)</f>
        <v>20792.905379078387</v>
      </c>
      <c r="F211" s="664" t="e">
        <f>IFERROR(D211*1.025,NA())</f>
        <v>#N/A</v>
      </c>
      <c r="G211" s="666"/>
      <c r="H211" s="666"/>
      <c r="I211" s="667"/>
      <c r="J211" s="667">
        <f>'4th Order Polynomial TMP vs Res'!$I$41*E211^4 + '4th Order Polynomial TMP vs Res'!$J$41*E211^3 + '4th Order Polynomial TMP vs Res'!$K$41*E211^2 + '4th Order Polynomial TMP vs Res'!$L$41*E211 + '4th Order Polynomial TMP vs Res'!$M$41</f>
        <v>148.06629530823858</v>
      </c>
      <c r="K211" s="667" t="e">
        <f>IF((VLOOKUP(Main!$N$22,Coefficients!$E$2:$H$28,4,FALSE)) = 125, NA(), B211-J211)</f>
        <v>#N/A</v>
      </c>
      <c r="L211" s="436"/>
      <c r="M211" s="436"/>
      <c r="N211" s="436"/>
      <c r="O211" s="436"/>
      <c r="P211" s="436"/>
      <c r="Q211" s="436"/>
      <c r="R211" s="436"/>
      <c r="S211" s="436"/>
    </row>
    <row r="212" spans="1:19" ht="15" x14ac:dyDescent="0.2">
      <c r="A212" s="505">
        <v>193</v>
      </c>
      <c r="B212" s="506">
        <f t="shared" si="24"/>
        <v>152</v>
      </c>
      <c r="C212" s="664" t="e">
        <f t="shared" ref="C212:C230" si="28">IFERROR(D212*0.975,NA())</f>
        <v>#N/A</v>
      </c>
      <c r="D212" s="664" t="e">
        <f>IF(B212 &lt;= VLOOKUP(Main!$N$22,Coefficients!$E$2:$H$28,4,FALSE),E212,NA())</f>
        <v>#N/A</v>
      </c>
      <c r="E212" s="507">
        <f>'4th Order Polynomial TMP vs Res'!$B$41+'4th Order Polynomial TMP vs Res'!$C$41*POWER(B212,1)+'4th Order Polynomial TMP vs Res'!$D$41*POWER(B212,2)+'4th Order Polynomial TMP vs Res'!$E$41*POWER(B212,3)+'4th Order Polynomial TMP vs Res'!$F$41*POWER(B212,4)</f>
        <v>20903.099096237111</v>
      </c>
      <c r="F212" s="664" t="e">
        <f t="shared" ref="F212:F230" si="29">IFERROR(D212*1.025,NA())</f>
        <v>#N/A</v>
      </c>
      <c r="G212" s="436"/>
      <c r="H212" s="436"/>
      <c r="I212" s="436"/>
      <c r="J212" s="667">
        <f>'4th Order Polynomial TMP vs Res'!$I$41*E212^4 + '4th Order Polynomial TMP vs Res'!$J$41*E212^3 + '4th Order Polynomial TMP vs Res'!$K$41*E212^2 + '4th Order Polynomial TMP vs Res'!$L$41*E212 + '4th Order Polynomial TMP vs Res'!$M$41</f>
        <v>148.83387204258253</v>
      </c>
      <c r="K212" s="667" t="e">
        <f>IF((VLOOKUP(Main!$N$22,Coefficients!$E$2:$H$28,4,FALSE)) = 125, NA(), B212-J212)</f>
        <v>#N/A</v>
      </c>
      <c r="L212" s="436"/>
      <c r="M212" s="436"/>
      <c r="N212" s="436"/>
      <c r="O212" s="436"/>
      <c r="P212" s="436"/>
      <c r="Q212" s="436"/>
      <c r="R212" s="436"/>
      <c r="S212" s="436"/>
    </row>
    <row r="213" spans="1:19" s="222" customFormat="1" ht="15" x14ac:dyDescent="0.2">
      <c r="A213" s="505">
        <v>194</v>
      </c>
      <c r="B213" s="506">
        <f t="shared" si="24"/>
        <v>153</v>
      </c>
      <c r="C213" s="664" t="e">
        <f t="shared" si="28"/>
        <v>#N/A</v>
      </c>
      <c r="D213" s="664" t="e">
        <f>IF(B213 &lt;= VLOOKUP(Main!$N$22,Coefficients!$E$2:$H$28,4,FALSE),E213,NA())</f>
        <v>#N/A</v>
      </c>
      <c r="E213" s="507">
        <f>'4th Order Polynomial TMP vs Res'!$B$41+'4th Order Polynomial TMP vs Res'!$C$41*POWER(B213,1)+'4th Order Polynomial TMP vs Res'!$D$41*POWER(B213,2)+'4th Order Polynomial TMP vs Res'!$E$41*POWER(B213,3)+'4th Order Polynomial TMP vs Res'!$F$41*POWER(B213,4)</f>
        <v>21013.743784561251</v>
      </c>
      <c r="F213" s="664" t="e">
        <f t="shared" si="29"/>
        <v>#N/A</v>
      </c>
      <c r="G213" s="436"/>
      <c r="H213" s="436"/>
      <c r="I213" s="436"/>
      <c r="J213" s="667">
        <f>'4th Order Polynomial TMP vs Res'!$I$41*E213^4 + '4th Order Polynomial TMP vs Res'!$J$41*E213^3 + '4th Order Polynomial TMP vs Res'!$K$41*E213^2 + '4th Order Polynomial TMP vs Res'!$L$41*E213 + '4th Order Polynomial TMP vs Res'!$M$41</f>
        <v>149.58775559359339</v>
      </c>
      <c r="K213" s="667" t="e">
        <f>IF((VLOOKUP(Main!$N$22,Coefficients!$E$2:$H$28,4,FALSE)) = 125, NA(), B213-J213)</f>
        <v>#N/A</v>
      </c>
      <c r="L213" s="436"/>
      <c r="M213" s="436"/>
      <c r="N213" s="436"/>
      <c r="O213" s="436"/>
      <c r="P213" s="436"/>
      <c r="Q213" s="436"/>
      <c r="R213" s="436"/>
      <c r="S213" s="436"/>
    </row>
    <row r="214" spans="1:19" s="222" customFormat="1" ht="15" x14ac:dyDescent="0.2">
      <c r="A214" s="505">
        <v>195</v>
      </c>
      <c r="B214" s="506">
        <f t="shared" ref="B214:B230" si="30">B213+1</f>
        <v>154</v>
      </c>
      <c r="C214" s="664" t="e">
        <f t="shared" si="28"/>
        <v>#N/A</v>
      </c>
      <c r="D214" s="664" t="e">
        <f>IF(B214 &lt;= VLOOKUP(Main!$N$22,Coefficients!$E$2:$H$28,4,FALSE),E214,NA())</f>
        <v>#N/A</v>
      </c>
      <c r="E214" s="507">
        <f>'4th Order Polynomial TMP vs Res'!$B$41+'4th Order Polynomial TMP vs Res'!$C$41*POWER(B214,1)+'4th Order Polynomial TMP vs Res'!$D$41*POWER(B214,2)+'4th Order Polynomial TMP vs Res'!$E$41*POWER(B214,3)+'4th Order Polynomial TMP vs Res'!$F$41*POWER(B214,4)</f>
        <v>21124.841064649103</v>
      </c>
      <c r="F214" s="664" t="e">
        <f t="shared" si="29"/>
        <v>#N/A</v>
      </c>
      <c r="G214" s="436"/>
      <c r="H214" s="436"/>
      <c r="I214" s="436"/>
      <c r="J214" s="667">
        <f>'4th Order Polynomial TMP vs Res'!$I$41*E214^4 + '4th Order Polynomial TMP vs Res'!$J$41*E214^3 + '4th Order Polynomial TMP vs Res'!$K$41*E214^2 + '4th Order Polynomial TMP vs Res'!$L$41*E214 + '4th Order Polynomial TMP vs Res'!$M$41</f>
        <v>150.32734397273288</v>
      </c>
      <c r="K214" s="667" t="e">
        <f>IF((VLOOKUP(Main!$N$22,Coefficients!$E$2:$H$28,4,FALSE)) = 125, NA(), B214-J214)</f>
        <v>#N/A</v>
      </c>
      <c r="L214" s="436"/>
      <c r="M214" s="436"/>
      <c r="N214" s="436"/>
      <c r="O214" s="436"/>
      <c r="P214" s="436"/>
      <c r="Q214" s="436"/>
      <c r="R214" s="436"/>
      <c r="S214" s="436"/>
    </row>
    <row r="215" spans="1:19" s="222" customFormat="1" ht="15" x14ac:dyDescent="0.2">
      <c r="A215" s="505">
        <v>196</v>
      </c>
      <c r="B215" s="506">
        <f t="shared" si="30"/>
        <v>155</v>
      </c>
      <c r="C215" s="664" t="e">
        <f t="shared" si="28"/>
        <v>#N/A</v>
      </c>
      <c r="D215" s="664" t="e">
        <f>IF(B215 &lt;= VLOOKUP(Main!$N$22,Coefficients!$E$2:$H$28,4,FALSE),E215,NA())</f>
        <v>#N/A</v>
      </c>
      <c r="E215" s="507">
        <f>'4th Order Polynomial TMP vs Res'!$B$41+'4th Order Polynomial TMP vs Res'!$C$41*POWER(B215,1)+'4th Order Polynomial TMP vs Res'!$D$41*POWER(B215,2)+'4th Order Polynomial TMP vs Res'!$E$41*POWER(B215,3)+'4th Order Polynomial TMP vs Res'!$F$41*POWER(B215,4)</f>
        <v>21236.392565842063</v>
      </c>
      <c r="F215" s="664" t="e">
        <f t="shared" si="29"/>
        <v>#N/A</v>
      </c>
      <c r="G215" s="436"/>
      <c r="H215" s="436"/>
      <c r="I215" s="436"/>
      <c r="J215" s="667">
        <f>'4th Order Polynomial TMP vs Res'!$I$41*E215^4 + '4th Order Polynomial TMP vs Res'!$J$41*E215^3 + '4th Order Polynomial TMP vs Res'!$K$41*E215^2 + '4th Order Polynomial TMP vs Res'!$L$41*E215 + '4th Order Polynomial TMP vs Res'!$M$41</f>
        <v>151.05201523607769</v>
      </c>
      <c r="K215" s="667" t="e">
        <f>IF((VLOOKUP(Main!$N$22,Coefficients!$E$2:$H$28,4,FALSE)) = 125, NA(), B215-J215)</f>
        <v>#N/A</v>
      </c>
      <c r="L215" s="436"/>
      <c r="M215" s="436"/>
      <c r="N215" s="436"/>
      <c r="O215" s="436"/>
      <c r="P215" s="436"/>
      <c r="Q215" s="436"/>
      <c r="R215" s="436"/>
      <c r="S215" s="436"/>
    </row>
    <row r="216" spans="1:19" s="222" customFormat="1" ht="15" x14ac:dyDescent="0.2">
      <c r="A216" s="505">
        <v>197</v>
      </c>
      <c r="B216" s="506">
        <f t="shared" si="30"/>
        <v>156</v>
      </c>
      <c r="C216" s="664" t="e">
        <f t="shared" si="28"/>
        <v>#N/A</v>
      </c>
      <c r="D216" s="664" t="e">
        <f>IF(B216 &lt;= VLOOKUP(Main!$N$22,Coefficients!$E$2:$H$28,4,FALSE),E216,NA())</f>
        <v>#N/A</v>
      </c>
      <c r="E216" s="507">
        <f>'4th Order Polynomial TMP vs Res'!$B$41+'4th Order Polynomial TMP vs Res'!$C$41*POWER(B216,1)+'4th Order Polynomial TMP vs Res'!$D$41*POWER(B216,2)+'4th Order Polynomial TMP vs Res'!$E$41*POWER(B216,3)+'4th Order Polynomial TMP vs Res'!$F$41*POWER(B216,4)</f>
        <v>21348.399926224596</v>
      </c>
      <c r="F216" s="664" t="e">
        <f t="shared" si="29"/>
        <v>#N/A</v>
      </c>
      <c r="G216" s="436"/>
      <c r="H216" s="436"/>
      <c r="I216" s="436"/>
      <c r="J216" s="667">
        <f>'4th Order Polynomial TMP vs Res'!$I$41*E216^4 + '4th Order Polynomial TMP vs Res'!$J$41*E216^3 + '4th Order Polynomial TMP vs Res'!$K$41*E216^2 + '4th Order Polynomial TMP vs Res'!$L$41*E216 + '4th Order Polynomial TMP vs Res'!$M$41</f>
        <v>151.76112696913236</v>
      </c>
      <c r="K216" s="667" t="e">
        <f>IF((VLOOKUP(Main!$N$22,Coefficients!$E$2:$H$28,4,FALSE)) = 125, NA(), B216-J216)</f>
        <v>#N/A</v>
      </c>
      <c r="L216" s="436"/>
      <c r="M216" s="436"/>
      <c r="N216" s="436"/>
      <c r="O216" s="436"/>
      <c r="P216" s="436"/>
      <c r="Q216" s="436"/>
      <c r="R216" s="436"/>
      <c r="S216" s="436"/>
    </row>
    <row r="217" spans="1:19" s="222" customFormat="1" ht="15" x14ac:dyDescent="0.2">
      <c r="A217" s="505">
        <v>198</v>
      </c>
      <c r="B217" s="506">
        <f t="shared" si="30"/>
        <v>157</v>
      </c>
      <c r="C217" s="664" t="e">
        <f t="shared" si="28"/>
        <v>#N/A</v>
      </c>
      <c r="D217" s="664" t="e">
        <f>IF(B217 &lt;= VLOOKUP(Main!$N$22,Coefficients!$E$2:$H$28,4,FALSE),E217,NA())</f>
        <v>#N/A</v>
      </c>
      <c r="E217" s="507">
        <f>'4th Order Polynomial TMP vs Res'!$B$41+'4th Order Polynomial TMP vs Res'!$C$41*POWER(B217,1)+'4th Order Polynomial TMP vs Res'!$D$41*POWER(B217,2)+'4th Order Polynomial TMP vs Res'!$E$41*POWER(B217,3)+'4th Order Polynomial TMP vs Res'!$F$41*POWER(B217,4)</f>
        <v>21460.864792624277</v>
      </c>
      <c r="F217" s="664" t="e">
        <f t="shared" si="29"/>
        <v>#N/A</v>
      </c>
      <c r="G217" s="436"/>
      <c r="H217" s="436"/>
      <c r="I217" s="436"/>
      <c r="J217" s="667">
        <f>'4th Order Polynomial TMP vs Res'!$I$41*E217^4 + '4th Order Polynomial TMP vs Res'!$J$41*E217^3 + '4th Order Polynomial TMP vs Res'!$K$41*E217^2 + '4th Order Polynomial TMP vs Res'!$L$41*E217 + '4th Order Polynomial TMP vs Res'!$M$41</f>
        <v>152.45401576050307</v>
      </c>
      <c r="K217" s="667" t="e">
        <f>IF((VLOOKUP(Main!$N$22,Coefficients!$E$2:$H$28,4,FALSE)) = 125, NA(), B217-J217)</f>
        <v>#N/A</v>
      </c>
      <c r="L217" s="436"/>
      <c r="M217" s="436"/>
      <c r="N217" s="436"/>
      <c r="O217" s="436"/>
      <c r="P217" s="436"/>
      <c r="Q217" s="436"/>
      <c r="R217" s="436"/>
      <c r="S217" s="436"/>
    </row>
    <row r="218" spans="1:19" s="222" customFormat="1" ht="15" x14ac:dyDescent="0.2">
      <c r="A218" s="505">
        <v>199</v>
      </c>
      <c r="B218" s="506">
        <f t="shared" si="30"/>
        <v>158</v>
      </c>
      <c r="C218" s="664" t="e">
        <f t="shared" si="28"/>
        <v>#N/A</v>
      </c>
      <c r="D218" s="664" t="e">
        <f>IF(B218 &lt;= VLOOKUP(Main!$N$22,Coefficients!$E$2:$H$28,4,FALSE),E218,NA())</f>
        <v>#N/A</v>
      </c>
      <c r="E218" s="507">
        <f>'4th Order Polynomial TMP vs Res'!$B$41+'4th Order Polynomial TMP vs Res'!$C$41*POWER(B218,1)+'4th Order Polynomial TMP vs Res'!$D$41*POWER(B218,2)+'4th Order Polynomial TMP vs Res'!$E$41*POWER(B218,3)+'4th Order Polynomial TMP vs Res'!$F$41*POWER(B218,4)</f>
        <v>21573.788820611771</v>
      </c>
      <c r="F218" s="664" t="e">
        <f t="shared" si="29"/>
        <v>#N/A</v>
      </c>
      <c r="G218" s="436"/>
      <c r="H218" s="436"/>
      <c r="I218" s="436"/>
      <c r="J218" s="667">
        <f>'4th Order Polynomial TMP vs Res'!$I$41*E218^4 + '4th Order Polynomial TMP vs Res'!$J$41*E218^3 + '4th Order Polynomial TMP vs Res'!$K$41*E218^2 + '4th Order Polynomial TMP vs Res'!$L$41*E218 + '4th Order Polynomial TMP vs Res'!$M$41</f>
        <v>153.12999666421211</v>
      </c>
      <c r="K218" s="667" t="e">
        <f>IF((VLOOKUP(Main!$N$22,Coefficients!$E$2:$H$28,4,FALSE)) = 125, NA(), B218-J218)</f>
        <v>#N/A</v>
      </c>
      <c r="L218" s="436"/>
      <c r="M218" s="436"/>
      <c r="N218" s="436"/>
      <c r="O218" s="436"/>
      <c r="P218" s="436"/>
      <c r="Q218" s="436"/>
      <c r="R218" s="436"/>
      <c r="S218" s="436"/>
    </row>
    <row r="219" spans="1:19" s="222" customFormat="1" ht="15" x14ac:dyDescent="0.2">
      <c r="A219" s="505">
        <v>200</v>
      </c>
      <c r="B219" s="506">
        <f t="shared" si="30"/>
        <v>159</v>
      </c>
      <c r="C219" s="664" t="e">
        <f t="shared" si="28"/>
        <v>#N/A</v>
      </c>
      <c r="D219" s="664" t="e">
        <f>IF(B219 &lt;= VLOOKUP(Main!$N$22,Coefficients!$E$2:$H$28,4,FALSE),E219,NA())</f>
        <v>#N/A</v>
      </c>
      <c r="E219" s="507">
        <f>'4th Order Polynomial TMP vs Res'!$B$41+'4th Order Polynomial TMP vs Res'!$C$41*POWER(B219,1)+'4th Order Polynomial TMP vs Res'!$D$41*POWER(B219,2)+'4th Order Polynomial TMP vs Res'!$E$41*POWER(B219,3)+'4th Order Polynomial TMP vs Res'!$F$41*POWER(B219,4)</f>
        <v>21687.173674500824</v>
      </c>
      <c r="F219" s="664" t="e">
        <f t="shared" si="29"/>
        <v>#N/A</v>
      </c>
      <c r="G219" s="436"/>
      <c r="H219" s="436"/>
      <c r="I219" s="436"/>
      <c r="J219" s="667">
        <f>'4th Order Polynomial TMP vs Res'!$I$41*E219^4 + '4th Order Polynomial TMP vs Res'!$J$41*E219^3 + '4th Order Polynomial TMP vs Res'!$K$41*E219^2 + '4th Order Polynomial TMP vs Res'!$L$41*E219 + '4th Order Polynomial TMP vs Res'!$M$41</f>
        <v>153.78836265043702</v>
      </c>
      <c r="K219" s="667" t="e">
        <f>IF((VLOOKUP(Main!$N$22,Coefficients!$E$2:$H$28,4,FALSE)) = 125, NA(), B219-J219)</f>
        <v>#N/A</v>
      </c>
      <c r="L219" s="436"/>
      <c r="M219" s="436"/>
      <c r="N219" s="436"/>
      <c r="O219" s="436"/>
      <c r="P219" s="436"/>
      <c r="Q219" s="436"/>
      <c r="R219" s="436"/>
      <c r="S219" s="436"/>
    </row>
    <row r="220" spans="1:19" s="222" customFormat="1" ht="15" x14ac:dyDescent="0.2">
      <c r="A220" s="505">
        <v>201</v>
      </c>
      <c r="B220" s="506">
        <f t="shared" si="30"/>
        <v>160</v>
      </c>
      <c r="C220" s="664" t="e">
        <f t="shared" si="28"/>
        <v>#N/A</v>
      </c>
      <c r="D220" s="664" t="e">
        <f>IF(B220 &lt;= VLOOKUP(Main!$N$22,Coefficients!$E$2:$H$28,4,FALSE),E220,NA())</f>
        <v>#N/A</v>
      </c>
      <c r="E220" s="507">
        <f>'4th Order Polynomial TMP vs Res'!$B$41+'4th Order Polynomial TMP vs Res'!$C$41*POWER(B220,1)+'4th Order Polynomial TMP vs Res'!$D$41*POWER(B220,2)+'4th Order Polynomial TMP vs Res'!$E$41*POWER(B220,3)+'4th Order Polynomial TMP vs Res'!$F$41*POWER(B220,4)</f>
        <v>21801.021027348292</v>
      </c>
      <c r="F220" s="664" t="e">
        <f t="shared" si="29"/>
        <v>#N/A</v>
      </c>
      <c r="G220" s="436"/>
      <c r="H220" s="436"/>
      <c r="I220" s="436"/>
      <c r="J220" s="667">
        <f>'4th Order Polynomial TMP vs Res'!$I$41*E220^4 + '4th Order Polynomial TMP vs Res'!$J$41*E220^3 + '4th Order Polynomial TMP vs Res'!$K$41*E220^2 + '4th Order Polynomial TMP vs Res'!$L$41*E220 + '4th Order Polynomial TMP vs Res'!$M$41</f>
        <v>154.42838404444166</v>
      </c>
      <c r="K220" s="667" t="e">
        <f>IF((VLOOKUP(Main!$N$22,Coefficients!$E$2:$H$28,4,FALSE)) = 125, NA(), B220-J220)</f>
        <v>#N/A</v>
      </c>
      <c r="L220" s="436"/>
      <c r="M220" s="436"/>
      <c r="N220" s="436"/>
      <c r="O220" s="436"/>
      <c r="P220" s="436"/>
      <c r="Q220" s="436"/>
      <c r="R220" s="436"/>
      <c r="S220" s="436"/>
    </row>
    <row r="221" spans="1:19" s="222" customFormat="1" ht="15" x14ac:dyDescent="0.2">
      <c r="A221" s="505">
        <v>202</v>
      </c>
      <c r="B221" s="506">
        <f t="shared" si="30"/>
        <v>161</v>
      </c>
      <c r="C221" s="664" t="e">
        <f t="shared" si="28"/>
        <v>#N/A</v>
      </c>
      <c r="D221" s="664" t="e">
        <f>IF(B221 &lt;= VLOOKUP(Main!$N$22,Coefficients!$E$2:$H$28,4,FALSE),E221,NA())</f>
        <v>#N/A</v>
      </c>
      <c r="E221" s="507">
        <f>'4th Order Polynomial TMP vs Res'!$B$41+'4th Order Polynomial TMP vs Res'!$C$41*POWER(B221,1)+'4th Order Polynomial TMP vs Res'!$D$41*POWER(B221,2)+'4th Order Polynomial TMP vs Res'!$E$41*POWER(B221,3)+'4th Order Polynomial TMP vs Res'!$F$41*POWER(B221,4)</f>
        <v>21915.332560954113</v>
      </c>
      <c r="F221" s="664" t="e">
        <f t="shared" si="29"/>
        <v>#N/A</v>
      </c>
      <c r="G221" s="436"/>
      <c r="H221" s="436"/>
      <c r="I221" s="436"/>
      <c r="J221" s="667">
        <f>'4th Order Polynomial TMP vs Res'!$I$41*E221^4 + '4th Order Polynomial TMP vs Res'!$J$41*E221^3 + '4th Order Polynomial TMP vs Res'!$K$41*E221^2 + '4th Order Polynomial TMP vs Res'!$L$41*E221 + '4th Order Polynomial TMP vs Res'!$M$41</f>
        <v>155.04930795346939</v>
      </c>
      <c r="K221" s="667" t="e">
        <f>IF((VLOOKUP(Main!$N$22,Coefficients!$E$2:$H$28,4,FALSE)) = 125, NA(), B221-J221)</f>
        <v>#N/A</v>
      </c>
      <c r="L221" s="436"/>
      <c r="M221" s="436"/>
      <c r="N221" s="436"/>
      <c r="O221" s="436"/>
      <c r="P221" s="436"/>
      <c r="Q221" s="436"/>
      <c r="R221" s="436"/>
      <c r="S221" s="436"/>
    </row>
    <row r="222" spans="1:19" s="222" customFormat="1" ht="15" x14ac:dyDescent="0.2">
      <c r="A222" s="505">
        <v>203</v>
      </c>
      <c r="B222" s="506">
        <f t="shared" si="30"/>
        <v>162</v>
      </c>
      <c r="C222" s="664" t="e">
        <f t="shared" si="28"/>
        <v>#N/A</v>
      </c>
      <c r="D222" s="664" t="e">
        <f>IF(B222 &lt;= VLOOKUP(Main!$N$22,Coefficients!$E$2:$H$28,4,FALSE),E222,NA())</f>
        <v>#N/A</v>
      </c>
      <c r="E222" s="507">
        <f>'4th Order Polynomial TMP vs Res'!$B$41+'4th Order Polynomial TMP vs Res'!$C$41*POWER(B222,1)+'4th Order Polynomial TMP vs Res'!$D$41*POWER(B222,2)+'4th Order Polynomial TMP vs Res'!$E$41*POWER(B222,3)+'4th Order Polynomial TMP vs Res'!$F$41*POWER(B222,4)</f>
        <v>22030.10996586132</v>
      </c>
      <c r="F222" s="664" t="e">
        <f t="shared" si="29"/>
        <v>#N/A</v>
      </c>
      <c r="G222" s="436"/>
      <c r="H222" s="436"/>
      <c r="I222" s="436"/>
      <c r="J222" s="667">
        <f>'4th Order Polynomial TMP vs Res'!$I$41*E222^4 + '4th Order Polynomial TMP vs Res'!$J$41*E222^3 + '4th Order Polynomial TMP vs Res'!$K$41*E222^2 + '4th Order Polynomial TMP vs Res'!$L$41*E222 + '4th Order Polynomial TMP vs Res'!$M$41</f>
        <v>155.65035768136858</v>
      </c>
      <c r="K222" s="667" t="e">
        <f>IF((VLOOKUP(Main!$N$22,Coefficients!$E$2:$H$28,4,FALSE)) = 125, NA(), B222-J222)</f>
        <v>#N/A</v>
      </c>
      <c r="L222" s="436"/>
      <c r="M222" s="436"/>
      <c r="N222" s="436"/>
      <c r="O222" s="436"/>
      <c r="P222" s="436"/>
      <c r="Q222" s="436"/>
      <c r="R222" s="436"/>
      <c r="S222" s="436"/>
    </row>
    <row r="223" spans="1:19" s="222" customFormat="1" ht="15" x14ac:dyDescent="0.2">
      <c r="A223" s="505">
        <v>204</v>
      </c>
      <c r="B223" s="506">
        <f t="shared" si="30"/>
        <v>163</v>
      </c>
      <c r="C223" s="664" t="e">
        <f t="shared" si="28"/>
        <v>#N/A</v>
      </c>
      <c r="D223" s="664" t="e">
        <f>IF(B223 &lt;= VLOOKUP(Main!$N$22,Coefficients!$E$2:$H$28,4,FALSE),E223,NA())</f>
        <v>#N/A</v>
      </c>
      <c r="E223" s="507">
        <f>'4th Order Polynomial TMP vs Res'!$B$41+'4th Order Polynomial TMP vs Res'!$C$41*POWER(B223,1)+'4th Order Polynomial TMP vs Res'!$D$41*POWER(B223,2)+'4th Order Polynomial TMP vs Res'!$E$41*POWER(B223,3)+'4th Order Polynomial TMP vs Res'!$F$41*POWER(B223,4)</f>
        <v>22145.354941356032</v>
      </c>
      <c r="F223" s="664" t="e">
        <f t="shared" si="29"/>
        <v>#N/A</v>
      </c>
      <c r="G223" s="436"/>
      <c r="H223" s="436"/>
      <c r="I223" s="436"/>
      <c r="J223" s="667">
        <f>'4th Order Polynomial TMP vs Res'!$I$41*E223^4 + '4th Order Polynomial TMP vs Res'!$J$41*E223^3 + '4th Order Polynomial TMP vs Res'!$K$41*E223^2 + '4th Order Polynomial TMP vs Res'!$L$41*E223 + '4th Order Polynomial TMP vs Res'!$M$41</f>
        <v>156.2307321307058</v>
      </c>
      <c r="K223" s="667" t="e">
        <f>IF((VLOOKUP(Main!$N$22,Coefficients!$E$2:$H$28,4,FALSE)) = 125, NA(), B223-J223)</f>
        <v>#N/A</v>
      </c>
      <c r="L223" s="436"/>
      <c r="M223" s="436"/>
      <c r="N223" s="436"/>
      <c r="O223" s="436"/>
      <c r="P223" s="436"/>
      <c r="Q223" s="436"/>
      <c r="R223" s="436"/>
      <c r="S223" s="436"/>
    </row>
    <row r="224" spans="1:19" s="222" customFormat="1" ht="15" x14ac:dyDescent="0.2">
      <c r="A224" s="505">
        <v>205</v>
      </c>
      <c r="B224" s="506">
        <f t="shared" si="30"/>
        <v>164</v>
      </c>
      <c r="C224" s="664" t="e">
        <f t="shared" si="28"/>
        <v>#N/A</v>
      </c>
      <c r="D224" s="664" t="e">
        <f>IF(B224 &lt;= VLOOKUP(Main!$N$22,Coefficients!$E$2:$H$28,4,FALSE),E224,NA())</f>
        <v>#N/A</v>
      </c>
      <c r="E224" s="507">
        <f>'4th Order Polynomial TMP vs Res'!$B$41+'4th Order Polynomial TMP vs Res'!$C$41*POWER(B224,1)+'4th Order Polynomial TMP vs Res'!$D$41*POWER(B224,2)+'4th Order Polynomial TMP vs Res'!$E$41*POWER(B224,3)+'4th Order Polynomial TMP vs Res'!$F$41*POWER(B224,4)</f>
        <v>22261.069195467469</v>
      </c>
      <c r="F224" s="664" t="e">
        <f t="shared" si="29"/>
        <v>#N/A</v>
      </c>
      <c r="G224" s="436"/>
      <c r="H224" s="436"/>
      <c r="I224" s="436"/>
      <c r="J224" s="667">
        <f>'4th Order Polynomial TMP vs Res'!$I$41*E224^4 + '4th Order Polynomial TMP vs Res'!$J$41*E224^3 + '4th Order Polynomial TMP vs Res'!$K$41*E224^2 + '4th Order Polynomial TMP vs Res'!$L$41*E224 + '4th Order Polynomial TMP vs Res'!$M$41</f>
        <v>156.78960519212518</v>
      </c>
      <c r="K224" s="667" t="e">
        <f>IF((VLOOKUP(Main!$N$22,Coefficients!$E$2:$H$28,4,FALSE)) = 125, NA(), B224-J224)</f>
        <v>#N/A</v>
      </c>
      <c r="L224" s="436"/>
      <c r="M224" s="436"/>
      <c r="N224" s="436"/>
      <c r="O224" s="436"/>
      <c r="P224" s="436"/>
      <c r="Q224" s="436"/>
      <c r="R224" s="436"/>
      <c r="S224" s="436"/>
    </row>
    <row r="225" spans="1:19" s="145" customFormat="1" ht="15" x14ac:dyDescent="0.2">
      <c r="A225" s="505">
        <v>206</v>
      </c>
      <c r="B225" s="506">
        <f t="shared" si="30"/>
        <v>165</v>
      </c>
      <c r="C225" s="664" t="e">
        <f t="shared" si="28"/>
        <v>#N/A</v>
      </c>
      <c r="D225" s="664" t="e">
        <f>IF(B225 &lt;= VLOOKUP(Main!$N$22,Coefficients!$E$2:$H$28,4,FALSE),E225,NA())</f>
        <v>#N/A</v>
      </c>
      <c r="E225" s="507">
        <f>'4th Order Polynomial TMP vs Res'!$B$41+'4th Order Polynomial TMP vs Res'!$C$41*POWER(B225,1)+'4th Order Polynomial TMP vs Res'!$D$41*POWER(B225,2)+'4th Order Polynomial TMP vs Res'!$E$41*POWER(B225,3)+'4th Order Polynomial TMP vs Res'!$F$41*POWER(B225,4)</f>
        <v>22377.254444967937</v>
      </c>
      <c r="F225" s="664" t="e">
        <f t="shared" si="29"/>
        <v>#N/A</v>
      </c>
      <c r="G225" s="436"/>
      <c r="H225" s="436"/>
      <c r="I225" s="436"/>
      <c r="J225" s="667">
        <f>'4th Order Polynomial TMP vs Res'!$I$41*E225^4 + '4th Order Polynomial TMP vs Res'!$J$41*E225^3 + '4th Order Polynomial TMP vs Res'!$K$41*E225^2 + '4th Order Polynomial TMP vs Res'!$L$41*E225 + '4th Order Polynomial TMP vs Res'!$M$41</f>
        <v>157.32612512070892</v>
      </c>
      <c r="K225" s="667" t="e">
        <f>IF((VLOOKUP(Main!$N$22,Coefficients!$E$2:$H$28,4,FALSE)) = 125, NA(), B225-J225)</f>
        <v>#N/A</v>
      </c>
      <c r="L225" s="436"/>
      <c r="M225" s="436"/>
      <c r="N225" s="436"/>
      <c r="O225" s="436"/>
      <c r="P225" s="436"/>
      <c r="Q225" s="436"/>
      <c r="R225" s="436"/>
      <c r="S225" s="436"/>
    </row>
    <row r="226" spans="1:19" s="145" customFormat="1" ht="15" x14ac:dyDescent="0.2">
      <c r="A226" s="505">
        <v>207</v>
      </c>
      <c r="B226" s="506">
        <f t="shared" si="30"/>
        <v>166</v>
      </c>
      <c r="C226" s="664" t="e">
        <f t="shared" si="28"/>
        <v>#N/A</v>
      </c>
      <c r="D226" s="664" t="e">
        <f>IF(B226 &lt;= VLOOKUP(Main!$N$22,Coefficients!$E$2:$H$28,4,FALSE),E226,NA())</f>
        <v>#N/A</v>
      </c>
      <c r="E226" s="507">
        <f>'4th Order Polynomial TMP vs Res'!$B$41+'4th Order Polynomial TMP vs Res'!$C$41*POWER(B226,1)+'4th Order Polynomial TMP vs Res'!$D$41*POWER(B226,2)+'4th Order Polynomial TMP vs Res'!$E$41*POWER(B226,3)+'4th Order Polynomial TMP vs Res'!$F$41*POWER(B226,4)</f>
        <v>22493.912415372841</v>
      </c>
      <c r="F226" s="664" t="e">
        <f t="shared" si="29"/>
        <v>#N/A</v>
      </c>
      <c r="G226" s="436"/>
      <c r="H226" s="436"/>
      <c r="I226" s="436"/>
      <c r="J226" s="667">
        <f>'4th Order Polynomial TMP vs Res'!$I$41*E226^4 + '4th Order Polynomial TMP vs Res'!$J$41*E226^3 + '4th Order Polynomial TMP vs Res'!$K$41*E226^2 + '4th Order Polynomial TMP vs Res'!$L$41*E226 + '4th Order Polynomial TMP vs Res'!$M$41</f>
        <v>157.83941389908074</v>
      </c>
      <c r="K226" s="667" t="e">
        <f>IF((VLOOKUP(Main!$N$22,Coefficients!$E$2:$H$28,4,FALSE)) = 125, NA(), B226-J226)</f>
        <v>#N/A</v>
      </c>
      <c r="L226" s="436"/>
      <c r="M226" s="436"/>
      <c r="N226" s="436"/>
      <c r="O226" s="436"/>
      <c r="P226" s="436"/>
      <c r="Q226" s="436"/>
      <c r="R226" s="436"/>
      <c r="S226" s="436"/>
    </row>
    <row r="227" spans="1:19" s="145" customFormat="1" ht="15" x14ac:dyDescent="0.2">
      <c r="A227" s="505">
        <v>208</v>
      </c>
      <c r="B227" s="506">
        <f t="shared" si="30"/>
        <v>167</v>
      </c>
      <c r="C227" s="664" t="e">
        <f t="shared" si="28"/>
        <v>#N/A</v>
      </c>
      <c r="D227" s="664" t="e">
        <f>IF(B227 &lt;= VLOOKUP(Main!$N$22,Coefficients!$E$2:$H$28,4,FALSE),E227,NA())</f>
        <v>#N/A</v>
      </c>
      <c r="E227" s="507">
        <f>'4th Order Polynomial TMP vs Res'!$B$41+'4th Order Polynomial TMP vs Res'!$C$41*POWER(B227,1)+'4th Order Polynomial TMP vs Res'!$D$41*POWER(B227,2)+'4th Order Polynomial TMP vs Res'!$E$41*POWER(B227,3)+'4th Order Polynomial TMP vs Res'!$F$41*POWER(B227,4)</f>
        <v>22611.044840940674</v>
      </c>
      <c r="F227" s="664" t="e">
        <f t="shared" si="29"/>
        <v>#N/A</v>
      </c>
      <c r="G227" s="436"/>
      <c r="H227" s="436"/>
      <c r="I227" s="436"/>
      <c r="J227" s="667">
        <f>'4th Order Polynomial TMP vs Res'!$I$41*E227^4 + '4th Order Polynomial TMP vs Res'!$J$41*E227^3 + '4th Order Polynomial TMP vs Res'!$K$41*E227^2 + '4th Order Polynomial TMP vs Res'!$L$41*E227 + '4th Order Polynomial TMP vs Res'!$M$41</f>
        <v>158.3285665870057</v>
      </c>
      <c r="K227" s="667" t="e">
        <f>IF((VLOOKUP(Main!$N$22,Coefficients!$E$2:$H$28,4,FALSE)) = 125, NA(), B227-J227)</f>
        <v>#N/A</v>
      </c>
      <c r="L227" s="436"/>
      <c r="M227" s="436"/>
      <c r="N227" s="436"/>
      <c r="O227" s="436"/>
      <c r="P227" s="436"/>
      <c r="Q227" s="436"/>
      <c r="R227" s="436"/>
      <c r="S227" s="436"/>
    </row>
    <row r="228" spans="1:19" s="145" customFormat="1" ht="15" x14ac:dyDescent="0.2">
      <c r="A228" s="505">
        <v>209</v>
      </c>
      <c r="B228" s="506">
        <f t="shared" si="30"/>
        <v>168</v>
      </c>
      <c r="C228" s="664" t="e">
        <f t="shared" si="28"/>
        <v>#N/A</v>
      </c>
      <c r="D228" s="664" t="e">
        <f>IF(B228 &lt;= VLOOKUP(Main!$N$22,Coefficients!$E$2:$H$28,4,FALSE),E228,NA())</f>
        <v>#N/A</v>
      </c>
      <c r="E228" s="507">
        <f>'4th Order Polynomial TMP vs Res'!$B$41+'4th Order Polynomial TMP vs Res'!$C$41*POWER(B228,1)+'4th Order Polynomial TMP vs Res'!$D$41*POWER(B228,2)+'4th Order Polynomial TMP vs Res'!$E$41*POWER(B228,3)+'4th Order Polynomial TMP vs Res'!$F$41*POWER(B228,4)</f>
        <v>22728.653464673022</v>
      </c>
      <c r="F228" s="664" t="e">
        <f t="shared" si="29"/>
        <v>#N/A</v>
      </c>
      <c r="G228" s="436"/>
      <c r="H228" s="436"/>
      <c r="I228" s="436"/>
      <c r="J228" s="667">
        <f>'4th Order Polynomial TMP vs Res'!$I$41*E228^4 + '4th Order Polynomial TMP vs Res'!$J$41*E228^3 + '4th Order Polynomial TMP vs Res'!$K$41*E228^2 + '4th Order Polynomial TMP vs Res'!$L$41*E228 + '4th Order Polynomial TMP vs Res'!$M$41</f>
        <v>158.79265065721273</v>
      </c>
      <c r="K228" s="667" t="e">
        <f>IF((VLOOKUP(Main!$N$22,Coefficients!$E$2:$H$28,4,FALSE)) = 125, NA(), B228-J228)</f>
        <v>#N/A</v>
      </c>
      <c r="L228" s="436"/>
      <c r="M228" s="436"/>
      <c r="N228" s="436"/>
      <c r="O228" s="436"/>
      <c r="P228" s="436"/>
      <c r="Q228" s="436"/>
      <c r="R228" s="436"/>
      <c r="S228" s="436"/>
    </row>
    <row r="229" spans="1:19" s="222" customFormat="1" ht="15" x14ac:dyDescent="0.2">
      <c r="A229" s="505">
        <v>210</v>
      </c>
      <c r="B229" s="506">
        <f t="shared" si="30"/>
        <v>169</v>
      </c>
      <c r="C229" s="664" t="e">
        <f t="shared" si="28"/>
        <v>#N/A</v>
      </c>
      <c r="D229" s="664" t="e">
        <f>IF(B229 &lt;= VLOOKUP(Main!$N$22,Coefficients!$E$2:$H$28,4,FALSE),E229,NA())</f>
        <v>#N/A</v>
      </c>
      <c r="E229" s="507">
        <f>'4th Order Polynomial TMP vs Res'!$B$41+'4th Order Polynomial TMP vs Res'!$C$41*POWER(B229,1)+'4th Order Polynomial TMP vs Res'!$D$41*POWER(B229,2)+'4th Order Polynomial TMP vs Res'!$E$41*POWER(B229,3)+'4th Order Polynomial TMP vs Res'!$F$41*POWER(B229,4)</f>
        <v>22846.740038314565</v>
      </c>
      <c r="F229" s="664" t="e">
        <f t="shared" si="29"/>
        <v>#N/A</v>
      </c>
      <c r="G229" s="436"/>
      <c r="H229" s="436"/>
      <c r="I229" s="436"/>
      <c r="J229" s="667">
        <f>'4th Order Polynomial TMP vs Res'!$I$41*E229^4 + '4th Order Polynomial TMP vs Res'!$J$41*E229^3 + '4th Order Polynomial TMP vs Res'!$K$41*E229^2 + '4th Order Polynomial TMP vs Res'!$L$41*E229 + '4th Order Polynomial TMP vs Res'!$M$41</f>
        <v>159.23070531718537</v>
      </c>
      <c r="K229" s="667" t="e">
        <f>IF((VLOOKUP(Main!$N$22,Coefficients!$E$2:$H$28,4,FALSE)) = 125, NA(), B229-J229)</f>
        <v>#N/A</v>
      </c>
      <c r="L229" s="436"/>
      <c r="M229" s="436"/>
      <c r="N229" s="436"/>
      <c r="O229" s="436"/>
      <c r="P229" s="436"/>
      <c r="Q229" s="436"/>
      <c r="R229" s="436"/>
      <c r="S229" s="436"/>
    </row>
    <row r="230" spans="1:19" s="222" customFormat="1" ht="15" x14ac:dyDescent="0.2">
      <c r="A230" s="505">
        <v>211</v>
      </c>
      <c r="B230" s="506">
        <f t="shared" si="30"/>
        <v>170</v>
      </c>
      <c r="C230" s="664" t="e">
        <f t="shared" si="28"/>
        <v>#N/A</v>
      </c>
      <c r="D230" s="664" t="e">
        <f>IF(B230 &lt;= VLOOKUP(Main!$N$22,Coefficients!$E$2:$H$28,4,FALSE),E230,NA())</f>
        <v>#N/A</v>
      </c>
      <c r="E230" s="507">
        <f>'4th Order Polynomial TMP vs Res'!$B$41+'4th Order Polynomial TMP vs Res'!$C$41*POWER(B230,1)+'4th Order Polynomial TMP vs Res'!$D$41*POWER(B230,2)+'4th Order Polynomial TMP vs Res'!$E$41*POWER(B230,3)+'4th Order Polynomial TMP vs Res'!$F$41*POWER(B230,4)</f>
        <v>22965.306322353063</v>
      </c>
      <c r="F230" s="664" t="e">
        <f t="shared" si="29"/>
        <v>#N/A</v>
      </c>
      <c r="G230" s="436"/>
      <c r="H230" s="436"/>
      <c r="I230" s="436"/>
      <c r="J230" s="667">
        <f>'4th Order Polynomial TMP vs Res'!$I$41*E230^4 + '4th Order Polynomial TMP vs Res'!$J$41*E230^3 + '4th Order Polynomial TMP vs Res'!$K$41*E230^2 + '4th Order Polynomial TMP vs Res'!$L$41*E230 + '4th Order Polynomial TMP vs Res'!$M$41</f>
        <v>159.64174081664288</v>
      </c>
      <c r="K230" s="667" t="e">
        <f>IF((VLOOKUP(Main!$N$22,Coefficients!$E$2:$H$28,4,FALSE)) = 125, NA(), B230-J230)</f>
        <v>#N/A</v>
      </c>
      <c r="L230" s="436"/>
      <c r="M230" s="436"/>
      <c r="N230" s="436"/>
      <c r="O230" s="436"/>
      <c r="P230" s="436"/>
      <c r="Q230" s="436"/>
      <c r="R230" s="436"/>
      <c r="S230" s="436"/>
    </row>
    <row r="231" spans="1:19" s="222" customFormat="1" ht="15" x14ac:dyDescent="0.2">
      <c r="A231" s="509"/>
      <c r="B231" s="510"/>
      <c r="C231" s="670"/>
      <c r="D231" s="670"/>
      <c r="E231" s="511"/>
      <c r="F231" s="670"/>
      <c r="G231" s="436"/>
      <c r="H231" s="436"/>
      <c r="I231" s="436"/>
      <c r="J231" s="667">
        <f>'4th Order Polynomial TMP vs Res'!$I$41*E231^4 + '4th Order Polynomial TMP vs Res'!$J$41*E231^3 + '4th Order Polynomial TMP vs Res'!$K$41*E231^2 + '4th Order Polynomial TMP vs Res'!$L$41*E231 + '4th Order Polynomial TMP vs Res'!$M$41</f>
        <v>-272.02521353708556</v>
      </c>
      <c r="K231" s="667" t="e">
        <f>IF((VLOOKUP(Main!$N$22,Coefficients!$E$2:$H$28,4,FALSE)) = 125, NA(), B231-J231)</f>
        <v>#N/A</v>
      </c>
      <c r="L231" s="436"/>
      <c r="M231" s="436"/>
      <c r="N231" s="436"/>
      <c r="O231" s="436"/>
      <c r="P231" s="436"/>
      <c r="Q231" s="436"/>
      <c r="R231" s="436"/>
      <c r="S231" s="436"/>
    </row>
    <row r="232" spans="1:19" s="222" customFormat="1" ht="15" x14ac:dyDescent="0.2">
      <c r="A232" s="512"/>
      <c r="B232" s="467"/>
      <c r="C232" s="666"/>
      <c r="D232" s="666"/>
      <c r="E232" s="513"/>
      <c r="F232" s="666"/>
      <c r="G232" s="436"/>
      <c r="H232" s="436"/>
      <c r="I232" s="436"/>
      <c r="J232" s="667">
        <f>'4th Order Polynomial TMP vs Res'!$I$41*E232^4 + '4th Order Polynomial TMP vs Res'!$J$41*E232^3 + '4th Order Polynomial TMP vs Res'!$K$41*E232^2 + '4th Order Polynomial TMP vs Res'!$L$41*E232 + '4th Order Polynomial TMP vs Res'!$M$41</f>
        <v>-272.02521353708556</v>
      </c>
      <c r="K232" s="667" t="e">
        <f>IF((VLOOKUP(Main!$N$22,Coefficients!$E$2:$H$28,4,FALSE)) = 125, NA(), B232-J232)</f>
        <v>#N/A</v>
      </c>
      <c r="L232" s="436"/>
      <c r="M232" s="436"/>
      <c r="N232" s="436"/>
      <c r="O232" s="436"/>
      <c r="P232" s="436"/>
      <c r="Q232" s="436"/>
      <c r="R232" s="436"/>
      <c r="S232" s="436"/>
    </row>
    <row r="233" spans="1:19" s="222" customFormat="1" ht="15" x14ac:dyDescent="0.2">
      <c r="A233" s="512"/>
      <c r="B233" s="467"/>
      <c r="C233" s="666"/>
      <c r="D233" s="666"/>
      <c r="E233" s="513"/>
      <c r="F233" s="666"/>
      <c r="G233" s="436"/>
      <c r="H233" s="436"/>
      <c r="I233" s="436"/>
      <c r="J233" s="667">
        <f>'4th Order Polynomial TMP vs Res'!$I$41*E233^4 + '4th Order Polynomial TMP vs Res'!$J$41*E233^3 + '4th Order Polynomial TMP vs Res'!$K$41*E233^2 + '4th Order Polynomial TMP vs Res'!$L$41*E233 + '4th Order Polynomial TMP vs Res'!$M$41</f>
        <v>-272.02521353708556</v>
      </c>
      <c r="K233" s="667" t="e">
        <f>IF((VLOOKUP(Main!$N$22,Coefficients!$E$2:$H$28,4,FALSE)) = 125, NA(), B233-J233)</f>
        <v>#N/A</v>
      </c>
      <c r="L233" s="436"/>
      <c r="M233" s="436"/>
      <c r="N233" s="436"/>
      <c r="O233" s="436"/>
      <c r="P233" s="436"/>
      <c r="Q233" s="436"/>
      <c r="R233" s="436"/>
      <c r="S233" s="436"/>
    </row>
    <row r="234" spans="1:19" s="222" customFormat="1" x14ac:dyDescent="0.2">
      <c r="A234" s="424"/>
      <c r="B234" s="18"/>
      <c r="C234" s="280"/>
      <c r="D234" s="280"/>
      <c r="E234" s="179"/>
      <c r="F234" s="280"/>
      <c r="J234" s="52">
        <f>'4th Order Polynomial TMP vs Res'!$I$41*E234^4 + '4th Order Polynomial TMP vs Res'!$J$41*E234^3 + '4th Order Polynomial TMP vs Res'!$K$41*E234^2 + '4th Order Polynomial TMP vs Res'!$L$41*E234 + '4th Order Polynomial TMP vs Res'!$M$41</f>
        <v>-272.02521353708556</v>
      </c>
      <c r="K234" s="52" t="e">
        <f>IF((VLOOKUP(Main!$N$22,Coefficients!$E$2:$H$28,4,FALSE)) = 125, NA(), B234-J234)</f>
        <v>#N/A</v>
      </c>
    </row>
    <row r="235" spans="1:19" s="222" customFormat="1" x14ac:dyDescent="0.2">
      <c r="A235" s="424"/>
      <c r="B235" s="18"/>
      <c r="C235" s="280"/>
      <c r="D235" s="280"/>
      <c r="E235" s="179"/>
      <c r="F235" s="280"/>
      <c r="J235" s="52">
        <f>'4th Order Polynomial TMP vs Res'!$I$41*E235^4 + '4th Order Polynomial TMP vs Res'!$J$41*E235^3 + '4th Order Polynomial TMP vs Res'!$K$41*E235^2 + '4th Order Polynomial TMP vs Res'!$L$41*E235 + '4th Order Polynomial TMP vs Res'!$M$41</f>
        <v>-272.02521353708556</v>
      </c>
      <c r="K235" s="52" t="e">
        <f>IF((VLOOKUP(Main!$N$22,Coefficients!$E$2:$H$28,4,FALSE)) = 125, NA(), B235-J235)</f>
        <v>#N/A</v>
      </c>
    </row>
    <row r="236" spans="1:19" s="222" customFormat="1" x14ac:dyDescent="0.2"/>
    <row r="237" spans="1:19" s="222" customFormat="1" x14ac:dyDescent="0.2"/>
    <row r="238" spans="1:19" s="222" customFormat="1" x14ac:dyDescent="0.2"/>
    <row r="239" spans="1:19" s="222" customFormat="1" x14ac:dyDescent="0.2"/>
    <row r="240" spans="1:19" s="222" customFormat="1" x14ac:dyDescent="0.2"/>
    <row r="241" spans="1:20" s="222" customFormat="1" x14ac:dyDescent="0.2"/>
    <row r="242" spans="1:20" x14ac:dyDescent="0.2"/>
    <row r="243" spans="1:20" x14ac:dyDescent="0.2"/>
    <row r="244" spans="1:20" x14ac:dyDescent="0.2"/>
    <row r="245" spans="1:20" x14ac:dyDescent="0.2">
      <c r="G245" s="11"/>
      <c r="H245" s="11"/>
    </row>
    <row r="246" spans="1:20" ht="15.75" x14ac:dyDescent="0.25">
      <c r="A246" s="204" t="s">
        <v>280</v>
      </c>
      <c r="C246" s="142" t="s">
        <v>281</v>
      </c>
      <c r="D246" s="252"/>
      <c r="E246" s="141"/>
      <c r="F246" s="141"/>
      <c r="G246" s="140"/>
      <c r="H246" s="146"/>
      <c r="I246" s="146"/>
      <c r="L246" s="146"/>
      <c r="M246" s="206" t="s">
        <v>282</v>
      </c>
      <c r="N246" s="142"/>
      <c r="O246" s="142" t="s">
        <v>281</v>
      </c>
      <c r="P246" s="141"/>
      <c r="Q246" s="141"/>
      <c r="R246" s="140"/>
    </row>
    <row r="247" spans="1:20" x14ac:dyDescent="0.2">
      <c r="A247" s="78" t="s">
        <v>716</v>
      </c>
      <c r="B247" s="43"/>
      <c r="C247" s="43"/>
      <c r="D247" s="43"/>
      <c r="F247" s="43"/>
      <c r="G247" s="79" t="s">
        <v>555</v>
      </c>
      <c r="H247" s="43"/>
      <c r="I247" s="80"/>
      <c r="M247" s="78" t="s">
        <v>715</v>
      </c>
      <c r="N247" s="43"/>
      <c r="O247" s="43"/>
      <c r="P247" s="43"/>
      <c r="Q247" s="43"/>
      <c r="R247" s="79" t="s">
        <v>556</v>
      </c>
      <c r="S247" s="43"/>
      <c r="T247" s="80"/>
    </row>
    <row r="248" spans="1:20" x14ac:dyDescent="0.2">
      <c r="A248" s="46"/>
      <c r="B248" s="35"/>
      <c r="C248" s="81" t="s">
        <v>31</v>
      </c>
      <c r="D248" s="35">
        <f t="shared" ref="D248:D279" si="31">B20</f>
        <v>-40</v>
      </c>
      <c r="F248" s="36" t="s">
        <v>146</v>
      </c>
      <c r="G248" s="82">
        <f t="shared" ref="G248:G279" si="32">D20</f>
        <v>6603.4333582991267</v>
      </c>
      <c r="H248" s="36" t="s">
        <v>35</v>
      </c>
      <c r="I248" s="83" t="s">
        <v>146</v>
      </c>
      <c r="M248" s="48"/>
      <c r="N248" s="35"/>
      <c r="O248" s="81" t="s">
        <v>31</v>
      </c>
      <c r="P248" s="47">
        <f t="shared" ref="P248:P290" si="33">N20</f>
        <v>-40</v>
      </c>
      <c r="Q248" s="36" t="s">
        <v>146</v>
      </c>
      <c r="R248" s="82">
        <f t="shared" ref="R248:R286" ca="1" si="34">P20</f>
        <v>6603.4333582991267</v>
      </c>
      <c r="S248" s="36" t="s">
        <v>35</v>
      </c>
      <c r="T248" s="83" t="s">
        <v>146</v>
      </c>
    </row>
    <row r="249" spans="1:20" x14ac:dyDescent="0.2">
      <c r="A249" s="46"/>
      <c r="B249" s="35"/>
      <c r="C249" s="81" t="s">
        <v>31</v>
      </c>
      <c r="D249" s="35">
        <f t="shared" si="31"/>
        <v>-39</v>
      </c>
      <c r="F249" s="36" t="s">
        <v>146</v>
      </c>
      <c r="G249" s="235">
        <f t="shared" si="32"/>
        <v>6646.8933815461605</v>
      </c>
      <c r="H249" s="36" t="s">
        <v>35</v>
      </c>
      <c r="I249" s="83" t="s">
        <v>146</v>
      </c>
      <c r="M249" s="48"/>
      <c r="N249" s="35"/>
      <c r="O249" s="81" t="s">
        <v>31</v>
      </c>
      <c r="P249" s="47">
        <f t="shared" si="33"/>
        <v>-35</v>
      </c>
      <c r="Q249" s="36" t="s">
        <v>146</v>
      </c>
      <c r="R249" s="82">
        <f t="shared" ca="1" si="34"/>
        <v>6823.7505272529388</v>
      </c>
      <c r="S249" s="36" t="s">
        <v>35</v>
      </c>
      <c r="T249" s="83" t="s">
        <v>146</v>
      </c>
    </row>
    <row r="250" spans="1:20" x14ac:dyDescent="0.2">
      <c r="A250" s="46"/>
      <c r="B250" s="35"/>
      <c r="C250" s="81" t="s">
        <v>31</v>
      </c>
      <c r="D250" s="35">
        <f t="shared" si="31"/>
        <v>-38</v>
      </c>
      <c r="F250" s="36" t="s">
        <v>146</v>
      </c>
      <c r="G250" s="235">
        <f t="shared" si="32"/>
        <v>6690.6551550258555</v>
      </c>
      <c r="H250" s="36" t="s">
        <v>35</v>
      </c>
      <c r="I250" s="83" t="s">
        <v>146</v>
      </c>
      <c r="M250" s="48"/>
      <c r="N250" s="35"/>
      <c r="O250" s="81" t="s">
        <v>31</v>
      </c>
      <c r="P250" s="47">
        <f t="shared" si="33"/>
        <v>-30</v>
      </c>
      <c r="Q250" s="36" t="s">
        <v>146</v>
      </c>
      <c r="R250" s="82">
        <f t="shared" ca="1" si="34"/>
        <v>7051.6082674073314</v>
      </c>
      <c r="S250" s="36" t="s">
        <v>35</v>
      </c>
      <c r="T250" s="83" t="s">
        <v>146</v>
      </c>
    </row>
    <row r="251" spans="1:20" x14ac:dyDescent="0.2">
      <c r="A251" s="46"/>
      <c r="B251" s="35"/>
      <c r="C251" s="81" t="s">
        <v>31</v>
      </c>
      <c r="D251" s="35">
        <f t="shared" si="31"/>
        <v>-37</v>
      </c>
      <c r="F251" s="36" t="s">
        <v>146</v>
      </c>
      <c r="G251" s="235">
        <f t="shared" si="32"/>
        <v>6734.7186294058711</v>
      </c>
      <c r="H251" s="36" t="s">
        <v>35</v>
      </c>
      <c r="I251" s="83" t="s">
        <v>146</v>
      </c>
      <c r="M251" s="48"/>
      <c r="N251" s="35"/>
      <c r="O251" s="81" t="s">
        <v>31</v>
      </c>
      <c r="P251" s="47">
        <f t="shared" si="33"/>
        <v>-25</v>
      </c>
      <c r="Q251" s="36" t="s">
        <v>146</v>
      </c>
      <c r="R251" s="82">
        <f t="shared" ca="1" si="34"/>
        <v>7287.0069695384755</v>
      </c>
      <c r="S251" s="36" t="s">
        <v>35</v>
      </c>
      <c r="T251" s="83" t="s">
        <v>146</v>
      </c>
    </row>
    <row r="252" spans="1:20" x14ac:dyDescent="0.2">
      <c r="A252" s="46"/>
      <c r="B252" s="35"/>
      <c r="C252" s="81" t="s">
        <v>31</v>
      </c>
      <c r="D252" s="35">
        <f t="shared" si="31"/>
        <v>-36</v>
      </c>
      <c r="F252" s="36" t="s">
        <v>146</v>
      </c>
      <c r="G252" s="235">
        <f t="shared" si="32"/>
        <v>6779.083764096953</v>
      </c>
      <c r="H252" s="36" t="s">
        <v>35</v>
      </c>
      <c r="I252" s="83" t="s">
        <v>146</v>
      </c>
      <c r="M252" s="48"/>
      <c r="N252" s="35"/>
      <c r="O252" s="81" t="s">
        <v>31</v>
      </c>
      <c r="P252" s="47">
        <f t="shared" si="33"/>
        <v>-20</v>
      </c>
      <c r="Q252" s="36" t="s">
        <v>146</v>
      </c>
      <c r="R252" s="82">
        <f t="shared" ca="1" si="34"/>
        <v>7529.9524888552605</v>
      </c>
      <c r="S252" s="36" t="s">
        <v>35</v>
      </c>
      <c r="T252" s="83" t="s">
        <v>146</v>
      </c>
    </row>
    <row r="253" spans="1:20" x14ac:dyDescent="0.2">
      <c r="A253" s="46"/>
      <c r="B253" s="35"/>
      <c r="C253" s="81" t="s">
        <v>31</v>
      </c>
      <c r="D253" s="35">
        <f t="shared" si="31"/>
        <v>-35</v>
      </c>
      <c r="F253" s="36" t="s">
        <v>146</v>
      </c>
      <c r="G253" s="235">
        <f t="shared" si="32"/>
        <v>6823.7505272529388</v>
      </c>
      <c r="H253" s="36" t="s">
        <v>35</v>
      </c>
      <c r="I253" s="83" t="s">
        <v>146</v>
      </c>
      <c r="M253" s="48"/>
      <c r="N253" s="35"/>
      <c r="O253" s="81" t="s">
        <v>31</v>
      </c>
      <c r="P253" s="47">
        <f t="shared" si="33"/>
        <v>-15</v>
      </c>
      <c r="Q253" s="36" t="s">
        <v>146</v>
      </c>
      <c r="R253" s="82">
        <f t="shared" ca="1" si="34"/>
        <v>7780.4561449992898</v>
      </c>
      <c r="S253" s="36" t="s">
        <v>35</v>
      </c>
      <c r="T253" s="83" t="s">
        <v>146</v>
      </c>
    </row>
    <row r="254" spans="1:20" x14ac:dyDescent="0.2">
      <c r="A254" s="46"/>
      <c r="B254" s="35"/>
      <c r="C254" s="81" t="s">
        <v>31</v>
      </c>
      <c r="D254" s="35">
        <f t="shared" si="31"/>
        <v>-34</v>
      </c>
      <c r="F254" s="36" t="s">
        <v>146</v>
      </c>
      <c r="G254" s="235">
        <f t="shared" si="32"/>
        <v>6868.7188957707649</v>
      </c>
      <c r="H254" s="36" t="s">
        <v>35</v>
      </c>
      <c r="I254" s="83" t="s">
        <v>146</v>
      </c>
      <c r="M254" s="48"/>
      <c r="N254" s="35"/>
      <c r="O254" s="81" t="s">
        <v>31</v>
      </c>
      <c r="P254" s="47">
        <f t="shared" si="33"/>
        <v>-10</v>
      </c>
      <c r="Q254" s="36" t="s">
        <v>146</v>
      </c>
      <c r="R254" s="82">
        <f t="shared" ca="1" si="34"/>
        <v>8038.5347220448821</v>
      </c>
      <c r="S254" s="36" t="s">
        <v>35</v>
      </c>
      <c r="T254" s="83" t="s">
        <v>146</v>
      </c>
    </row>
    <row r="255" spans="1:20" x14ac:dyDescent="0.2">
      <c r="A255" s="46"/>
      <c r="B255" s="35"/>
      <c r="C255" s="81" t="s">
        <v>31</v>
      </c>
      <c r="D255" s="35">
        <f t="shared" si="31"/>
        <v>-33</v>
      </c>
      <c r="F255" s="36" t="s">
        <v>146</v>
      </c>
      <c r="G255" s="235">
        <f t="shared" si="32"/>
        <v>6913.988855290454</v>
      </c>
      <c r="H255" s="36" t="s">
        <v>35</v>
      </c>
      <c r="I255" s="83" t="s">
        <v>146</v>
      </c>
      <c r="M255" s="48"/>
      <c r="N255" s="35"/>
      <c r="O255" s="81" t="s">
        <v>31</v>
      </c>
      <c r="P255" s="47">
        <f t="shared" si="33"/>
        <v>-5</v>
      </c>
      <c r="Q255" s="36" t="s">
        <v>146</v>
      </c>
      <c r="R255" s="82">
        <f t="shared" ca="1" si="34"/>
        <v>8304.2104684990682</v>
      </c>
      <c r="S255" s="36" t="s">
        <v>35</v>
      </c>
      <c r="T255" s="83" t="s">
        <v>146</v>
      </c>
    </row>
    <row r="256" spans="1:20" x14ac:dyDescent="0.2">
      <c r="A256" s="46"/>
      <c r="B256" s="35"/>
      <c r="C256" s="81" t="s">
        <v>31</v>
      </c>
      <c r="D256" s="35">
        <f t="shared" si="31"/>
        <v>-32</v>
      </c>
      <c r="F256" s="36" t="s">
        <v>146</v>
      </c>
      <c r="G256" s="235">
        <f t="shared" si="32"/>
        <v>6959.5604001951224</v>
      </c>
      <c r="H256" s="36" t="s">
        <v>35</v>
      </c>
      <c r="I256" s="83" t="s">
        <v>146</v>
      </c>
      <c r="M256" s="48"/>
      <c r="N256" s="35"/>
      <c r="O256" s="81" t="s">
        <v>31</v>
      </c>
      <c r="P256" s="47">
        <f t="shared" si="33"/>
        <v>0</v>
      </c>
      <c r="Q256" s="36" t="s">
        <v>146</v>
      </c>
      <c r="R256" s="82">
        <f t="shared" ca="1" si="34"/>
        <v>8577.5110973016035</v>
      </c>
      <c r="S256" s="36" t="s">
        <v>35</v>
      </c>
      <c r="T256" s="83" t="s">
        <v>146</v>
      </c>
    </row>
    <row r="257" spans="1:20" x14ac:dyDescent="0.2">
      <c r="A257" s="46"/>
      <c r="B257" s="35"/>
      <c r="C257" s="81" t="s">
        <v>31</v>
      </c>
      <c r="D257" s="35">
        <f t="shared" si="31"/>
        <v>-31</v>
      </c>
      <c r="F257" s="36" t="s">
        <v>146</v>
      </c>
      <c r="G257" s="235">
        <f t="shared" si="32"/>
        <v>7005.4335336109807</v>
      </c>
      <c r="H257" s="36" t="s">
        <v>35</v>
      </c>
      <c r="I257" s="83" t="s">
        <v>146</v>
      </c>
      <c r="M257" s="48"/>
      <c r="N257" s="35"/>
      <c r="O257" s="81" t="s">
        <v>31</v>
      </c>
      <c r="P257" s="47">
        <f t="shared" si="33"/>
        <v>5</v>
      </c>
      <c r="Q257" s="36" t="s">
        <v>146</v>
      </c>
      <c r="R257" s="82">
        <f t="shared" ca="1" si="34"/>
        <v>8858.469785824951</v>
      </c>
      <c r="S257" s="36" t="s">
        <v>35</v>
      </c>
      <c r="T257" s="83" t="s">
        <v>146</v>
      </c>
    </row>
    <row r="258" spans="1:20" x14ac:dyDescent="0.2">
      <c r="A258" s="46"/>
      <c r="B258" s="35"/>
      <c r="C258" s="81" t="s">
        <v>31</v>
      </c>
      <c r="D258" s="35">
        <f t="shared" si="31"/>
        <v>-30</v>
      </c>
      <c r="F258" s="36" t="s">
        <v>146</v>
      </c>
      <c r="G258" s="235">
        <f t="shared" si="32"/>
        <v>7051.6082674073314</v>
      </c>
      <c r="H258" s="36" t="s">
        <v>35</v>
      </c>
      <c r="I258" s="83" t="s">
        <v>146</v>
      </c>
      <c r="M258" s="48"/>
      <c r="N258" s="35"/>
      <c r="O258" s="81" t="s">
        <v>31</v>
      </c>
      <c r="P258" s="47">
        <f t="shared" si="33"/>
        <v>10</v>
      </c>
      <c r="Q258" s="36" t="s">
        <v>146</v>
      </c>
      <c r="R258" s="82">
        <f t="shared" ca="1" si="34"/>
        <v>9147.1251758742856</v>
      </c>
      <c r="S258" s="36" t="s">
        <v>35</v>
      </c>
      <c r="T258" s="83" t="s">
        <v>146</v>
      </c>
    </row>
    <row r="259" spans="1:20" x14ac:dyDescent="0.2">
      <c r="A259" s="46"/>
      <c r="B259" s="35"/>
      <c r="C259" s="81" t="s">
        <v>31</v>
      </c>
      <c r="D259" s="35">
        <f t="shared" si="31"/>
        <v>-29</v>
      </c>
      <c r="F259" s="36" t="s">
        <v>146</v>
      </c>
      <c r="G259" s="235">
        <f t="shared" si="32"/>
        <v>7098.0846221965667</v>
      </c>
      <c r="H259" s="36" t="s">
        <v>35</v>
      </c>
      <c r="I259" s="83" t="s">
        <v>146</v>
      </c>
      <c r="M259" s="48"/>
      <c r="N259" s="35"/>
      <c r="O259" s="81" t="s">
        <v>31</v>
      </c>
      <c r="P259" s="47">
        <f t="shared" si="33"/>
        <v>15</v>
      </c>
      <c r="Q259" s="36" t="s">
        <v>146</v>
      </c>
      <c r="R259" s="82">
        <f t="shared" ca="1" si="34"/>
        <v>9443.5213736875103</v>
      </c>
      <c r="S259" s="36" t="s">
        <v>35</v>
      </c>
      <c r="T259" s="83" t="s">
        <v>146</v>
      </c>
    </row>
    <row r="260" spans="1:20" x14ac:dyDescent="0.2">
      <c r="A260" s="46"/>
      <c r="B260" s="35"/>
      <c r="C260" s="81" t="s">
        <v>31</v>
      </c>
      <c r="D260" s="35">
        <f t="shared" si="31"/>
        <v>-28</v>
      </c>
      <c r="F260" s="36" t="s">
        <v>146</v>
      </c>
      <c r="G260" s="235">
        <f t="shared" si="32"/>
        <v>7144.8626273341724</v>
      </c>
      <c r="H260" s="36" t="s">
        <v>35</v>
      </c>
      <c r="I260" s="83" t="s">
        <v>146</v>
      </c>
      <c r="M260" s="48"/>
      <c r="N260" s="35"/>
      <c r="O260" s="81" t="s">
        <v>31</v>
      </c>
      <c r="P260" s="47">
        <f t="shared" si="33"/>
        <v>20</v>
      </c>
      <c r="Q260" s="36" t="s">
        <v>146</v>
      </c>
      <c r="R260" s="82">
        <f t="shared" ca="1" si="34"/>
        <v>9747.707949935233</v>
      </c>
      <c r="S260" s="36" t="s">
        <v>35</v>
      </c>
      <c r="T260" s="83" t="s">
        <v>146</v>
      </c>
    </row>
    <row r="261" spans="1:20" x14ac:dyDescent="0.2">
      <c r="A261" s="46"/>
      <c r="B261" s="35"/>
      <c r="C261" s="81" t="s">
        <v>31</v>
      </c>
      <c r="D261" s="35">
        <f t="shared" si="31"/>
        <v>-27</v>
      </c>
      <c r="F261" s="36" t="s">
        <v>146</v>
      </c>
      <c r="G261" s="235">
        <f t="shared" si="32"/>
        <v>7191.9423209187325</v>
      </c>
      <c r="H261" s="36" t="s">
        <v>35</v>
      </c>
      <c r="I261" s="83" t="s">
        <v>146</v>
      </c>
      <c r="M261" s="48"/>
      <c r="N261" s="35"/>
      <c r="O261" s="81" t="s">
        <v>31</v>
      </c>
      <c r="P261" s="47">
        <f t="shared" si="33"/>
        <v>25</v>
      </c>
      <c r="Q261" s="36" t="s">
        <v>146</v>
      </c>
      <c r="R261" s="82">
        <f t="shared" ca="1" si="34"/>
        <v>10059.739939720781</v>
      </c>
      <c r="S261" s="36" t="s">
        <v>35</v>
      </c>
      <c r="T261" s="83" t="s">
        <v>146</v>
      </c>
    </row>
    <row r="262" spans="1:20" x14ac:dyDescent="0.2">
      <c r="A262" s="46"/>
      <c r="B262" s="35"/>
      <c r="C262" s="81" t="s">
        <v>31</v>
      </c>
      <c r="D262" s="35">
        <f t="shared" si="31"/>
        <v>-26</v>
      </c>
      <c r="F262" s="36" t="s">
        <v>146</v>
      </c>
      <c r="G262" s="235">
        <f t="shared" si="32"/>
        <v>7239.3237497919117</v>
      </c>
      <c r="H262" s="36" t="s">
        <v>35</v>
      </c>
      <c r="I262" s="83" t="s">
        <v>146</v>
      </c>
      <c r="M262" s="48"/>
      <c r="N262" s="35"/>
      <c r="O262" s="81" t="s">
        <v>31</v>
      </c>
      <c r="P262" s="47">
        <f t="shared" si="33"/>
        <v>30</v>
      </c>
      <c r="Q262" s="36" t="s">
        <v>146</v>
      </c>
      <c r="R262" s="82">
        <f t="shared" ca="1" si="34"/>
        <v>10379.677842580193</v>
      </c>
      <c r="S262" s="36" t="s">
        <v>35</v>
      </c>
      <c r="T262" s="83" t="s">
        <v>146</v>
      </c>
    </row>
    <row r="263" spans="1:20" x14ac:dyDescent="0.2">
      <c r="A263" s="46"/>
      <c r="B263" s="35"/>
      <c r="C263" s="81" t="s">
        <v>31</v>
      </c>
      <c r="D263" s="35">
        <f t="shared" si="31"/>
        <v>-25</v>
      </c>
      <c r="F263" s="36" t="s">
        <v>146</v>
      </c>
      <c r="G263" s="235">
        <f t="shared" si="32"/>
        <v>7287.0069695384755</v>
      </c>
      <c r="H263" s="36" t="s">
        <v>35</v>
      </c>
      <c r="I263" s="83" t="s">
        <v>146</v>
      </c>
      <c r="M263" s="48"/>
      <c r="N263" s="35"/>
      <c r="O263" s="81" t="s">
        <v>31</v>
      </c>
      <c r="P263" s="47">
        <f t="shared" si="33"/>
        <v>35</v>
      </c>
      <c r="Q263" s="36" t="s">
        <v>146</v>
      </c>
      <c r="R263" s="82">
        <f t="shared" ca="1" si="34"/>
        <v>10707.587622482231</v>
      </c>
      <c r="S263" s="36" t="s">
        <v>35</v>
      </c>
      <c r="T263" s="83" t="s">
        <v>146</v>
      </c>
    </row>
    <row r="264" spans="1:20" x14ac:dyDescent="0.2">
      <c r="A264" s="46"/>
      <c r="B264" s="35"/>
      <c r="C264" s="81" t="s">
        <v>31</v>
      </c>
      <c r="D264" s="35">
        <f t="shared" si="31"/>
        <v>-24</v>
      </c>
      <c r="F264" s="36" t="s">
        <v>146</v>
      </c>
      <c r="G264" s="235">
        <f t="shared" si="32"/>
        <v>7334.992044486281</v>
      </c>
      <c r="H264" s="36" t="s">
        <v>35</v>
      </c>
      <c r="I264" s="83" t="s">
        <v>146</v>
      </c>
      <c r="M264" s="48"/>
      <c r="N264" s="35"/>
      <c r="O264" s="81" t="s">
        <v>31</v>
      </c>
      <c r="P264" s="47">
        <f t="shared" si="33"/>
        <v>40</v>
      </c>
      <c r="Q264" s="36" t="s">
        <v>146</v>
      </c>
      <c r="R264" s="82">
        <f t="shared" ca="1" si="34"/>
        <v>11043.540707828366</v>
      </c>
      <c r="S264" s="36" t="s">
        <v>35</v>
      </c>
      <c r="T264" s="83" t="s">
        <v>146</v>
      </c>
    </row>
    <row r="265" spans="1:20" x14ac:dyDescent="0.2">
      <c r="A265" s="46"/>
      <c r="B265" s="35"/>
      <c r="C265" s="81" t="s">
        <v>31</v>
      </c>
      <c r="D265" s="35">
        <f t="shared" si="31"/>
        <v>-23</v>
      </c>
      <c r="F265" s="36" t="s">
        <v>146</v>
      </c>
      <c r="G265" s="235">
        <f t="shared" si="32"/>
        <v>7383.2790477062763</v>
      </c>
      <c r="H265" s="36" t="s">
        <v>35</v>
      </c>
      <c r="I265" s="83" t="s">
        <v>146</v>
      </c>
      <c r="M265" s="48"/>
      <c r="N265" s="35"/>
      <c r="O265" s="81" t="s">
        <v>31</v>
      </c>
      <c r="P265" s="47">
        <f t="shared" si="33"/>
        <v>45</v>
      </c>
      <c r="Q265" s="36" t="s">
        <v>146</v>
      </c>
      <c r="R265" s="82">
        <f t="shared" ca="1" si="34"/>
        <v>11387.613991452783</v>
      </c>
      <c r="S265" s="36" t="s">
        <v>35</v>
      </c>
      <c r="T265" s="83" t="s">
        <v>146</v>
      </c>
    </row>
    <row r="266" spans="1:20" x14ac:dyDescent="0.2">
      <c r="A266" s="46"/>
      <c r="B266" s="35"/>
      <c r="C266" s="81" t="s">
        <v>31</v>
      </c>
      <c r="D266" s="35">
        <f t="shared" si="31"/>
        <v>-22</v>
      </c>
      <c r="F266" s="36" t="s">
        <v>146</v>
      </c>
      <c r="G266" s="235">
        <f t="shared" si="32"/>
        <v>7431.8680610125002</v>
      </c>
      <c r="H266" s="36" t="s">
        <v>35</v>
      </c>
      <c r="I266" s="83" t="s">
        <v>146</v>
      </c>
      <c r="M266" s="48"/>
      <c r="N266" s="35"/>
      <c r="O266" s="81" t="s">
        <v>31</v>
      </c>
      <c r="P266" s="47">
        <f t="shared" si="33"/>
        <v>50</v>
      </c>
      <c r="Q266" s="36" t="s">
        <v>146</v>
      </c>
      <c r="R266" s="82">
        <f t="shared" ca="1" si="34"/>
        <v>11739.889830622387</v>
      </c>
      <c r="S266" s="36" t="s">
        <v>35</v>
      </c>
      <c r="T266" s="83" t="s">
        <v>146</v>
      </c>
    </row>
    <row r="267" spans="1:20" x14ac:dyDescent="0.2">
      <c r="A267" s="46"/>
      <c r="B267" s="35"/>
      <c r="C267" s="81" t="s">
        <v>31</v>
      </c>
      <c r="D267" s="35">
        <f t="shared" si="31"/>
        <v>-21</v>
      </c>
      <c r="F267" s="36" t="s">
        <v>146</v>
      </c>
      <c r="G267" s="235">
        <f t="shared" si="32"/>
        <v>7480.7591749620869</v>
      </c>
      <c r="H267" s="36" t="s">
        <v>35</v>
      </c>
      <c r="I267" s="83" t="s">
        <v>146</v>
      </c>
      <c r="M267" s="48"/>
      <c r="N267" s="35"/>
      <c r="O267" s="81" t="s">
        <v>31</v>
      </c>
      <c r="P267" s="47">
        <f t="shared" si="33"/>
        <v>55</v>
      </c>
      <c r="Q267" s="36" t="s">
        <v>146</v>
      </c>
      <c r="R267" s="82">
        <f t="shared" ca="1" si="34"/>
        <v>12100.456047036801</v>
      </c>
      <c r="S267" s="36" t="s">
        <v>35</v>
      </c>
      <c r="T267" s="83" t="s">
        <v>146</v>
      </c>
    </row>
    <row r="268" spans="1:20" x14ac:dyDescent="0.2">
      <c r="A268" s="46"/>
      <c r="B268" s="35"/>
      <c r="C268" s="81" t="s">
        <v>31</v>
      </c>
      <c r="D268" s="35">
        <f t="shared" si="31"/>
        <v>-20</v>
      </c>
      <c r="F268" s="36" t="s">
        <v>146</v>
      </c>
      <c r="G268" s="235">
        <f t="shared" si="32"/>
        <v>7529.9524888552605</v>
      </c>
      <c r="H268" s="36" t="s">
        <v>35</v>
      </c>
      <c r="I268" s="83" t="s">
        <v>146</v>
      </c>
      <c r="M268" s="48"/>
      <c r="N268" s="35"/>
      <c r="O268" s="81" t="s">
        <v>31</v>
      </c>
      <c r="P268" s="47">
        <f t="shared" si="33"/>
        <v>60</v>
      </c>
      <c r="Q268" s="36" t="s">
        <v>146</v>
      </c>
      <c r="R268" s="82">
        <f t="shared" ca="1" si="34"/>
        <v>12469.405926828353</v>
      </c>
      <c r="S268" s="36" t="s">
        <v>35</v>
      </c>
      <c r="T268" s="83" t="s">
        <v>146</v>
      </c>
    </row>
    <row r="269" spans="1:20" x14ac:dyDescent="0.2">
      <c r="A269" s="46"/>
      <c r="B269" s="35"/>
      <c r="C269" s="81" t="s">
        <v>31</v>
      </c>
      <c r="D269" s="35">
        <f t="shared" si="31"/>
        <v>-19</v>
      </c>
      <c r="F269" s="36" t="s">
        <v>146</v>
      </c>
      <c r="G269" s="235">
        <f t="shared" si="32"/>
        <v>7579.4481107353395</v>
      </c>
      <c r="H269" s="36" t="s">
        <v>35</v>
      </c>
      <c r="I269" s="83" t="s">
        <v>146</v>
      </c>
      <c r="M269" s="48"/>
      <c r="N269" s="35"/>
      <c r="O269" s="81" t="s">
        <v>31</v>
      </c>
      <c r="P269" s="47">
        <f t="shared" si="33"/>
        <v>65</v>
      </c>
      <c r="Q269" s="36" t="s">
        <v>146</v>
      </c>
      <c r="R269" s="82">
        <f t="shared" ca="1" si="34"/>
        <v>12846.838220562098</v>
      </c>
      <c r="S269" s="36" t="s">
        <v>35</v>
      </c>
      <c r="T269" s="83" t="s">
        <v>146</v>
      </c>
    </row>
    <row r="270" spans="1:20" x14ac:dyDescent="0.2">
      <c r="A270" s="46"/>
      <c r="B270" s="35"/>
      <c r="C270" s="81" t="s">
        <v>31</v>
      </c>
      <c r="D270" s="35">
        <f t="shared" si="31"/>
        <v>-18</v>
      </c>
      <c r="F270" s="36" t="s">
        <v>146</v>
      </c>
      <c r="G270" s="235">
        <f t="shared" si="32"/>
        <v>7629.2461573887349</v>
      </c>
      <c r="H270" s="36" t="s">
        <v>35</v>
      </c>
      <c r="I270" s="83" t="s">
        <v>146</v>
      </c>
      <c r="M270" s="48"/>
      <c r="N270" s="35"/>
      <c r="O270" s="81" t="s">
        <v>31</v>
      </c>
      <c r="P270" s="47">
        <f t="shared" si="33"/>
        <v>70</v>
      </c>
      <c r="Q270" s="36" t="s">
        <v>146</v>
      </c>
      <c r="R270" s="82">
        <f t="shared" ca="1" si="34"/>
        <v>13232.857143235797</v>
      </c>
      <c r="S270" s="36" t="s">
        <v>35</v>
      </c>
      <c r="T270" s="83" t="s">
        <v>146</v>
      </c>
    </row>
    <row r="271" spans="1:20" x14ac:dyDescent="0.2">
      <c r="A271" s="46"/>
      <c r="B271" s="35"/>
      <c r="C271" s="81" t="s">
        <v>31</v>
      </c>
      <c r="D271" s="35">
        <f t="shared" si="31"/>
        <v>-17</v>
      </c>
      <c r="F271" s="36" t="s">
        <v>146</v>
      </c>
      <c r="G271" s="235">
        <f t="shared" si="32"/>
        <v>7679.3467543449451</v>
      </c>
      <c r="H271" s="36" t="s">
        <v>35</v>
      </c>
      <c r="I271" s="83" t="s">
        <v>146</v>
      </c>
      <c r="M271" s="48"/>
      <c r="N271" s="35"/>
      <c r="O271" s="81" t="s">
        <v>31</v>
      </c>
      <c r="P271" s="47">
        <f t="shared" si="33"/>
        <v>75</v>
      </c>
      <c r="Q271" s="36" t="s">
        <v>146</v>
      </c>
      <c r="R271" s="82">
        <f t="shared" ca="1" si="34"/>
        <v>13627.572374279933</v>
      </c>
      <c r="S271" s="36" t="s">
        <v>35</v>
      </c>
      <c r="T271" s="83" t="s">
        <v>146</v>
      </c>
    </row>
    <row r="272" spans="1:20" x14ac:dyDescent="0.2">
      <c r="A272" s="46"/>
      <c r="B272" s="35"/>
      <c r="C272" s="81" t="s">
        <v>31</v>
      </c>
      <c r="D272" s="35">
        <f t="shared" si="31"/>
        <v>-16</v>
      </c>
      <c r="F272" s="36" t="s">
        <v>146</v>
      </c>
      <c r="G272" s="235">
        <f t="shared" si="32"/>
        <v>7729.7500358765683</v>
      </c>
      <c r="H272" s="36" t="s">
        <v>35</v>
      </c>
      <c r="I272" s="83" t="s">
        <v>146</v>
      </c>
      <c r="M272" s="48"/>
      <c r="N272" s="35"/>
      <c r="O272" s="81" t="s">
        <v>31</v>
      </c>
      <c r="P272" s="47">
        <f t="shared" si="33"/>
        <v>80</v>
      </c>
      <c r="Q272" s="36" t="s">
        <v>146</v>
      </c>
      <c r="R272" s="82">
        <f t="shared" ca="1" si="34"/>
        <v>14031.099057557696</v>
      </c>
      <c r="S272" s="36" t="s">
        <v>35</v>
      </c>
      <c r="T272" s="83" t="s">
        <v>146</v>
      </c>
    </row>
    <row r="273" spans="1:20" x14ac:dyDescent="0.2">
      <c r="A273" s="46"/>
      <c r="B273" s="35"/>
      <c r="C273" s="81" t="s">
        <v>31</v>
      </c>
      <c r="D273" s="35">
        <f t="shared" si="31"/>
        <v>-15</v>
      </c>
      <c r="F273" s="36" t="s">
        <v>146</v>
      </c>
      <c r="G273" s="235">
        <f t="shared" si="32"/>
        <v>7780.4561449992898</v>
      </c>
      <c r="H273" s="36" t="s">
        <v>35</v>
      </c>
      <c r="I273" s="83" t="s">
        <v>146</v>
      </c>
      <c r="M273" s="48"/>
      <c r="N273" s="35"/>
      <c r="O273" s="81" t="s">
        <v>31</v>
      </c>
      <c r="P273" s="47">
        <f t="shared" si="33"/>
        <v>85</v>
      </c>
      <c r="Q273" s="36" t="s">
        <v>146</v>
      </c>
      <c r="R273" s="82">
        <f t="shared" ca="1" si="34"/>
        <v>14443.557801365005</v>
      </c>
      <c r="S273" s="36" t="s">
        <v>35</v>
      </c>
      <c r="T273" s="83" t="s">
        <v>146</v>
      </c>
    </row>
    <row r="274" spans="1:20" x14ac:dyDescent="0.2">
      <c r="A274" s="46"/>
      <c r="B274" s="35"/>
      <c r="C274" s="81" t="s">
        <v>31</v>
      </c>
      <c r="D274" s="35">
        <f t="shared" si="31"/>
        <v>-14</v>
      </c>
      <c r="F274" s="36" t="s">
        <v>146</v>
      </c>
      <c r="G274" s="235">
        <f t="shared" si="32"/>
        <v>7831.4652334718885</v>
      </c>
      <c r="H274" s="36" t="s">
        <v>35</v>
      </c>
      <c r="I274" s="83" t="s">
        <v>146</v>
      </c>
      <c r="M274" s="48"/>
      <c r="N274" s="35"/>
      <c r="O274" s="81" t="s">
        <v>31</v>
      </c>
      <c r="P274" s="47">
        <f t="shared" si="33"/>
        <v>90</v>
      </c>
      <c r="Q274" s="36" t="s">
        <v>146</v>
      </c>
      <c r="R274" s="82">
        <f t="shared" ca="1" si="34"/>
        <v>14865.074678430481</v>
      </c>
      <c r="S274" s="36" t="s">
        <v>35</v>
      </c>
      <c r="T274" s="83" t="s">
        <v>146</v>
      </c>
    </row>
    <row r="275" spans="1:20" x14ac:dyDescent="0.2">
      <c r="A275" s="46"/>
      <c r="B275" s="35"/>
      <c r="C275" s="81" t="s">
        <v>31</v>
      </c>
      <c r="D275" s="35">
        <f t="shared" si="31"/>
        <v>-13</v>
      </c>
      <c r="F275" s="36" t="s">
        <v>146</v>
      </c>
      <c r="G275" s="235">
        <f t="shared" si="32"/>
        <v>7882.7774617962377</v>
      </c>
      <c r="H275" s="36" t="s">
        <v>35</v>
      </c>
      <c r="I275" s="83" t="s">
        <v>146</v>
      </c>
      <c r="M275" s="48"/>
      <c r="N275" s="35"/>
      <c r="O275" s="81" t="s">
        <v>31</v>
      </c>
      <c r="P275" s="47">
        <f t="shared" si="33"/>
        <v>95</v>
      </c>
      <c r="Q275" s="36" t="s">
        <v>146</v>
      </c>
      <c r="R275" s="82">
        <f t="shared" ca="1" si="34"/>
        <v>15295.781225915465</v>
      </c>
      <c r="S275" s="36" t="s">
        <v>35</v>
      </c>
      <c r="T275" s="83" t="s">
        <v>146</v>
      </c>
    </row>
    <row r="276" spans="1:20" x14ac:dyDescent="0.2">
      <c r="A276" s="46"/>
      <c r="B276" s="35"/>
      <c r="C276" s="81" t="s">
        <v>31</v>
      </c>
      <c r="D276" s="35">
        <f t="shared" si="31"/>
        <v>-12</v>
      </c>
      <c r="F276" s="36" t="s">
        <v>146</v>
      </c>
      <c r="G276" s="235">
        <f t="shared" si="32"/>
        <v>7934.3929992172989</v>
      </c>
      <c r="H276" s="36" t="s">
        <v>35</v>
      </c>
      <c r="I276" s="83" t="s">
        <v>146</v>
      </c>
      <c r="M276" s="48"/>
      <c r="N276" s="35"/>
      <c r="O276" s="81" t="s">
        <v>31</v>
      </c>
      <c r="P276" s="47">
        <f t="shared" si="33"/>
        <v>100</v>
      </c>
      <c r="Q276" s="36" t="s">
        <v>146</v>
      </c>
      <c r="R276" s="82">
        <f t="shared" ca="1" si="34"/>
        <v>15735.81444541402</v>
      </c>
      <c r="S276" s="36" t="s">
        <v>35</v>
      </c>
      <c r="T276" s="83" t="s">
        <v>146</v>
      </c>
    </row>
    <row r="277" spans="1:20" x14ac:dyDescent="0.2">
      <c r="A277" s="46"/>
      <c r="B277" s="35"/>
      <c r="C277" s="81" t="s">
        <v>31</v>
      </c>
      <c r="D277" s="35">
        <f t="shared" si="31"/>
        <v>-11</v>
      </c>
      <c r="F277" s="36" t="s">
        <v>146</v>
      </c>
      <c r="G277" s="235">
        <f t="shared" si="32"/>
        <v>7986.3120237231315</v>
      </c>
      <c r="H277" s="36" t="s">
        <v>35</v>
      </c>
      <c r="I277" s="83" t="s">
        <v>146</v>
      </c>
      <c r="M277" s="48"/>
      <c r="N277" s="35"/>
      <c r="O277" s="81" t="s">
        <v>31</v>
      </c>
      <c r="P277" s="47">
        <f t="shared" si="33"/>
        <v>105</v>
      </c>
      <c r="Q277" s="36" t="s">
        <v>146</v>
      </c>
      <c r="R277" s="82">
        <f t="shared" ca="1" si="34"/>
        <v>16185.316802952917</v>
      </c>
      <c r="S277" s="36" t="s">
        <v>35</v>
      </c>
      <c r="T277" s="83" t="s">
        <v>146</v>
      </c>
    </row>
    <row r="278" spans="1:20" x14ac:dyDescent="0.2">
      <c r="A278" s="46"/>
      <c r="B278" s="35"/>
      <c r="C278" s="81" t="s">
        <v>31</v>
      </c>
      <c r="D278" s="35">
        <f t="shared" si="31"/>
        <v>-10</v>
      </c>
      <c r="F278" s="36" t="s">
        <v>146</v>
      </c>
      <c r="G278" s="235">
        <f t="shared" si="32"/>
        <v>8038.5347220448821</v>
      </c>
      <c r="H278" s="36" t="s">
        <v>35</v>
      </c>
      <c r="I278" s="83" t="s">
        <v>146</v>
      </c>
      <c r="M278" s="48"/>
      <c r="N278" s="35"/>
      <c r="O278" s="81" t="s">
        <v>31</v>
      </c>
      <c r="P278" s="47">
        <f t="shared" si="33"/>
        <v>110</v>
      </c>
      <c r="Q278" s="36" t="s">
        <v>146</v>
      </c>
      <c r="R278" s="82">
        <f t="shared" ca="1" si="34"/>
        <v>16644.436228991643</v>
      </c>
      <c r="S278" s="36" t="s">
        <v>35</v>
      </c>
      <c r="T278" s="83" t="s">
        <v>146</v>
      </c>
    </row>
    <row r="279" spans="1:20" x14ac:dyDescent="0.2">
      <c r="A279" s="46"/>
      <c r="B279" s="35"/>
      <c r="C279" s="81" t="s">
        <v>31</v>
      </c>
      <c r="D279" s="35">
        <f t="shared" si="31"/>
        <v>-9</v>
      </c>
      <c r="F279" s="36" t="s">
        <v>146</v>
      </c>
      <c r="G279" s="235">
        <f t="shared" si="32"/>
        <v>8091.06128965679</v>
      </c>
      <c r="H279" s="36" t="s">
        <v>35</v>
      </c>
      <c r="I279" s="83" t="s">
        <v>146</v>
      </c>
      <c r="M279" s="48"/>
      <c r="N279" s="35"/>
      <c r="O279" s="81" t="s">
        <v>31</v>
      </c>
      <c r="P279" s="47">
        <f t="shared" si="33"/>
        <v>115</v>
      </c>
      <c r="Q279" s="36" t="s">
        <v>146</v>
      </c>
      <c r="R279" s="82">
        <f t="shared" ca="1" si="34"/>
        <v>17113.326118422396</v>
      </c>
      <c r="S279" s="36" t="s">
        <v>35</v>
      </c>
      <c r="T279" s="83" t="s">
        <v>146</v>
      </c>
    </row>
    <row r="280" spans="1:20" x14ac:dyDescent="0.2">
      <c r="A280" s="46"/>
      <c r="B280" s="35"/>
      <c r="C280" s="81" t="s">
        <v>31</v>
      </c>
      <c r="D280" s="35">
        <f t="shared" ref="D280:D311" si="35">B52</f>
        <v>-8</v>
      </c>
      <c r="F280" s="36" t="s">
        <v>146</v>
      </c>
      <c r="G280" s="235">
        <f t="shared" ref="G280:G311" si="36">D52</f>
        <v>8143.8919307761917</v>
      </c>
      <c r="H280" s="36" t="s">
        <v>35</v>
      </c>
      <c r="I280" s="83" t="s">
        <v>146</v>
      </c>
      <c r="M280" s="48"/>
      <c r="N280" s="35"/>
      <c r="O280" s="81" t="s">
        <v>31</v>
      </c>
      <c r="P280" s="47">
        <f t="shared" si="33"/>
        <v>120</v>
      </c>
      <c r="Q280" s="36" t="s">
        <v>146</v>
      </c>
      <c r="R280" s="82">
        <f t="shared" ca="1" si="34"/>
        <v>17592.1453305701</v>
      </c>
      <c r="S280" s="36" t="s">
        <v>35</v>
      </c>
      <c r="T280" s="83" t="s">
        <v>146</v>
      </c>
    </row>
    <row r="281" spans="1:20" x14ac:dyDescent="0.2">
      <c r="A281" s="46"/>
      <c r="B281" s="35"/>
      <c r="C281" s="81" t="s">
        <v>31</v>
      </c>
      <c r="D281" s="35">
        <f t="shared" si="35"/>
        <v>-7</v>
      </c>
      <c r="F281" s="36" t="s">
        <v>146</v>
      </c>
      <c r="G281" s="235">
        <f t="shared" si="36"/>
        <v>8197.0268583635097</v>
      </c>
      <c r="H281" s="36" t="s">
        <v>35</v>
      </c>
      <c r="I281" s="83" t="s">
        <v>146</v>
      </c>
      <c r="M281" s="48"/>
      <c r="N281" s="35"/>
      <c r="O281" s="81" t="s">
        <v>31</v>
      </c>
      <c r="P281" s="47">
        <f t="shared" si="33"/>
        <v>125</v>
      </c>
      <c r="Q281" s="36" t="s">
        <v>146</v>
      </c>
      <c r="R281" s="82">
        <f t="shared" ca="1" si="34"/>
        <v>18081.05818919239</v>
      </c>
      <c r="S281" s="36" t="s">
        <v>35</v>
      </c>
      <c r="T281" s="83" t="s">
        <v>146</v>
      </c>
    </row>
    <row r="282" spans="1:20" x14ac:dyDescent="0.2">
      <c r="A282" s="46"/>
      <c r="B282" s="35"/>
      <c r="C282" s="81" t="s">
        <v>31</v>
      </c>
      <c r="D282" s="35">
        <f t="shared" si="35"/>
        <v>-6</v>
      </c>
      <c r="F282" s="36" t="s">
        <v>146</v>
      </c>
      <c r="G282" s="235">
        <f t="shared" si="36"/>
        <v>8250.4662941222668</v>
      </c>
      <c r="H282" s="36" t="s">
        <v>35</v>
      </c>
      <c r="I282" s="83" t="s">
        <v>146</v>
      </c>
      <c r="M282" s="48"/>
      <c r="N282" s="35"/>
      <c r="O282" s="81" t="s">
        <v>31</v>
      </c>
      <c r="P282" s="47">
        <f t="shared" si="33"/>
        <v>130</v>
      </c>
      <c r="Q282" s="36" t="s">
        <v>146</v>
      </c>
      <c r="R282" s="82" t="e">
        <f t="shared" ca="1" si="34"/>
        <v>#N/A</v>
      </c>
      <c r="S282" s="36" t="s">
        <v>35</v>
      </c>
      <c r="T282" s="83" t="s">
        <v>146</v>
      </c>
    </row>
    <row r="283" spans="1:20" x14ac:dyDescent="0.2">
      <c r="A283" s="46"/>
      <c r="B283" s="35"/>
      <c r="C283" s="81" t="s">
        <v>31</v>
      </c>
      <c r="D283" s="35">
        <f t="shared" si="35"/>
        <v>-5</v>
      </c>
      <c r="F283" s="36" t="s">
        <v>146</v>
      </c>
      <c r="G283" s="235">
        <f t="shared" si="36"/>
        <v>8304.2104684990682</v>
      </c>
      <c r="H283" s="36" t="s">
        <v>35</v>
      </c>
      <c r="I283" s="83" t="s">
        <v>146</v>
      </c>
      <c r="M283" s="48"/>
      <c r="N283" s="35"/>
      <c r="O283" s="81" t="s">
        <v>31</v>
      </c>
      <c r="P283" s="47">
        <f t="shared" si="33"/>
        <v>135</v>
      </c>
      <c r="Q283" s="36" t="s">
        <v>146</v>
      </c>
      <c r="R283" s="82" t="e">
        <f t="shared" ca="1" si="34"/>
        <v>#N/A</v>
      </c>
      <c r="S283" s="36" t="s">
        <v>35</v>
      </c>
      <c r="T283" s="83" t="s">
        <v>146</v>
      </c>
    </row>
    <row r="284" spans="1:20" x14ac:dyDescent="0.2">
      <c r="A284" s="46"/>
      <c r="B284" s="35"/>
      <c r="C284" s="81" t="s">
        <v>31</v>
      </c>
      <c r="D284" s="35">
        <f t="shared" si="35"/>
        <v>-4</v>
      </c>
      <c r="F284" s="36" t="s">
        <v>146</v>
      </c>
      <c r="G284" s="235">
        <f t="shared" si="36"/>
        <v>8358.2596206836224</v>
      </c>
      <c r="H284" s="36" t="s">
        <v>35</v>
      </c>
      <c r="I284" s="83" t="s">
        <v>146</v>
      </c>
      <c r="M284" s="48"/>
      <c r="N284" s="35"/>
      <c r="O284" s="81" t="s">
        <v>31</v>
      </c>
      <c r="P284" s="47">
        <f t="shared" si="33"/>
        <v>140</v>
      </c>
      <c r="Q284" s="36" t="s">
        <v>146</v>
      </c>
      <c r="R284" s="82" t="e">
        <f t="shared" ca="1" si="34"/>
        <v>#N/A</v>
      </c>
      <c r="S284" s="36" t="s">
        <v>35</v>
      </c>
      <c r="T284" s="83" t="s">
        <v>146</v>
      </c>
    </row>
    <row r="285" spans="1:20" x14ac:dyDescent="0.2">
      <c r="A285" s="46"/>
      <c r="B285" s="35"/>
      <c r="C285" s="81" t="s">
        <v>31</v>
      </c>
      <c r="D285" s="35">
        <f t="shared" si="35"/>
        <v>-3</v>
      </c>
      <c r="F285" s="36" t="s">
        <v>146</v>
      </c>
      <c r="G285" s="235">
        <f t="shared" si="36"/>
        <v>8412.6139986087164</v>
      </c>
      <c r="H285" s="36" t="s">
        <v>35</v>
      </c>
      <c r="I285" s="83" t="s">
        <v>146</v>
      </c>
      <c r="M285" s="48"/>
      <c r="N285" s="35"/>
      <c r="O285" s="81" t="s">
        <v>31</v>
      </c>
      <c r="P285" s="47">
        <f t="shared" si="33"/>
        <v>145</v>
      </c>
      <c r="Q285" s="36" t="s">
        <v>146</v>
      </c>
      <c r="R285" s="82" t="e">
        <f t="shared" ca="1" si="34"/>
        <v>#N/A</v>
      </c>
      <c r="S285" s="36" t="s">
        <v>35</v>
      </c>
      <c r="T285" s="83" t="s">
        <v>146</v>
      </c>
    </row>
    <row r="286" spans="1:20" x14ac:dyDescent="0.2">
      <c r="A286" s="46"/>
      <c r="B286" s="35"/>
      <c r="C286" s="81" t="s">
        <v>31</v>
      </c>
      <c r="D286" s="35">
        <f t="shared" si="35"/>
        <v>-2</v>
      </c>
      <c r="F286" s="36" t="s">
        <v>146</v>
      </c>
      <c r="G286" s="235">
        <f t="shared" si="36"/>
        <v>8467.2738589502424</v>
      </c>
      <c r="H286" s="36" t="s">
        <v>35</v>
      </c>
      <c r="I286" s="83" t="s">
        <v>146</v>
      </c>
      <c r="M286" s="48"/>
      <c r="N286" s="35"/>
      <c r="O286" s="81" t="s">
        <v>31</v>
      </c>
      <c r="P286" s="47">
        <f t="shared" si="33"/>
        <v>150</v>
      </c>
      <c r="Q286" s="36" t="s">
        <v>146</v>
      </c>
      <c r="R286" s="82" t="e">
        <f t="shared" ca="1" si="34"/>
        <v>#N/A</v>
      </c>
      <c r="S286" s="36" t="s">
        <v>35</v>
      </c>
      <c r="T286" s="83" t="s">
        <v>146</v>
      </c>
    </row>
    <row r="287" spans="1:20" x14ac:dyDescent="0.2">
      <c r="A287" s="46"/>
      <c r="B287" s="35"/>
      <c r="C287" s="81" t="s">
        <v>31</v>
      </c>
      <c r="D287" s="35">
        <f t="shared" si="35"/>
        <v>-1</v>
      </c>
      <c r="F287" s="36" t="s">
        <v>146</v>
      </c>
      <c r="G287" s="235">
        <f t="shared" si="36"/>
        <v>8522.2394671271832</v>
      </c>
      <c r="H287" s="36" t="s">
        <v>35</v>
      </c>
      <c r="I287" s="83" t="s">
        <v>146</v>
      </c>
      <c r="M287" s="48"/>
      <c r="N287" s="35"/>
      <c r="O287" s="81" t="s">
        <v>31</v>
      </c>
      <c r="P287" s="228">
        <f t="shared" si="33"/>
        <v>155</v>
      </c>
      <c r="Q287" s="36" t="s">
        <v>146</v>
      </c>
      <c r="R287" s="235" t="e">
        <f t="shared" ref="R287:R290" ca="1" si="37">P59</f>
        <v>#N/A</v>
      </c>
      <c r="S287" s="36" t="s">
        <v>35</v>
      </c>
      <c r="T287" s="83" t="s">
        <v>146</v>
      </c>
    </row>
    <row r="288" spans="1:20" x14ac:dyDescent="0.2">
      <c r="A288" s="46"/>
      <c r="B288" s="35"/>
      <c r="C288" s="81" t="s">
        <v>31</v>
      </c>
      <c r="D288" s="35">
        <f t="shared" si="35"/>
        <v>0</v>
      </c>
      <c r="F288" s="36" t="s">
        <v>146</v>
      </c>
      <c r="G288" s="235">
        <f t="shared" si="36"/>
        <v>8577.5110973016035</v>
      </c>
      <c r="H288" s="36" t="s">
        <v>35</v>
      </c>
      <c r="I288" s="83" t="s">
        <v>146</v>
      </c>
      <c r="M288" s="48"/>
      <c r="N288" s="35"/>
      <c r="O288" s="81" t="s">
        <v>31</v>
      </c>
      <c r="P288" s="228">
        <f t="shared" si="33"/>
        <v>160</v>
      </c>
      <c r="Q288" s="36" t="s">
        <v>146</v>
      </c>
      <c r="R288" s="235" t="e">
        <f t="shared" ca="1" si="37"/>
        <v>#N/A</v>
      </c>
      <c r="S288" s="36" t="s">
        <v>35</v>
      </c>
      <c r="T288" s="83" t="s">
        <v>146</v>
      </c>
    </row>
    <row r="289" spans="1:20" x14ac:dyDescent="0.2">
      <c r="A289" s="46"/>
      <c r="B289" s="35"/>
      <c r="C289" s="81" t="s">
        <v>31</v>
      </c>
      <c r="D289" s="35">
        <f t="shared" si="35"/>
        <v>1</v>
      </c>
      <c r="F289" s="36" t="s">
        <v>146</v>
      </c>
      <c r="G289" s="235">
        <f t="shared" si="36"/>
        <v>8633.0890323786734</v>
      </c>
      <c r="H289" s="36" t="s">
        <v>35</v>
      </c>
      <c r="I289" s="83" t="s">
        <v>146</v>
      </c>
      <c r="M289" s="48"/>
      <c r="N289" s="35"/>
      <c r="O289" s="81" t="s">
        <v>31</v>
      </c>
      <c r="P289" s="228">
        <f t="shared" si="33"/>
        <v>165</v>
      </c>
      <c r="Q289" s="36" t="s">
        <v>146</v>
      </c>
      <c r="R289" s="235" t="e">
        <f t="shared" ca="1" si="37"/>
        <v>#N/A</v>
      </c>
      <c r="S289" s="36" t="s">
        <v>35</v>
      </c>
      <c r="T289" s="83" t="s">
        <v>146</v>
      </c>
    </row>
    <row r="290" spans="1:20" x14ac:dyDescent="0.2">
      <c r="A290" s="46"/>
      <c r="B290" s="35"/>
      <c r="C290" s="81" t="s">
        <v>31</v>
      </c>
      <c r="D290" s="35">
        <f t="shared" si="35"/>
        <v>2</v>
      </c>
      <c r="F290" s="36" t="s">
        <v>146</v>
      </c>
      <c r="G290" s="235">
        <f t="shared" si="36"/>
        <v>8688.9735640066483</v>
      </c>
      <c r="H290" s="36" t="s">
        <v>35</v>
      </c>
      <c r="I290" s="83" t="s">
        <v>146</v>
      </c>
      <c r="M290" s="48"/>
      <c r="N290" s="35"/>
      <c r="O290" s="81" t="s">
        <v>31</v>
      </c>
      <c r="P290" s="228">
        <f t="shared" si="33"/>
        <v>170</v>
      </c>
      <c r="Q290" s="36" t="s">
        <v>146</v>
      </c>
      <c r="R290" s="235" t="e">
        <f t="shared" ca="1" si="37"/>
        <v>#N/A</v>
      </c>
      <c r="S290" s="36" t="s">
        <v>35</v>
      </c>
      <c r="T290" s="83" t="s">
        <v>146</v>
      </c>
    </row>
    <row r="291" spans="1:20" x14ac:dyDescent="0.2">
      <c r="A291" s="46"/>
      <c r="B291" s="35"/>
      <c r="C291" s="81" t="s">
        <v>31</v>
      </c>
      <c r="D291" s="35">
        <f t="shared" si="35"/>
        <v>3</v>
      </c>
      <c r="F291" s="36" t="s">
        <v>146</v>
      </c>
      <c r="G291" s="235">
        <f t="shared" si="36"/>
        <v>8745.1649925768743</v>
      </c>
      <c r="H291" s="36" t="s">
        <v>35</v>
      </c>
      <c r="I291" s="83" t="s">
        <v>146</v>
      </c>
      <c r="M291" s="84"/>
      <c r="N291" s="85" t="s">
        <v>35</v>
      </c>
      <c r="O291" s="86" t="s">
        <v>692</v>
      </c>
      <c r="P291" s="86"/>
      <c r="Q291" s="86"/>
      <c r="R291" s="86"/>
      <c r="S291" s="86"/>
      <c r="T291" s="87"/>
    </row>
    <row r="292" spans="1:20" x14ac:dyDescent="0.2">
      <c r="A292" s="46"/>
      <c r="B292" s="35"/>
      <c r="C292" s="81" t="s">
        <v>31</v>
      </c>
      <c r="D292" s="35">
        <f t="shared" si="35"/>
        <v>4</v>
      </c>
      <c r="F292" s="36" t="s">
        <v>146</v>
      </c>
      <c r="G292" s="235">
        <f t="shared" si="36"/>
        <v>8801.6636272237974</v>
      </c>
      <c r="H292" s="36" t="s">
        <v>35</v>
      </c>
      <c r="I292" s="83" t="s">
        <v>146</v>
      </c>
    </row>
    <row r="293" spans="1:20" x14ac:dyDescent="0.2">
      <c r="A293" s="46"/>
      <c r="B293" s="35"/>
      <c r="C293" s="81" t="s">
        <v>31</v>
      </c>
      <c r="D293" s="35">
        <f t="shared" si="35"/>
        <v>5</v>
      </c>
      <c r="F293" s="36" t="s">
        <v>146</v>
      </c>
      <c r="G293" s="235">
        <f t="shared" si="36"/>
        <v>8858.469785824951</v>
      </c>
      <c r="H293" s="36" t="s">
        <v>35</v>
      </c>
      <c r="I293" s="83" t="s">
        <v>146</v>
      </c>
    </row>
    <row r="294" spans="1:20" x14ac:dyDescent="0.2">
      <c r="A294" s="46"/>
      <c r="B294" s="35"/>
      <c r="C294" s="81" t="s">
        <v>31</v>
      </c>
      <c r="D294" s="35">
        <f t="shared" si="35"/>
        <v>6</v>
      </c>
      <c r="F294" s="36" t="s">
        <v>146</v>
      </c>
      <c r="G294" s="235">
        <f t="shared" si="36"/>
        <v>8915.5837950009554</v>
      </c>
      <c r="H294" s="36" t="s">
        <v>35</v>
      </c>
      <c r="I294" s="83" t="s">
        <v>146</v>
      </c>
    </row>
    <row r="295" spans="1:20" x14ac:dyDescent="0.2">
      <c r="A295" s="46"/>
      <c r="B295" s="35"/>
      <c r="C295" s="81" t="s">
        <v>31</v>
      </c>
      <c r="D295" s="35">
        <f t="shared" si="35"/>
        <v>7</v>
      </c>
      <c r="F295" s="36" t="s">
        <v>146</v>
      </c>
      <c r="G295" s="235">
        <f t="shared" si="36"/>
        <v>8973.0059901155346</v>
      </c>
      <c r="H295" s="36" t="s">
        <v>35</v>
      </c>
      <c r="I295" s="83" t="s">
        <v>146</v>
      </c>
    </row>
    <row r="296" spans="1:20" x14ac:dyDescent="0.2">
      <c r="A296" s="46"/>
      <c r="B296" s="35"/>
      <c r="C296" s="81" t="s">
        <v>31</v>
      </c>
      <c r="D296" s="35">
        <f t="shared" si="35"/>
        <v>8</v>
      </c>
      <c r="F296" s="36" t="s">
        <v>146</v>
      </c>
      <c r="G296" s="235">
        <f t="shared" si="36"/>
        <v>9030.7367152754996</v>
      </c>
      <c r="H296" s="36" t="s">
        <v>35</v>
      </c>
      <c r="I296" s="83" t="s">
        <v>146</v>
      </c>
    </row>
    <row r="297" spans="1:20" x14ac:dyDescent="0.2">
      <c r="A297" s="46"/>
      <c r="B297" s="35"/>
      <c r="C297" s="81" t="s">
        <v>31</v>
      </c>
      <c r="D297" s="35">
        <f t="shared" si="35"/>
        <v>9</v>
      </c>
      <c r="F297" s="36" t="s">
        <v>146</v>
      </c>
      <c r="G297" s="235">
        <f t="shared" si="36"/>
        <v>9088.7763233307523</v>
      </c>
      <c r="H297" s="36" t="s">
        <v>35</v>
      </c>
      <c r="I297" s="83" t="s">
        <v>146</v>
      </c>
    </row>
    <row r="298" spans="1:20" x14ac:dyDescent="0.2">
      <c r="A298" s="46"/>
      <c r="B298" s="35"/>
      <c r="C298" s="81" t="s">
        <v>31</v>
      </c>
      <c r="D298" s="35">
        <f t="shared" si="35"/>
        <v>10</v>
      </c>
      <c r="F298" s="36" t="s">
        <v>146</v>
      </c>
      <c r="G298" s="235">
        <f t="shared" si="36"/>
        <v>9147.1251758742856</v>
      </c>
      <c r="H298" s="36" t="s">
        <v>35</v>
      </c>
      <c r="I298" s="83" t="s">
        <v>146</v>
      </c>
    </row>
    <row r="299" spans="1:20" x14ac:dyDescent="0.2">
      <c r="A299" s="46"/>
      <c r="B299" s="35"/>
      <c r="C299" s="81" t="s">
        <v>31</v>
      </c>
      <c r="D299" s="35">
        <f t="shared" si="35"/>
        <v>11</v>
      </c>
      <c r="F299" s="36" t="s">
        <v>146</v>
      </c>
      <c r="G299" s="235">
        <f t="shared" si="36"/>
        <v>9205.7836432421918</v>
      </c>
      <c r="H299" s="36" t="s">
        <v>35</v>
      </c>
      <c r="I299" s="83" t="s">
        <v>146</v>
      </c>
    </row>
    <row r="300" spans="1:20" x14ac:dyDescent="0.2">
      <c r="A300" s="46"/>
      <c r="B300" s="35"/>
      <c r="C300" s="81" t="s">
        <v>31</v>
      </c>
      <c r="D300" s="35">
        <f t="shared" si="35"/>
        <v>12</v>
      </c>
      <c r="F300" s="36" t="s">
        <v>146</v>
      </c>
      <c r="G300" s="235">
        <f t="shared" si="36"/>
        <v>9264.7521045136491</v>
      </c>
      <c r="H300" s="36" t="s">
        <v>35</v>
      </c>
      <c r="I300" s="83" t="s">
        <v>146</v>
      </c>
    </row>
    <row r="301" spans="1:20" x14ac:dyDescent="0.2">
      <c r="A301" s="46"/>
      <c r="B301" s="35"/>
      <c r="C301" s="81" t="s">
        <v>31</v>
      </c>
      <c r="D301" s="35">
        <f t="shared" si="35"/>
        <v>13</v>
      </c>
      <c r="F301" s="36" t="s">
        <v>146</v>
      </c>
      <c r="G301" s="235">
        <f t="shared" si="36"/>
        <v>9324.0309475109261</v>
      </c>
      <c r="H301" s="36" t="s">
        <v>35</v>
      </c>
      <c r="I301" s="83" t="s">
        <v>146</v>
      </c>
    </row>
    <row r="302" spans="1:20" x14ac:dyDescent="0.2">
      <c r="A302" s="46"/>
      <c r="B302" s="35"/>
      <c r="C302" s="81" t="s">
        <v>31</v>
      </c>
      <c r="D302" s="35">
        <f t="shared" si="35"/>
        <v>14</v>
      </c>
      <c r="F302" s="36" t="s">
        <v>146</v>
      </c>
      <c r="G302" s="235">
        <f t="shared" si="36"/>
        <v>9383.6205687993952</v>
      </c>
      <c r="H302" s="36" t="s">
        <v>35</v>
      </c>
      <c r="I302" s="83" t="s">
        <v>146</v>
      </c>
    </row>
    <row r="303" spans="1:20" x14ac:dyDescent="0.2">
      <c r="A303" s="46"/>
      <c r="B303" s="35"/>
      <c r="C303" s="81" t="s">
        <v>31</v>
      </c>
      <c r="D303" s="35">
        <f t="shared" si="35"/>
        <v>15</v>
      </c>
      <c r="F303" s="36" t="s">
        <v>146</v>
      </c>
      <c r="G303" s="235">
        <f t="shared" si="36"/>
        <v>9443.5213736875103</v>
      </c>
      <c r="H303" s="36" t="s">
        <v>35</v>
      </c>
      <c r="I303" s="83" t="s">
        <v>146</v>
      </c>
    </row>
    <row r="304" spans="1:20" x14ac:dyDescent="0.2">
      <c r="A304" s="46"/>
      <c r="B304" s="35"/>
      <c r="C304" s="81" t="s">
        <v>31</v>
      </c>
      <c r="D304" s="35">
        <f t="shared" si="35"/>
        <v>16</v>
      </c>
      <c r="F304" s="36" t="s">
        <v>146</v>
      </c>
      <c r="G304" s="235">
        <f t="shared" si="36"/>
        <v>9503.7337762268198</v>
      </c>
      <c r="H304" s="36" t="s">
        <v>35</v>
      </c>
      <c r="I304" s="83" t="s">
        <v>146</v>
      </c>
    </row>
    <row r="305" spans="1:9" x14ac:dyDescent="0.2">
      <c r="A305" s="46"/>
      <c r="B305" s="35"/>
      <c r="C305" s="81" t="s">
        <v>31</v>
      </c>
      <c r="D305" s="35">
        <f t="shared" si="35"/>
        <v>17</v>
      </c>
      <c r="F305" s="36" t="s">
        <v>146</v>
      </c>
      <c r="G305" s="235">
        <f t="shared" si="36"/>
        <v>9564.2581992119649</v>
      </c>
      <c r="H305" s="36" t="s">
        <v>35</v>
      </c>
      <c r="I305" s="83" t="s">
        <v>146</v>
      </c>
    </row>
    <row r="306" spans="1:9" x14ac:dyDescent="0.2">
      <c r="A306" s="46"/>
      <c r="B306" s="35"/>
      <c r="C306" s="81" t="s">
        <v>31</v>
      </c>
      <c r="D306" s="35">
        <f t="shared" si="35"/>
        <v>18</v>
      </c>
      <c r="F306" s="36" t="s">
        <v>146</v>
      </c>
      <c r="G306" s="235">
        <f t="shared" si="36"/>
        <v>9625.0950741806828</v>
      </c>
      <c r="H306" s="36" t="s">
        <v>35</v>
      </c>
      <c r="I306" s="83" t="s">
        <v>146</v>
      </c>
    </row>
    <row r="307" spans="1:9" x14ac:dyDescent="0.2">
      <c r="A307" s="46"/>
      <c r="B307" s="35"/>
      <c r="C307" s="81" t="s">
        <v>31</v>
      </c>
      <c r="D307" s="35">
        <f t="shared" si="35"/>
        <v>19</v>
      </c>
      <c r="F307" s="36" t="s">
        <v>146</v>
      </c>
      <c r="G307" s="235">
        <f t="shared" si="36"/>
        <v>9686.2448414137998</v>
      </c>
      <c r="H307" s="36" t="s">
        <v>35</v>
      </c>
      <c r="I307" s="83" t="s">
        <v>146</v>
      </c>
    </row>
    <row r="308" spans="1:9" x14ac:dyDescent="0.2">
      <c r="A308" s="46"/>
      <c r="B308" s="35"/>
      <c r="C308" s="81" t="s">
        <v>31</v>
      </c>
      <c r="D308" s="35">
        <f t="shared" si="35"/>
        <v>20</v>
      </c>
      <c r="F308" s="36" t="s">
        <v>146</v>
      </c>
      <c r="G308" s="235">
        <f t="shared" si="36"/>
        <v>9747.707949935233</v>
      </c>
      <c r="H308" s="36" t="s">
        <v>35</v>
      </c>
      <c r="I308" s="83" t="s">
        <v>146</v>
      </c>
    </row>
    <row r="309" spans="1:9" x14ac:dyDescent="0.2">
      <c r="A309" s="46"/>
      <c r="B309" s="35"/>
      <c r="C309" s="81" t="s">
        <v>31</v>
      </c>
      <c r="D309" s="35">
        <f t="shared" si="35"/>
        <v>21</v>
      </c>
      <c r="F309" s="36" t="s">
        <v>146</v>
      </c>
      <c r="G309" s="235">
        <f t="shared" si="36"/>
        <v>9809.4848575119941</v>
      </c>
      <c r="H309" s="36" t="s">
        <v>35</v>
      </c>
      <c r="I309" s="83" t="s">
        <v>146</v>
      </c>
    </row>
    <row r="310" spans="1:9" x14ac:dyDescent="0.2">
      <c r="A310" s="46"/>
      <c r="B310" s="35"/>
      <c r="C310" s="81" t="s">
        <v>31</v>
      </c>
      <c r="D310" s="35">
        <f t="shared" si="35"/>
        <v>22</v>
      </c>
      <c r="F310" s="36" t="s">
        <v>146</v>
      </c>
      <c r="G310" s="235">
        <f t="shared" si="36"/>
        <v>9871.576030654187</v>
      </c>
      <c r="H310" s="36" t="s">
        <v>35</v>
      </c>
      <c r="I310" s="83" t="s">
        <v>146</v>
      </c>
    </row>
    <row r="311" spans="1:9" x14ac:dyDescent="0.2">
      <c r="A311" s="46"/>
      <c r="B311" s="35"/>
      <c r="C311" s="81" t="s">
        <v>31</v>
      </c>
      <c r="D311" s="35">
        <f t="shared" si="35"/>
        <v>23</v>
      </c>
      <c r="F311" s="36" t="s">
        <v>146</v>
      </c>
      <c r="G311" s="235">
        <f t="shared" si="36"/>
        <v>9933.9819446150068</v>
      </c>
      <c r="H311" s="36" t="s">
        <v>35</v>
      </c>
      <c r="I311" s="83" t="s">
        <v>146</v>
      </c>
    </row>
    <row r="312" spans="1:9" x14ac:dyDescent="0.2">
      <c r="A312" s="46"/>
      <c r="B312" s="35"/>
      <c r="C312" s="81" t="s">
        <v>31</v>
      </c>
      <c r="D312" s="35">
        <f t="shared" ref="D312:D343" si="38">B84</f>
        <v>24</v>
      </c>
      <c r="F312" s="36" t="s">
        <v>146</v>
      </c>
      <c r="G312" s="235">
        <f t="shared" ref="G312:G343" si="39">D84</f>
        <v>9996.7030833907429</v>
      </c>
      <c r="H312" s="36" t="s">
        <v>35</v>
      </c>
      <c r="I312" s="83" t="s">
        <v>146</v>
      </c>
    </row>
    <row r="313" spans="1:9" x14ac:dyDescent="0.2">
      <c r="A313" s="46"/>
      <c r="B313" s="35"/>
      <c r="C313" s="81" t="s">
        <v>31</v>
      </c>
      <c r="D313" s="35">
        <f t="shared" si="38"/>
        <v>25</v>
      </c>
      <c r="F313" s="36" t="s">
        <v>146</v>
      </c>
      <c r="G313" s="235">
        <f t="shared" si="39"/>
        <v>10059.739939720781</v>
      </c>
      <c r="H313" s="36" t="s">
        <v>35</v>
      </c>
      <c r="I313" s="83" t="s">
        <v>146</v>
      </c>
    </row>
    <row r="314" spans="1:9" x14ac:dyDescent="0.2">
      <c r="A314" s="46"/>
      <c r="B314" s="35"/>
      <c r="C314" s="81" t="s">
        <v>31</v>
      </c>
      <c r="D314" s="35">
        <f t="shared" si="38"/>
        <v>26</v>
      </c>
      <c r="F314" s="36" t="s">
        <v>146</v>
      </c>
      <c r="G314" s="235">
        <f t="shared" si="39"/>
        <v>10123.093015087585</v>
      </c>
      <c r="H314" s="36" t="s">
        <v>35</v>
      </c>
      <c r="I314" s="83" t="s">
        <v>146</v>
      </c>
    </row>
    <row r="315" spans="1:9" x14ac:dyDescent="0.2">
      <c r="A315" s="46"/>
      <c r="B315" s="35"/>
      <c r="C315" s="81" t="s">
        <v>31</v>
      </c>
      <c r="D315" s="35">
        <f t="shared" si="38"/>
        <v>27</v>
      </c>
      <c r="F315" s="36" t="s">
        <v>146</v>
      </c>
      <c r="G315" s="235">
        <f t="shared" si="39"/>
        <v>10186.762819716723</v>
      </c>
      <c r="H315" s="36" t="s">
        <v>35</v>
      </c>
      <c r="I315" s="83" t="s">
        <v>146</v>
      </c>
    </row>
    <row r="316" spans="1:9" x14ac:dyDescent="0.2">
      <c r="A316" s="46"/>
      <c r="B316" s="35"/>
      <c r="C316" s="81" t="s">
        <v>31</v>
      </c>
      <c r="D316" s="35">
        <f t="shared" si="38"/>
        <v>28</v>
      </c>
      <c r="F316" s="36" t="s">
        <v>146</v>
      </c>
      <c r="G316" s="235">
        <f t="shared" si="39"/>
        <v>10250.749872576858</v>
      </c>
      <c r="H316" s="36" t="s">
        <v>35</v>
      </c>
      <c r="I316" s="83" t="s">
        <v>146</v>
      </c>
    </row>
    <row r="317" spans="1:9" x14ac:dyDescent="0.2">
      <c r="A317" s="46"/>
      <c r="B317" s="35"/>
      <c r="C317" s="81" t="s">
        <v>31</v>
      </c>
      <c r="D317" s="35">
        <f t="shared" si="38"/>
        <v>29</v>
      </c>
      <c r="F317" s="36" t="s">
        <v>146</v>
      </c>
      <c r="G317" s="235">
        <f t="shared" si="39"/>
        <v>10315.054701379731</v>
      </c>
      <c r="H317" s="36" t="s">
        <v>35</v>
      </c>
      <c r="I317" s="83" t="s">
        <v>146</v>
      </c>
    </row>
    <row r="318" spans="1:9" x14ac:dyDescent="0.2">
      <c r="A318" s="46"/>
      <c r="B318" s="35"/>
      <c r="C318" s="81" t="s">
        <v>31</v>
      </c>
      <c r="D318" s="35">
        <f t="shared" si="38"/>
        <v>30</v>
      </c>
      <c r="F318" s="36" t="s">
        <v>146</v>
      </c>
      <c r="G318" s="235">
        <f t="shared" si="39"/>
        <v>10379.677842580193</v>
      </c>
      <c r="H318" s="36" t="s">
        <v>35</v>
      </c>
      <c r="I318" s="83" t="s">
        <v>146</v>
      </c>
    </row>
    <row r="319" spans="1:9" x14ac:dyDescent="0.2">
      <c r="A319" s="46"/>
      <c r="B319" s="35"/>
      <c r="C319" s="81" t="s">
        <v>31</v>
      </c>
      <c r="D319" s="35">
        <f t="shared" si="38"/>
        <v>31</v>
      </c>
      <c r="F319" s="36" t="s">
        <v>146</v>
      </c>
      <c r="G319" s="235">
        <f t="shared" si="39"/>
        <v>10444.619841376174</v>
      </c>
      <c r="H319" s="36" t="s">
        <v>35</v>
      </c>
      <c r="I319" s="83" t="s">
        <v>146</v>
      </c>
    </row>
    <row r="320" spans="1:9" x14ac:dyDescent="0.2">
      <c r="A320" s="46"/>
      <c r="B320" s="35"/>
      <c r="C320" s="81" t="s">
        <v>31</v>
      </c>
      <c r="D320" s="35">
        <f t="shared" si="38"/>
        <v>32</v>
      </c>
      <c r="F320" s="36" t="s">
        <v>146</v>
      </c>
      <c r="G320" s="235">
        <f t="shared" si="39"/>
        <v>10509.881251708703</v>
      </c>
      <c r="H320" s="36" t="s">
        <v>35</v>
      </c>
      <c r="I320" s="83" t="s">
        <v>146</v>
      </c>
    </row>
    <row r="321" spans="1:9" x14ac:dyDescent="0.2">
      <c r="A321" s="46"/>
      <c r="B321" s="35"/>
      <c r="C321" s="81" t="s">
        <v>31</v>
      </c>
      <c r="D321" s="35">
        <f t="shared" si="38"/>
        <v>33</v>
      </c>
      <c r="F321" s="36" t="s">
        <v>146</v>
      </c>
      <c r="G321" s="235">
        <f t="shared" si="39"/>
        <v>10575.4626362619</v>
      </c>
      <c r="H321" s="36" t="s">
        <v>35</v>
      </c>
      <c r="I321" s="83" t="s">
        <v>146</v>
      </c>
    </row>
    <row r="322" spans="1:9" x14ac:dyDescent="0.2">
      <c r="A322" s="46"/>
      <c r="B322" s="35"/>
      <c r="C322" s="81" t="s">
        <v>31</v>
      </c>
      <c r="D322" s="35">
        <f t="shared" si="38"/>
        <v>34</v>
      </c>
      <c r="F322" s="36" t="s">
        <v>146</v>
      </c>
      <c r="G322" s="235">
        <f t="shared" si="39"/>
        <v>10641.364566462973</v>
      </c>
      <c r="H322" s="36" t="s">
        <v>35</v>
      </c>
      <c r="I322" s="83" t="s">
        <v>146</v>
      </c>
    </row>
    <row r="323" spans="1:9" x14ac:dyDescent="0.2">
      <c r="A323" s="46"/>
      <c r="B323" s="35"/>
      <c r="C323" s="81" t="s">
        <v>31</v>
      </c>
      <c r="D323" s="35">
        <f t="shared" si="38"/>
        <v>35</v>
      </c>
      <c r="F323" s="36" t="s">
        <v>146</v>
      </c>
      <c r="G323" s="235">
        <f t="shared" si="39"/>
        <v>10707.587622482231</v>
      </c>
      <c r="H323" s="36" t="s">
        <v>35</v>
      </c>
      <c r="I323" s="83" t="s">
        <v>146</v>
      </c>
    </row>
    <row r="324" spans="1:9" x14ac:dyDescent="0.2">
      <c r="A324" s="46"/>
      <c r="B324" s="35"/>
      <c r="C324" s="81" t="s">
        <v>31</v>
      </c>
      <c r="D324" s="35">
        <f t="shared" si="38"/>
        <v>36</v>
      </c>
      <c r="F324" s="36" t="s">
        <v>146</v>
      </c>
      <c r="G324" s="235">
        <f t="shared" si="39"/>
        <v>10774.132393233067</v>
      </c>
      <c r="H324" s="36" t="s">
        <v>35</v>
      </c>
      <c r="I324" s="83" t="s">
        <v>146</v>
      </c>
    </row>
    <row r="325" spans="1:9" x14ac:dyDescent="0.2">
      <c r="A325" s="46"/>
      <c r="B325" s="35"/>
      <c r="C325" s="81" t="s">
        <v>31</v>
      </c>
      <c r="D325" s="35">
        <f t="shared" si="38"/>
        <v>37</v>
      </c>
      <c r="F325" s="36" t="s">
        <v>146</v>
      </c>
      <c r="G325" s="235">
        <f t="shared" si="39"/>
        <v>10840.999476371971</v>
      </c>
      <c r="H325" s="36" t="s">
        <v>35</v>
      </c>
      <c r="I325" s="83" t="s">
        <v>146</v>
      </c>
    </row>
    <row r="326" spans="1:9" x14ac:dyDescent="0.2">
      <c r="A326" s="46"/>
      <c r="B326" s="35"/>
      <c r="C326" s="81" t="s">
        <v>31</v>
      </c>
      <c r="D326" s="35">
        <f t="shared" si="38"/>
        <v>38</v>
      </c>
      <c r="F326" s="36" t="s">
        <v>146</v>
      </c>
      <c r="G326" s="235">
        <f t="shared" si="39"/>
        <v>10908.189478298526</v>
      </c>
      <c r="H326" s="36" t="s">
        <v>35</v>
      </c>
      <c r="I326" s="83" t="s">
        <v>146</v>
      </c>
    </row>
    <row r="327" spans="1:9" x14ac:dyDescent="0.2">
      <c r="A327" s="46"/>
      <c r="B327" s="35"/>
      <c r="C327" s="81" t="s">
        <v>31</v>
      </c>
      <c r="D327" s="35">
        <f t="shared" si="38"/>
        <v>39</v>
      </c>
      <c r="F327" s="36" t="s">
        <v>146</v>
      </c>
      <c r="G327" s="235">
        <f t="shared" si="39"/>
        <v>10975.703014155399</v>
      </c>
      <c r="H327" s="36" t="s">
        <v>35</v>
      </c>
      <c r="I327" s="83" t="s">
        <v>146</v>
      </c>
    </row>
    <row r="328" spans="1:9" x14ac:dyDescent="0.2">
      <c r="A328" s="46"/>
      <c r="B328" s="35"/>
      <c r="C328" s="81" t="s">
        <v>31</v>
      </c>
      <c r="D328" s="35">
        <f t="shared" si="38"/>
        <v>40</v>
      </c>
      <c r="F328" s="36" t="s">
        <v>146</v>
      </c>
      <c r="G328" s="235">
        <f t="shared" si="39"/>
        <v>11043.540707828366</v>
      </c>
      <c r="H328" s="36" t="s">
        <v>35</v>
      </c>
      <c r="I328" s="83" t="s">
        <v>146</v>
      </c>
    </row>
    <row r="329" spans="1:9" x14ac:dyDescent="0.2">
      <c r="A329" s="46"/>
      <c r="B329" s="35"/>
      <c r="C329" s="81" t="s">
        <v>31</v>
      </c>
      <c r="D329" s="35">
        <f t="shared" si="38"/>
        <v>41</v>
      </c>
      <c r="F329" s="36" t="s">
        <v>146</v>
      </c>
      <c r="G329" s="235">
        <f t="shared" si="39"/>
        <v>11111.703191946277</v>
      </c>
      <c r="H329" s="36" t="s">
        <v>35</v>
      </c>
      <c r="I329" s="83" t="s">
        <v>146</v>
      </c>
    </row>
    <row r="330" spans="1:9" x14ac:dyDescent="0.2">
      <c r="A330" s="46"/>
      <c r="B330" s="35"/>
      <c r="C330" s="81" t="s">
        <v>31</v>
      </c>
      <c r="D330" s="35">
        <f t="shared" si="38"/>
        <v>42</v>
      </c>
      <c r="F330" s="36" t="s">
        <v>146</v>
      </c>
      <c r="G330" s="235">
        <f t="shared" si="39"/>
        <v>11180.191107881083</v>
      </c>
      <c r="H330" s="36" t="s">
        <v>35</v>
      </c>
      <c r="I330" s="83" t="s">
        <v>146</v>
      </c>
    </row>
    <row r="331" spans="1:9" x14ac:dyDescent="0.2">
      <c r="A331" s="46"/>
      <c r="B331" s="35"/>
      <c r="C331" s="81" t="s">
        <v>31</v>
      </c>
      <c r="D331" s="35">
        <f t="shared" si="38"/>
        <v>43</v>
      </c>
      <c r="F331" s="36" t="s">
        <v>146</v>
      </c>
      <c r="G331" s="235">
        <f t="shared" si="39"/>
        <v>11249.005105747832</v>
      </c>
      <c r="H331" s="36" t="s">
        <v>35</v>
      </c>
      <c r="I331" s="83" t="s">
        <v>146</v>
      </c>
    </row>
    <row r="332" spans="1:9" x14ac:dyDescent="0.2">
      <c r="A332" s="46"/>
      <c r="B332" s="35"/>
      <c r="C332" s="81" t="s">
        <v>31</v>
      </c>
      <c r="D332" s="35">
        <f t="shared" si="38"/>
        <v>44</v>
      </c>
      <c r="F332" s="36" t="s">
        <v>146</v>
      </c>
      <c r="G332" s="235">
        <f t="shared" si="39"/>
        <v>11318.145844404657</v>
      </c>
      <c r="H332" s="36" t="s">
        <v>35</v>
      </c>
      <c r="I332" s="83" t="s">
        <v>146</v>
      </c>
    </row>
    <row r="333" spans="1:9" x14ac:dyDescent="0.2">
      <c r="A333" s="46"/>
      <c r="B333" s="35"/>
      <c r="C333" s="81" t="s">
        <v>31</v>
      </c>
      <c r="D333" s="35">
        <f t="shared" si="38"/>
        <v>45</v>
      </c>
      <c r="F333" s="36" t="s">
        <v>146</v>
      </c>
      <c r="G333" s="235">
        <f t="shared" si="39"/>
        <v>11387.613991452783</v>
      </c>
      <c r="H333" s="36" t="s">
        <v>35</v>
      </c>
      <c r="I333" s="83" t="s">
        <v>146</v>
      </c>
    </row>
    <row r="334" spans="1:9" x14ac:dyDescent="0.2">
      <c r="A334" s="46"/>
      <c r="B334" s="35"/>
      <c r="C334" s="81" t="s">
        <v>31</v>
      </c>
      <c r="D334" s="35">
        <f t="shared" si="38"/>
        <v>46</v>
      </c>
      <c r="F334" s="36" t="s">
        <v>146</v>
      </c>
      <c r="G334" s="235">
        <f t="shared" si="39"/>
        <v>11457.410223236533</v>
      </c>
      <c r="H334" s="36" t="s">
        <v>35</v>
      </c>
      <c r="I334" s="83" t="s">
        <v>146</v>
      </c>
    </row>
    <row r="335" spans="1:9" x14ac:dyDescent="0.2">
      <c r="A335" s="46"/>
      <c r="B335" s="35"/>
      <c r="C335" s="81" t="s">
        <v>31</v>
      </c>
      <c r="D335" s="35">
        <f t="shared" si="38"/>
        <v>47</v>
      </c>
      <c r="F335" s="36" t="s">
        <v>146</v>
      </c>
      <c r="G335" s="235">
        <f t="shared" si="39"/>
        <v>11527.535224843319</v>
      </c>
      <c r="H335" s="36" t="s">
        <v>35</v>
      </c>
      <c r="I335" s="83" t="s">
        <v>146</v>
      </c>
    </row>
    <row r="336" spans="1:9" x14ac:dyDescent="0.2">
      <c r="A336" s="46"/>
      <c r="B336" s="35"/>
      <c r="C336" s="81" t="s">
        <v>31</v>
      </c>
      <c r="D336" s="35">
        <f t="shared" si="38"/>
        <v>48</v>
      </c>
      <c r="F336" s="36" t="s">
        <v>146</v>
      </c>
      <c r="G336" s="235">
        <f t="shared" si="39"/>
        <v>11597.989690103641</v>
      </c>
      <c r="H336" s="36" t="s">
        <v>35</v>
      </c>
      <c r="I336" s="83" t="s">
        <v>146</v>
      </c>
    </row>
    <row r="337" spans="1:9" x14ac:dyDescent="0.2">
      <c r="A337" s="46"/>
      <c r="B337" s="35"/>
      <c r="C337" s="81" t="s">
        <v>31</v>
      </c>
      <c r="D337" s="35">
        <f t="shared" si="38"/>
        <v>49</v>
      </c>
      <c r="F337" s="36" t="s">
        <v>146</v>
      </c>
      <c r="G337" s="235">
        <f t="shared" si="39"/>
        <v>11668.774321591101</v>
      </c>
      <c r="H337" s="36" t="s">
        <v>35</v>
      </c>
      <c r="I337" s="83" t="s">
        <v>146</v>
      </c>
    </row>
    <row r="338" spans="1:9" x14ac:dyDescent="0.2">
      <c r="A338" s="46"/>
      <c r="B338" s="35"/>
      <c r="C338" s="81" t="s">
        <v>31</v>
      </c>
      <c r="D338" s="35">
        <f t="shared" si="38"/>
        <v>50</v>
      </c>
      <c r="F338" s="36" t="s">
        <v>146</v>
      </c>
      <c r="G338" s="235">
        <f t="shared" si="39"/>
        <v>11739.889830622387</v>
      </c>
      <c r="H338" s="36" t="s">
        <v>35</v>
      </c>
      <c r="I338" s="83" t="s">
        <v>146</v>
      </c>
    </row>
    <row r="339" spans="1:9" x14ac:dyDescent="0.2">
      <c r="A339" s="46"/>
      <c r="B339" s="35"/>
      <c r="C339" s="81" t="s">
        <v>31</v>
      </c>
      <c r="D339" s="35">
        <f t="shared" si="38"/>
        <v>51</v>
      </c>
      <c r="F339" s="36" t="s">
        <v>146</v>
      </c>
      <c r="G339" s="235">
        <f t="shared" si="39"/>
        <v>11811.336937257283</v>
      </c>
      <c r="H339" s="36" t="s">
        <v>35</v>
      </c>
      <c r="I339" s="83" t="s">
        <v>146</v>
      </c>
    </row>
    <row r="340" spans="1:9" x14ac:dyDescent="0.2">
      <c r="A340" s="46"/>
      <c r="B340" s="35"/>
      <c r="C340" s="81" t="s">
        <v>31</v>
      </c>
      <c r="D340" s="35">
        <f t="shared" si="38"/>
        <v>52</v>
      </c>
      <c r="F340" s="36" t="s">
        <v>146</v>
      </c>
      <c r="G340" s="235">
        <f t="shared" si="39"/>
        <v>11883.116370298658</v>
      </c>
      <c r="H340" s="36" t="s">
        <v>35</v>
      </c>
      <c r="I340" s="83" t="s">
        <v>146</v>
      </c>
    </row>
    <row r="341" spans="1:9" x14ac:dyDescent="0.2">
      <c r="A341" s="46"/>
      <c r="B341" s="35"/>
      <c r="C341" s="81" t="s">
        <v>31</v>
      </c>
      <c r="D341" s="35">
        <f t="shared" si="38"/>
        <v>53</v>
      </c>
      <c r="F341" s="36" t="s">
        <v>146</v>
      </c>
      <c r="G341" s="235">
        <f t="shared" si="39"/>
        <v>11955.228867292482</v>
      </c>
      <c r="H341" s="36" t="s">
        <v>35</v>
      </c>
      <c r="I341" s="83" t="s">
        <v>146</v>
      </c>
    </row>
    <row r="342" spans="1:9" x14ac:dyDescent="0.2">
      <c r="A342" s="46"/>
      <c r="B342" s="35"/>
      <c r="C342" s="81" t="s">
        <v>31</v>
      </c>
      <c r="D342" s="35">
        <f t="shared" si="38"/>
        <v>54</v>
      </c>
      <c r="F342" s="36" t="s">
        <v>146</v>
      </c>
      <c r="G342" s="235">
        <f t="shared" si="39"/>
        <v>12027.675174527814</v>
      </c>
      <c r="H342" s="36" t="s">
        <v>35</v>
      </c>
      <c r="I342" s="83" t="s">
        <v>146</v>
      </c>
    </row>
    <row r="343" spans="1:9" x14ac:dyDescent="0.2">
      <c r="A343" s="46"/>
      <c r="B343" s="35"/>
      <c r="C343" s="81" t="s">
        <v>31</v>
      </c>
      <c r="D343" s="35">
        <f t="shared" si="38"/>
        <v>55</v>
      </c>
      <c r="F343" s="36" t="s">
        <v>146</v>
      </c>
      <c r="G343" s="235">
        <f t="shared" si="39"/>
        <v>12100.456047036801</v>
      </c>
      <c r="H343" s="36" t="s">
        <v>35</v>
      </c>
      <c r="I343" s="83" t="s">
        <v>146</v>
      </c>
    </row>
    <row r="344" spans="1:9" x14ac:dyDescent="0.2">
      <c r="A344" s="46"/>
      <c r="B344" s="35"/>
      <c r="C344" s="81" t="s">
        <v>31</v>
      </c>
      <c r="D344" s="35">
        <f t="shared" ref="D344:D375" si="40">B116</f>
        <v>56</v>
      </c>
      <c r="F344" s="36" t="s">
        <v>146</v>
      </c>
      <c r="G344" s="235">
        <f t="shared" ref="G344:G375" si="41">D116</f>
        <v>12173.572248594688</v>
      </c>
      <c r="H344" s="36" t="s">
        <v>35</v>
      </c>
      <c r="I344" s="83" t="s">
        <v>146</v>
      </c>
    </row>
    <row r="345" spans="1:9" x14ac:dyDescent="0.2">
      <c r="A345" s="46"/>
      <c r="B345" s="35"/>
      <c r="C345" s="81" t="s">
        <v>31</v>
      </c>
      <c r="D345" s="35">
        <f t="shared" si="40"/>
        <v>57</v>
      </c>
      <c r="F345" s="36" t="s">
        <v>146</v>
      </c>
      <c r="G345" s="235">
        <f t="shared" si="41"/>
        <v>12247.024551719816</v>
      </c>
      <c r="H345" s="36" t="s">
        <v>35</v>
      </c>
      <c r="I345" s="83" t="s">
        <v>146</v>
      </c>
    </row>
    <row r="346" spans="1:9" x14ac:dyDescent="0.2">
      <c r="A346" s="46"/>
      <c r="B346" s="35"/>
      <c r="C346" s="81" t="s">
        <v>31</v>
      </c>
      <c r="D346" s="35">
        <f t="shared" si="40"/>
        <v>58</v>
      </c>
      <c r="F346" s="36" t="s">
        <v>146</v>
      </c>
      <c r="G346" s="235">
        <f t="shared" si="41"/>
        <v>12320.813737673605</v>
      </c>
      <c r="H346" s="36" t="s">
        <v>35</v>
      </c>
      <c r="I346" s="83" t="s">
        <v>146</v>
      </c>
    </row>
    <row r="347" spans="1:9" x14ac:dyDescent="0.2">
      <c r="A347" s="46"/>
      <c r="B347" s="35"/>
      <c r="C347" s="81" t="s">
        <v>31</v>
      </c>
      <c r="D347" s="35">
        <f t="shared" si="40"/>
        <v>59</v>
      </c>
      <c r="F347" s="36" t="s">
        <v>146</v>
      </c>
      <c r="G347" s="235">
        <f t="shared" si="41"/>
        <v>12394.940596460579</v>
      </c>
      <c r="H347" s="36" t="s">
        <v>35</v>
      </c>
      <c r="I347" s="83" t="s">
        <v>146</v>
      </c>
    </row>
    <row r="348" spans="1:9" x14ac:dyDescent="0.2">
      <c r="A348" s="46"/>
      <c r="B348" s="35"/>
      <c r="C348" s="81" t="s">
        <v>31</v>
      </c>
      <c r="D348" s="35">
        <f t="shared" si="40"/>
        <v>60</v>
      </c>
      <c r="F348" s="36" t="s">
        <v>146</v>
      </c>
      <c r="G348" s="235">
        <f t="shared" si="41"/>
        <v>12469.405926828353</v>
      </c>
      <c r="H348" s="36" t="s">
        <v>35</v>
      </c>
      <c r="I348" s="83" t="s">
        <v>146</v>
      </c>
    </row>
    <row r="349" spans="1:9" x14ac:dyDescent="0.2">
      <c r="A349" s="46"/>
      <c r="B349" s="35"/>
      <c r="C349" s="81" t="s">
        <v>31</v>
      </c>
      <c r="D349" s="35">
        <f t="shared" si="40"/>
        <v>61</v>
      </c>
      <c r="F349" s="36" t="s">
        <v>146</v>
      </c>
      <c r="G349" s="235">
        <f t="shared" si="41"/>
        <v>12544.21053626763</v>
      </c>
      <c r="H349" s="36" t="s">
        <v>35</v>
      </c>
      <c r="I349" s="83" t="s">
        <v>146</v>
      </c>
    </row>
    <row r="350" spans="1:9" x14ac:dyDescent="0.2">
      <c r="A350" s="46"/>
      <c r="B350" s="35"/>
      <c r="C350" s="81" t="s">
        <v>31</v>
      </c>
      <c r="D350" s="35">
        <f t="shared" si="40"/>
        <v>62</v>
      </c>
      <c r="F350" s="36" t="s">
        <v>146</v>
      </c>
      <c r="G350" s="235">
        <f t="shared" si="41"/>
        <v>12619.355241012207</v>
      </c>
      <c r="H350" s="36" t="s">
        <v>35</v>
      </c>
      <c r="I350" s="83" t="s">
        <v>146</v>
      </c>
    </row>
    <row r="351" spans="1:9" x14ac:dyDescent="0.2">
      <c r="A351" s="46"/>
      <c r="B351" s="35"/>
      <c r="C351" s="81" t="s">
        <v>31</v>
      </c>
      <c r="D351" s="35">
        <f t="shared" si="40"/>
        <v>63</v>
      </c>
      <c r="F351" s="36" t="s">
        <v>146</v>
      </c>
      <c r="G351" s="235">
        <f t="shared" si="41"/>
        <v>12694.840866038974</v>
      </c>
      <c r="H351" s="36" t="s">
        <v>35</v>
      </c>
      <c r="I351" s="83" t="s">
        <v>146</v>
      </c>
    </row>
    <row r="352" spans="1:9" x14ac:dyDescent="0.2">
      <c r="A352" s="46"/>
      <c r="B352" s="35"/>
      <c r="C352" s="81" t="s">
        <v>31</v>
      </c>
      <c r="D352" s="35">
        <f t="shared" si="40"/>
        <v>64</v>
      </c>
      <c r="F352" s="36" t="s">
        <v>146</v>
      </c>
      <c r="G352" s="235">
        <f t="shared" si="41"/>
        <v>12770.668245067913</v>
      </c>
      <c r="H352" s="36" t="s">
        <v>35</v>
      </c>
      <c r="I352" s="83" t="s">
        <v>146</v>
      </c>
    </row>
    <row r="353" spans="1:9" x14ac:dyDescent="0.2">
      <c r="A353" s="46"/>
      <c r="B353" s="35"/>
      <c r="C353" s="81" t="s">
        <v>31</v>
      </c>
      <c r="D353" s="35">
        <f t="shared" si="40"/>
        <v>65</v>
      </c>
      <c r="F353" s="36" t="s">
        <v>146</v>
      </c>
      <c r="G353" s="235">
        <f t="shared" si="41"/>
        <v>12846.838220562098</v>
      </c>
      <c r="H353" s="36" t="s">
        <v>35</v>
      </c>
      <c r="I353" s="83" t="s">
        <v>146</v>
      </c>
    </row>
    <row r="354" spans="1:9" x14ac:dyDescent="0.2">
      <c r="A354" s="46"/>
      <c r="B354" s="35"/>
      <c r="C354" s="81" t="s">
        <v>31</v>
      </c>
      <c r="D354" s="35">
        <f t="shared" si="40"/>
        <v>66</v>
      </c>
      <c r="F354" s="36" t="s">
        <v>146</v>
      </c>
      <c r="G354" s="235">
        <f t="shared" si="41"/>
        <v>12923.351643727698</v>
      </c>
      <c r="H354" s="36" t="s">
        <v>35</v>
      </c>
      <c r="I354" s="83" t="s">
        <v>146</v>
      </c>
    </row>
    <row r="355" spans="1:9" x14ac:dyDescent="0.2">
      <c r="A355" s="46"/>
      <c r="B355" s="35"/>
      <c r="C355" s="81" t="s">
        <v>31</v>
      </c>
      <c r="D355" s="35">
        <f t="shared" si="40"/>
        <v>67</v>
      </c>
      <c r="F355" s="36" t="s">
        <v>146</v>
      </c>
      <c r="G355" s="235">
        <f t="shared" si="41"/>
        <v>13000.209374513968</v>
      </c>
      <c r="H355" s="36" t="s">
        <v>35</v>
      </c>
      <c r="I355" s="83" t="s">
        <v>146</v>
      </c>
    </row>
    <row r="356" spans="1:9" x14ac:dyDescent="0.2">
      <c r="A356" s="46"/>
      <c r="B356" s="35"/>
      <c r="C356" s="81" t="s">
        <v>31</v>
      </c>
      <c r="D356" s="35">
        <f t="shared" si="40"/>
        <v>68</v>
      </c>
      <c r="F356" s="36" t="s">
        <v>146</v>
      </c>
      <c r="G356" s="235">
        <f t="shared" si="41"/>
        <v>13077.412281613264</v>
      </c>
      <c r="H356" s="36" t="s">
        <v>35</v>
      </c>
      <c r="I356" s="83" t="s">
        <v>146</v>
      </c>
    </row>
    <row r="357" spans="1:9" x14ac:dyDescent="0.2">
      <c r="A357" s="46"/>
      <c r="B357" s="35"/>
      <c r="C357" s="81" t="s">
        <v>31</v>
      </c>
      <c r="D357" s="35">
        <f t="shared" si="40"/>
        <v>69</v>
      </c>
      <c r="F357" s="36" t="s">
        <v>146</v>
      </c>
      <c r="G357" s="235">
        <f t="shared" si="41"/>
        <v>13154.961242461028</v>
      </c>
      <c r="H357" s="36" t="s">
        <v>35</v>
      </c>
      <c r="I357" s="83" t="s">
        <v>146</v>
      </c>
    </row>
    <row r="358" spans="1:9" x14ac:dyDescent="0.2">
      <c r="A358" s="46"/>
      <c r="B358" s="35"/>
      <c r="C358" s="81" t="s">
        <v>31</v>
      </c>
      <c r="D358" s="35">
        <f t="shared" si="40"/>
        <v>70</v>
      </c>
      <c r="F358" s="36" t="s">
        <v>146</v>
      </c>
      <c r="G358" s="235">
        <f t="shared" si="41"/>
        <v>13232.857143235797</v>
      </c>
      <c r="H358" s="36" t="s">
        <v>35</v>
      </c>
      <c r="I358" s="83" t="s">
        <v>146</v>
      </c>
    </row>
    <row r="359" spans="1:9" x14ac:dyDescent="0.2">
      <c r="A359" s="46"/>
      <c r="B359" s="35"/>
      <c r="C359" s="81" t="s">
        <v>31</v>
      </c>
      <c r="D359" s="35">
        <f t="shared" si="40"/>
        <v>71</v>
      </c>
      <c r="F359" s="36" t="s">
        <v>146</v>
      </c>
      <c r="G359" s="235">
        <f t="shared" si="41"/>
        <v>13311.100878859197</v>
      </c>
      <c r="H359" s="36" t="s">
        <v>35</v>
      </c>
      <c r="I359" s="83" t="s">
        <v>146</v>
      </c>
    </row>
    <row r="360" spans="1:9" x14ac:dyDescent="0.2">
      <c r="A360" s="46"/>
      <c r="B360" s="35"/>
      <c r="C360" s="81" t="s">
        <v>31</v>
      </c>
      <c r="D360" s="35">
        <f t="shared" si="40"/>
        <v>72</v>
      </c>
      <c r="F360" s="36" t="s">
        <v>146</v>
      </c>
      <c r="G360" s="235">
        <f t="shared" si="41"/>
        <v>13389.693352995951</v>
      </c>
      <c r="H360" s="36" t="s">
        <v>35</v>
      </c>
      <c r="I360" s="83" t="s">
        <v>146</v>
      </c>
    </row>
    <row r="361" spans="1:9" x14ac:dyDescent="0.2">
      <c r="A361" s="46"/>
      <c r="B361" s="35"/>
      <c r="C361" s="81" t="s">
        <v>31</v>
      </c>
      <c r="D361" s="35">
        <f t="shared" si="40"/>
        <v>73</v>
      </c>
      <c r="F361" s="36" t="s">
        <v>146</v>
      </c>
      <c r="G361" s="235">
        <f t="shared" si="41"/>
        <v>13468.635478053871</v>
      </c>
      <c r="H361" s="36" t="s">
        <v>35</v>
      </c>
      <c r="I361" s="83" t="s">
        <v>146</v>
      </c>
    </row>
    <row r="362" spans="1:9" x14ac:dyDescent="0.2">
      <c r="A362" s="46"/>
      <c r="B362" s="35"/>
      <c r="C362" s="81" t="s">
        <v>31</v>
      </c>
      <c r="D362" s="35">
        <f t="shared" si="40"/>
        <v>74</v>
      </c>
      <c r="F362" s="36" t="s">
        <v>146</v>
      </c>
      <c r="G362" s="235">
        <f t="shared" si="41"/>
        <v>13547.928175183866</v>
      </c>
      <c r="H362" s="36" t="s">
        <v>35</v>
      </c>
      <c r="I362" s="83" t="s">
        <v>146</v>
      </c>
    </row>
    <row r="363" spans="1:9" x14ac:dyDescent="0.2">
      <c r="A363" s="46"/>
      <c r="B363" s="35"/>
      <c r="C363" s="81" t="s">
        <v>31</v>
      </c>
      <c r="D363" s="35">
        <f t="shared" si="40"/>
        <v>75</v>
      </c>
      <c r="F363" s="36" t="s">
        <v>146</v>
      </c>
      <c r="G363" s="235">
        <f t="shared" si="41"/>
        <v>13627.572374279933</v>
      </c>
      <c r="H363" s="36" t="s">
        <v>35</v>
      </c>
      <c r="I363" s="83" t="s">
        <v>146</v>
      </c>
    </row>
    <row r="364" spans="1:9" x14ac:dyDescent="0.2">
      <c r="A364" s="46"/>
      <c r="B364" s="35"/>
      <c r="C364" s="81" t="s">
        <v>31</v>
      </c>
      <c r="D364" s="35">
        <f t="shared" si="40"/>
        <v>76</v>
      </c>
      <c r="F364" s="36" t="s">
        <v>146</v>
      </c>
      <c r="G364" s="235">
        <f t="shared" si="41"/>
        <v>13707.569013979157</v>
      </c>
      <c r="H364" s="36" t="s">
        <v>35</v>
      </c>
      <c r="I364" s="83" t="s">
        <v>146</v>
      </c>
    </row>
    <row r="365" spans="1:9" x14ac:dyDescent="0.2">
      <c r="A365" s="46"/>
      <c r="B365" s="35"/>
      <c r="C365" s="81" t="s">
        <v>31</v>
      </c>
      <c r="D365" s="35">
        <f t="shared" si="40"/>
        <v>77</v>
      </c>
      <c r="F365" s="36" t="s">
        <v>146</v>
      </c>
      <c r="G365" s="235">
        <f t="shared" si="41"/>
        <v>13787.919041661722</v>
      </c>
      <c r="H365" s="36" t="s">
        <v>35</v>
      </c>
      <c r="I365" s="83" t="s">
        <v>146</v>
      </c>
    </row>
    <row r="366" spans="1:9" x14ac:dyDescent="0.2">
      <c r="A366" s="46"/>
      <c r="B366" s="35"/>
      <c r="C366" s="81" t="s">
        <v>31</v>
      </c>
      <c r="D366" s="35">
        <f t="shared" si="40"/>
        <v>78</v>
      </c>
      <c r="F366" s="36" t="s">
        <v>146</v>
      </c>
      <c r="G366" s="235">
        <f t="shared" si="41"/>
        <v>13868.623413450909</v>
      </c>
      <c r="H366" s="36" t="s">
        <v>35</v>
      </c>
      <c r="I366" s="83" t="s">
        <v>146</v>
      </c>
    </row>
    <row r="367" spans="1:9" x14ac:dyDescent="0.2">
      <c r="A367" s="46"/>
      <c r="B367" s="35"/>
      <c r="C367" s="81" t="s">
        <v>31</v>
      </c>
      <c r="D367" s="35">
        <f t="shared" si="40"/>
        <v>79</v>
      </c>
      <c r="F367" s="36" t="s">
        <v>146</v>
      </c>
      <c r="G367" s="235">
        <f t="shared" si="41"/>
        <v>13949.683094213076</v>
      </c>
      <c r="H367" s="36" t="s">
        <v>35</v>
      </c>
      <c r="I367" s="83" t="s">
        <v>146</v>
      </c>
    </row>
    <row r="368" spans="1:9" x14ac:dyDescent="0.2">
      <c r="A368" s="46"/>
      <c r="B368" s="35"/>
      <c r="C368" s="81" t="s">
        <v>31</v>
      </c>
      <c r="D368" s="35">
        <f t="shared" si="40"/>
        <v>80</v>
      </c>
      <c r="F368" s="36" t="s">
        <v>146</v>
      </c>
      <c r="G368" s="235">
        <f t="shared" si="41"/>
        <v>14031.099057557696</v>
      </c>
      <c r="H368" s="36" t="s">
        <v>35</v>
      </c>
      <c r="I368" s="83" t="s">
        <v>146</v>
      </c>
    </row>
    <row r="369" spans="1:9" x14ac:dyDescent="0.2">
      <c r="A369" s="46"/>
      <c r="B369" s="35"/>
      <c r="C369" s="81" t="s">
        <v>31</v>
      </c>
      <c r="D369" s="35">
        <f t="shared" si="40"/>
        <v>81</v>
      </c>
      <c r="F369" s="36" t="s">
        <v>146</v>
      </c>
      <c r="G369" s="235">
        <f t="shared" si="41"/>
        <v>14112.872285837311</v>
      </c>
      <c r="H369" s="36" t="s">
        <v>35</v>
      </c>
      <c r="I369" s="83" t="s">
        <v>146</v>
      </c>
    </row>
    <row r="370" spans="1:9" x14ac:dyDescent="0.2">
      <c r="A370" s="46"/>
      <c r="B370" s="35"/>
      <c r="C370" s="81" t="s">
        <v>31</v>
      </c>
      <c r="D370" s="35">
        <f t="shared" si="40"/>
        <v>82</v>
      </c>
      <c r="F370" s="36" t="s">
        <v>146</v>
      </c>
      <c r="G370" s="235">
        <f t="shared" si="41"/>
        <v>14195.003770147563</v>
      </c>
      <c r="H370" s="36" t="s">
        <v>35</v>
      </c>
      <c r="I370" s="83" t="s">
        <v>146</v>
      </c>
    </row>
    <row r="371" spans="1:9" x14ac:dyDescent="0.2">
      <c r="A371" s="46"/>
      <c r="B371" s="35"/>
      <c r="C371" s="81" t="s">
        <v>31</v>
      </c>
      <c r="D371" s="35">
        <f t="shared" si="40"/>
        <v>83</v>
      </c>
      <c r="F371" s="36" t="s">
        <v>146</v>
      </c>
      <c r="G371" s="235">
        <f t="shared" si="41"/>
        <v>14277.494510327195</v>
      </c>
      <c r="H371" s="36" t="s">
        <v>35</v>
      </c>
      <c r="I371" s="83" t="s">
        <v>146</v>
      </c>
    </row>
    <row r="372" spans="1:9" x14ac:dyDescent="0.2">
      <c r="A372" s="46"/>
      <c r="B372" s="35"/>
      <c r="C372" s="81" t="s">
        <v>31</v>
      </c>
      <c r="D372" s="35">
        <f t="shared" si="40"/>
        <v>84</v>
      </c>
      <c r="F372" s="36" t="s">
        <v>146</v>
      </c>
      <c r="G372" s="235">
        <f t="shared" si="41"/>
        <v>14360.345514958033</v>
      </c>
      <c r="H372" s="36" t="s">
        <v>35</v>
      </c>
      <c r="I372" s="83" t="s">
        <v>146</v>
      </c>
    </row>
    <row r="373" spans="1:9" x14ac:dyDescent="0.2">
      <c r="A373" s="46"/>
      <c r="B373" s="35"/>
      <c r="C373" s="81" t="s">
        <v>31</v>
      </c>
      <c r="D373" s="35">
        <f t="shared" si="40"/>
        <v>85</v>
      </c>
      <c r="F373" s="36" t="s">
        <v>146</v>
      </c>
      <c r="G373" s="235">
        <f t="shared" si="41"/>
        <v>14443.557801365005</v>
      </c>
      <c r="H373" s="36" t="s">
        <v>35</v>
      </c>
      <c r="I373" s="83" t="s">
        <v>146</v>
      </c>
    </row>
    <row r="374" spans="1:9" x14ac:dyDescent="0.2">
      <c r="A374" s="46"/>
      <c r="B374" s="35"/>
      <c r="C374" s="81" t="s">
        <v>31</v>
      </c>
      <c r="D374" s="35">
        <f t="shared" si="40"/>
        <v>86</v>
      </c>
      <c r="F374" s="36" t="s">
        <v>146</v>
      </c>
      <c r="G374" s="235">
        <f t="shared" si="41"/>
        <v>14527.132395616114</v>
      </c>
      <c r="H374" s="36" t="s">
        <v>35</v>
      </c>
      <c r="I374" s="83" t="s">
        <v>146</v>
      </c>
    </row>
    <row r="375" spans="1:9" x14ac:dyDescent="0.2">
      <c r="A375" s="46"/>
      <c r="B375" s="35"/>
      <c r="C375" s="81" t="s">
        <v>31</v>
      </c>
      <c r="D375" s="35">
        <f t="shared" si="40"/>
        <v>87</v>
      </c>
      <c r="F375" s="36" t="s">
        <v>146</v>
      </c>
      <c r="G375" s="235">
        <f t="shared" si="41"/>
        <v>14611.070332522471</v>
      </c>
      <c r="H375" s="36" t="s">
        <v>35</v>
      </c>
      <c r="I375" s="83" t="s">
        <v>146</v>
      </c>
    </row>
    <row r="376" spans="1:9" x14ac:dyDescent="0.2">
      <c r="A376" s="46"/>
      <c r="B376" s="35"/>
      <c r="C376" s="81" t="s">
        <v>31</v>
      </c>
      <c r="D376" s="35">
        <f t="shared" ref="D376:D407" si="42">B148</f>
        <v>88</v>
      </c>
      <c r="F376" s="36" t="s">
        <v>146</v>
      </c>
      <c r="G376" s="235">
        <f t="shared" ref="G376:G407" si="43">D148</f>
        <v>14695.372655638273</v>
      </c>
      <c r="H376" s="36" t="s">
        <v>35</v>
      </c>
      <c r="I376" s="83" t="s">
        <v>146</v>
      </c>
    </row>
    <row r="377" spans="1:9" x14ac:dyDescent="0.2">
      <c r="A377" s="46"/>
      <c r="B377" s="35"/>
      <c r="C377" s="81" t="s">
        <v>31</v>
      </c>
      <c r="D377" s="35">
        <f t="shared" si="42"/>
        <v>89</v>
      </c>
      <c r="F377" s="36" t="s">
        <v>146</v>
      </c>
      <c r="G377" s="235">
        <f t="shared" si="43"/>
        <v>14780.040417260818</v>
      </c>
      <c r="H377" s="36" t="s">
        <v>35</v>
      </c>
      <c r="I377" s="83" t="s">
        <v>146</v>
      </c>
    </row>
    <row r="378" spans="1:9" x14ac:dyDescent="0.2">
      <c r="A378" s="46"/>
      <c r="B378" s="35"/>
      <c r="C378" s="81" t="s">
        <v>31</v>
      </c>
      <c r="D378" s="35">
        <f t="shared" si="42"/>
        <v>90</v>
      </c>
      <c r="F378" s="36" t="s">
        <v>146</v>
      </c>
      <c r="G378" s="235">
        <f t="shared" si="43"/>
        <v>14865.074678430481</v>
      </c>
      <c r="H378" s="36" t="s">
        <v>35</v>
      </c>
      <c r="I378" s="83" t="s">
        <v>146</v>
      </c>
    </row>
    <row r="379" spans="1:9" x14ac:dyDescent="0.2">
      <c r="A379" s="46"/>
      <c r="B379" s="35"/>
      <c r="C379" s="81" t="s">
        <v>31</v>
      </c>
      <c r="D379" s="35">
        <f t="shared" si="42"/>
        <v>91</v>
      </c>
      <c r="F379" s="36" t="s">
        <v>146</v>
      </c>
      <c r="G379" s="235">
        <f t="shared" si="43"/>
        <v>14950.476508930737</v>
      </c>
      <c r="H379" s="36" t="s">
        <v>35</v>
      </c>
      <c r="I379" s="83" t="s">
        <v>146</v>
      </c>
    </row>
    <row r="380" spans="1:9" x14ac:dyDescent="0.2">
      <c r="A380" s="46"/>
      <c r="B380" s="35"/>
      <c r="C380" s="81" t="s">
        <v>31</v>
      </c>
      <c r="D380" s="35">
        <f t="shared" si="42"/>
        <v>92</v>
      </c>
      <c r="F380" s="36" t="s">
        <v>146</v>
      </c>
      <c r="G380" s="235">
        <f t="shared" si="43"/>
        <v>15036.246987288159</v>
      </c>
      <c r="H380" s="36" t="s">
        <v>35</v>
      </c>
      <c r="I380" s="83" t="s">
        <v>146</v>
      </c>
    </row>
    <row r="381" spans="1:9" x14ac:dyDescent="0.2">
      <c r="A381" s="46"/>
      <c r="B381" s="35"/>
      <c r="C381" s="81" t="s">
        <v>31</v>
      </c>
      <c r="D381" s="35">
        <f t="shared" si="42"/>
        <v>93</v>
      </c>
      <c r="F381" s="36" t="s">
        <v>146</v>
      </c>
      <c r="G381" s="235">
        <f t="shared" si="43"/>
        <v>15122.387200772404</v>
      </c>
      <c r="H381" s="36" t="s">
        <v>35</v>
      </c>
      <c r="I381" s="83" t="s">
        <v>146</v>
      </c>
    </row>
    <row r="382" spans="1:9" x14ac:dyDescent="0.2">
      <c r="A382" s="46"/>
      <c r="B382" s="35"/>
      <c r="C382" s="81" t="s">
        <v>31</v>
      </c>
      <c r="D382" s="35">
        <f t="shared" si="42"/>
        <v>94</v>
      </c>
      <c r="F382" s="36" t="s">
        <v>146</v>
      </c>
      <c r="G382" s="235">
        <f t="shared" si="43"/>
        <v>15208.898245396225</v>
      </c>
      <c r="H382" s="36" t="s">
        <v>35</v>
      </c>
      <c r="I382" s="83" t="s">
        <v>146</v>
      </c>
    </row>
    <row r="383" spans="1:9" x14ac:dyDescent="0.2">
      <c r="A383" s="46"/>
      <c r="B383" s="35"/>
      <c r="C383" s="81" t="s">
        <v>31</v>
      </c>
      <c r="D383" s="35">
        <f t="shared" si="42"/>
        <v>95</v>
      </c>
      <c r="F383" s="36" t="s">
        <v>146</v>
      </c>
      <c r="G383" s="235">
        <f t="shared" si="43"/>
        <v>15295.781225915465</v>
      </c>
      <c r="H383" s="36" t="s">
        <v>35</v>
      </c>
      <c r="I383" s="83" t="s">
        <v>146</v>
      </c>
    </row>
    <row r="384" spans="1:9" x14ac:dyDescent="0.2">
      <c r="A384" s="46"/>
      <c r="B384" s="35"/>
      <c r="C384" s="81" t="s">
        <v>31</v>
      </c>
      <c r="D384" s="35">
        <f t="shared" si="42"/>
        <v>96</v>
      </c>
      <c r="F384" s="36" t="s">
        <v>146</v>
      </c>
      <c r="G384" s="235">
        <f t="shared" si="43"/>
        <v>15383.037255829067</v>
      </c>
      <c r="H384" s="36" t="s">
        <v>35</v>
      </c>
      <c r="I384" s="83" t="s">
        <v>146</v>
      </c>
    </row>
    <row r="385" spans="1:9" x14ac:dyDescent="0.2">
      <c r="A385" s="46"/>
      <c r="B385" s="35"/>
      <c r="C385" s="81" t="s">
        <v>31</v>
      </c>
      <c r="D385" s="35">
        <f t="shared" si="42"/>
        <v>97</v>
      </c>
      <c r="F385" s="36" t="s">
        <v>146</v>
      </c>
      <c r="G385" s="235">
        <f t="shared" si="43"/>
        <v>15470.667457379051</v>
      </c>
      <c r="H385" s="36" t="s">
        <v>35</v>
      </c>
      <c r="I385" s="83" t="s">
        <v>146</v>
      </c>
    </row>
    <row r="386" spans="1:9" x14ac:dyDescent="0.2">
      <c r="A386" s="46"/>
      <c r="B386" s="35"/>
      <c r="C386" s="81" t="s">
        <v>31</v>
      </c>
      <c r="D386" s="35">
        <f t="shared" si="42"/>
        <v>98</v>
      </c>
      <c r="F386" s="36" t="s">
        <v>146</v>
      </c>
      <c r="G386" s="235">
        <f t="shared" si="43"/>
        <v>15558.67296155055</v>
      </c>
      <c r="H386" s="36" t="s">
        <v>35</v>
      </c>
      <c r="I386" s="83" t="s">
        <v>146</v>
      </c>
    </row>
    <row r="387" spans="1:9" x14ac:dyDescent="0.2">
      <c r="A387" s="46"/>
      <c r="B387" s="35"/>
      <c r="C387" s="81" t="s">
        <v>31</v>
      </c>
      <c r="D387" s="35">
        <f t="shared" si="42"/>
        <v>99</v>
      </c>
      <c r="F387" s="36" t="s">
        <v>146</v>
      </c>
      <c r="G387" s="235">
        <f t="shared" si="43"/>
        <v>15647.054908071772</v>
      </c>
      <c r="H387" s="36" t="s">
        <v>35</v>
      </c>
      <c r="I387" s="83" t="s">
        <v>146</v>
      </c>
    </row>
    <row r="388" spans="1:9" x14ac:dyDescent="0.2">
      <c r="A388" s="46"/>
      <c r="B388" s="35"/>
      <c r="C388" s="81" t="s">
        <v>31</v>
      </c>
      <c r="D388" s="35">
        <f t="shared" si="42"/>
        <v>100</v>
      </c>
      <c r="F388" s="36" t="s">
        <v>146</v>
      </c>
      <c r="G388" s="235">
        <f t="shared" si="43"/>
        <v>15735.81444541402</v>
      </c>
      <c r="H388" s="36" t="s">
        <v>35</v>
      </c>
      <c r="I388" s="83" t="s">
        <v>146</v>
      </c>
    </row>
    <row r="389" spans="1:9" x14ac:dyDescent="0.2">
      <c r="A389" s="46"/>
      <c r="B389" s="35"/>
      <c r="C389" s="81" t="s">
        <v>31</v>
      </c>
      <c r="D389" s="35">
        <f t="shared" si="42"/>
        <v>101</v>
      </c>
      <c r="F389" s="36" t="s">
        <v>146</v>
      </c>
      <c r="G389" s="235">
        <f t="shared" si="43"/>
        <v>15824.952730791701</v>
      </c>
      <c r="H389" s="36" t="s">
        <v>35</v>
      </c>
      <c r="I389" s="83" t="s">
        <v>146</v>
      </c>
    </row>
    <row r="390" spans="1:9" x14ac:dyDescent="0.2">
      <c r="A390" s="46"/>
      <c r="B390" s="35"/>
      <c r="C390" s="81" t="s">
        <v>31</v>
      </c>
      <c r="D390" s="35">
        <f t="shared" si="42"/>
        <v>102</v>
      </c>
      <c r="F390" s="36" t="s">
        <v>146</v>
      </c>
      <c r="G390" s="235">
        <f t="shared" si="43"/>
        <v>15914.470930162299</v>
      </c>
      <c r="H390" s="36" t="s">
        <v>35</v>
      </c>
      <c r="I390" s="83" t="s">
        <v>146</v>
      </c>
    </row>
    <row r="391" spans="1:9" x14ac:dyDescent="0.2">
      <c r="A391" s="46"/>
      <c r="B391" s="35"/>
      <c r="C391" s="81" t="s">
        <v>31</v>
      </c>
      <c r="D391" s="35">
        <f t="shared" si="42"/>
        <v>103</v>
      </c>
      <c r="F391" s="36" t="s">
        <v>146</v>
      </c>
      <c r="G391" s="235">
        <f t="shared" si="43"/>
        <v>16004.370218226402</v>
      </c>
      <c r="H391" s="36" t="s">
        <v>35</v>
      </c>
      <c r="I391" s="83" t="s">
        <v>146</v>
      </c>
    </row>
    <row r="392" spans="1:9" x14ac:dyDescent="0.2">
      <c r="A392" s="46"/>
      <c r="B392" s="35"/>
      <c r="C392" s="81" t="s">
        <v>31</v>
      </c>
      <c r="D392" s="35">
        <f t="shared" si="42"/>
        <v>104</v>
      </c>
      <c r="F392" s="36" t="s">
        <v>146</v>
      </c>
      <c r="G392" s="235">
        <f t="shared" si="43"/>
        <v>16094.651778427688</v>
      </c>
      <c r="H392" s="36" t="s">
        <v>35</v>
      </c>
      <c r="I392" s="83" t="s">
        <v>146</v>
      </c>
    </row>
    <row r="393" spans="1:9" x14ac:dyDescent="0.2">
      <c r="A393" s="46"/>
      <c r="B393" s="35"/>
      <c r="C393" s="81" t="s">
        <v>31</v>
      </c>
      <c r="D393" s="35">
        <f t="shared" si="42"/>
        <v>105</v>
      </c>
      <c r="F393" s="36" t="s">
        <v>146</v>
      </c>
      <c r="G393" s="235">
        <f t="shared" si="43"/>
        <v>16185.316802952917</v>
      </c>
      <c r="H393" s="36" t="s">
        <v>35</v>
      </c>
      <c r="I393" s="83" t="s">
        <v>146</v>
      </c>
    </row>
    <row r="394" spans="1:9" x14ac:dyDescent="0.2">
      <c r="A394" s="46"/>
      <c r="B394" s="35"/>
      <c r="C394" s="81" t="s">
        <v>31</v>
      </c>
      <c r="D394" s="35">
        <f t="shared" si="42"/>
        <v>106</v>
      </c>
      <c r="F394" s="36" t="s">
        <v>146</v>
      </c>
      <c r="G394" s="235">
        <f t="shared" si="43"/>
        <v>16276.366492731955</v>
      </c>
      <c r="H394" s="36" t="s">
        <v>35</v>
      </c>
      <c r="I394" s="83" t="s">
        <v>146</v>
      </c>
    </row>
    <row r="395" spans="1:9" x14ac:dyDescent="0.2">
      <c r="A395" s="46"/>
      <c r="B395" s="35"/>
      <c r="C395" s="81" t="s">
        <v>31</v>
      </c>
      <c r="D395" s="35">
        <f t="shared" si="42"/>
        <v>107</v>
      </c>
      <c r="F395" s="36" t="s">
        <v>146</v>
      </c>
      <c r="G395" s="235">
        <f t="shared" si="43"/>
        <v>16367.802057437757</v>
      </c>
      <c r="H395" s="36" t="s">
        <v>35</v>
      </c>
      <c r="I395" s="83" t="s">
        <v>146</v>
      </c>
    </row>
    <row r="396" spans="1:9" x14ac:dyDescent="0.2">
      <c r="A396" s="46"/>
      <c r="B396" s="35"/>
      <c r="C396" s="81" t="s">
        <v>31</v>
      </c>
      <c r="D396" s="35">
        <f t="shared" si="42"/>
        <v>108</v>
      </c>
      <c r="F396" s="36" t="s">
        <v>146</v>
      </c>
      <c r="G396" s="235">
        <f t="shared" si="43"/>
        <v>16459.624715486363</v>
      </c>
      <c r="H396" s="36" t="s">
        <v>35</v>
      </c>
      <c r="I396" s="83" t="s">
        <v>146</v>
      </c>
    </row>
    <row r="397" spans="1:9" x14ac:dyDescent="0.2">
      <c r="A397" s="46"/>
      <c r="B397" s="35"/>
      <c r="C397" s="81" t="s">
        <v>31</v>
      </c>
      <c r="D397" s="35">
        <f t="shared" si="42"/>
        <v>109</v>
      </c>
      <c r="F397" s="36" t="s">
        <v>146</v>
      </c>
      <c r="G397" s="235">
        <f t="shared" si="43"/>
        <v>16551.835694036916</v>
      </c>
      <c r="H397" s="36" t="s">
        <v>35</v>
      </c>
      <c r="I397" s="83" t="s">
        <v>146</v>
      </c>
    </row>
    <row r="398" spans="1:9" x14ac:dyDescent="0.2">
      <c r="A398" s="46"/>
      <c r="B398" s="35"/>
      <c r="C398" s="81" t="s">
        <v>31</v>
      </c>
      <c r="D398" s="35">
        <f t="shared" si="42"/>
        <v>110</v>
      </c>
      <c r="F398" s="36" t="s">
        <v>146</v>
      </c>
      <c r="G398" s="235">
        <f t="shared" si="43"/>
        <v>16644.436228991643</v>
      </c>
      <c r="H398" s="36" t="s">
        <v>35</v>
      </c>
      <c r="I398" s="83" t="s">
        <v>146</v>
      </c>
    </row>
    <row r="399" spans="1:9" x14ac:dyDescent="0.2">
      <c r="A399" s="46"/>
      <c r="B399" s="35"/>
      <c r="C399" s="81" t="s">
        <v>31</v>
      </c>
      <c r="D399" s="35">
        <f t="shared" si="42"/>
        <v>111</v>
      </c>
      <c r="F399" s="36" t="s">
        <v>146</v>
      </c>
      <c r="G399" s="235">
        <f t="shared" si="43"/>
        <v>16737.427564995862</v>
      </c>
      <c r="H399" s="36" t="s">
        <v>35</v>
      </c>
      <c r="I399" s="83" t="s">
        <v>146</v>
      </c>
    </row>
    <row r="400" spans="1:9" x14ac:dyDescent="0.2">
      <c r="A400" s="46"/>
      <c r="B400" s="35"/>
      <c r="C400" s="81" t="s">
        <v>31</v>
      </c>
      <c r="D400" s="35">
        <f t="shared" si="42"/>
        <v>112</v>
      </c>
      <c r="F400" s="36" t="s">
        <v>146</v>
      </c>
      <c r="G400" s="235">
        <f t="shared" si="43"/>
        <v>16830.810955437995</v>
      </c>
      <c r="H400" s="36" t="s">
        <v>35</v>
      </c>
      <c r="I400" s="83" t="s">
        <v>146</v>
      </c>
    </row>
    <row r="401" spans="1:9" x14ac:dyDescent="0.2">
      <c r="A401" s="46"/>
      <c r="B401" s="35"/>
      <c r="C401" s="81" t="s">
        <v>31</v>
      </c>
      <c r="D401" s="35">
        <f t="shared" si="42"/>
        <v>113</v>
      </c>
      <c r="F401" s="36" t="s">
        <v>146</v>
      </c>
      <c r="G401" s="235">
        <f t="shared" si="43"/>
        <v>16924.587662449547</v>
      </c>
      <c r="H401" s="36" t="s">
        <v>35</v>
      </c>
      <c r="I401" s="83" t="s">
        <v>146</v>
      </c>
    </row>
    <row r="402" spans="1:9" x14ac:dyDescent="0.2">
      <c r="A402" s="46"/>
      <c r="B402" s="35"/>
      <c r="C402" s="81" t="s">
        <v>31</v>
      </c>
      <c r="D402" s="35">
        <f t="shared" si="42"/>
        <v>114</v>
      </c>
      <c r="F402" s="36" t="s">
        <v>146</v>
      </c>
      <c r="G402" s="235">
        <f t="shared" si="43"/>
        <v>17018.758956905116</v>
      </c>
      <c r="H402" s="36" t="s">
        <v>35</v>
      </c>
      <c r="I402" s="83" t="s">
        <v>146</v>
      </c>
    </row>
    <row r="403" spans="1:9" x14ac:dyDescent="0.2">
      <c r="A403" s="46"/>
      <c r="B403" s="35"/>
      <c r="C403" s="81" t="s">
        <v>31</v>
      </c>
      <c r="D403" s="35">
        <f t="shared" si="42"/>
        <v>115</v>
      </c>
      <c r="F403" s="36" t="s">
        <v>146</v>
      </c>
      <c r="G403" s="235">
        <f t="shared" si="43"/>
        <v>17113.326118422396</v>
      </c>
      <c r="H403" s="36" t="s">
        <v>35</v>
      </c>
      <c r="I403" s="83" t="s">
        <v>146</v>
      </c>
    </row>
    <row r="404" spans="1:9" x14ac:dyDescent="0.2">
      <c r="A404" s="46"/>
      <c r="B404" s="35"/>
      <c r="C404" s="81" t="s">
        <v>31</v>
      </c>
      <c r="D404" s="35">
        <f t="shared" si="42"/>
        <v>116</v>
      </c>
      <c r="F404" s="36" t="s">
        <v>146</v>
      </c>
      <c r="G404" s="235">
        <f t="shared" si="43"/>
        <v>17208.290435362167</v>
      </c>
      <c r="H404" s="36" t="s">
        <v>35</v>
      </c>
      <c r="I404" s="83" t="s">
        <v>146</v>
      </c>
    </row>
    <row r="405" spans="1:9" x14ac:dyDescent="0.2">
      <c r="A405" s="46"/>
      <c r="B405" s="35"/>
      <c r="C405" s="81" t="s">
        <v>31</v>
      </c>
      <c r="D405" s="35">
        <f t="shared" si="42"/>
        <v>117</v>
      </c>
      <c r="F405" s="36" t="s">
        <v>146</v>
      </c>
      <c r="G405" s="235">
        <f t="shared" si="43"/>
        <v>17303.653204828308</v>
      </c>
      <c r="H405" s="36" t="s">
        <v>35</v>
      </c>
      <c r="I405" s="83" t="s">
        <v>146</v>
      </c>
    </row>
    <row r="406" spans="1:9" x14ac:dyDescent="0.2">
      <c r="A406" s="46"/>
      <c r="B406" s="35"/>
      <c r="C406" s="81" t="s">
        <v>31</v>
      </c>
      <c r="D406" s="35">
        <f t="shared" si="42"/>
        <v>118</v>
      </c>
      <c r="F406" s="36" t="s">
        <v>146</v>
      </c>
      <c r="G406" s="235">
        <f t="shared" si="43"/>
        <v>17399.415732667792</v>
      </c>
      <c r="H406" s="36" t="s">
        <v>35</v>
      </c>
      <c r="I406" s="83" t="s">
        <v>146</v>
      </c>
    </row>
    <row r="407" spans="1:9" x14ac:dyDescent="0.2">
      <c r="A407" s="46"/>
      <c r="B407" s="35"/>
      <c r="C407" s="81" t="s">
        <v>31</v>
      </c>
      <c r="D407" s="35">
        <f t="shared" si="42"/>
        <v>119</v>
      </c>
      <c r="F407" s="36" t="s">
        <v>146</v>
      </c>
      <c r="G407" s="235">
        <f t="shared" si="43"/>
        <v>17495.579333470669</v>
      </c>
      <c r="H407" s="36" t="s">
        <v>35</v>
      </c>
      <c r="I407" s="83" t="s">
        <v>146</v>
      </c>
    </row>
    <row r="408" spans="1:9" x14ac:dyDescent="0.2">
      <c r="A408" s="46"/>
      <c r="B408" s="35"/>
      <c r="C408" s="81" t="s">
        <v>31</v>
      </c>
      <c r="D408" s="35">
        <f t="shared" ref="D408:D458" si="44">B180</f>
        <v>120</v>
      </c>
      <c r="F408" s="36" t="s">
        <v>146</v>
      </c>
      <c r="G408" s="235">
        <f t="shared" ref="G408:G458" si="45">D180</f>
        <v>17592.1453305701</v>
      </c>
      <c r="H408" s="36" t="s">
        <v>35</v>
      </c>
      <c r="I408" s="83" t="s">
        <v>146</v>
      </c>
    </row>
    <row r="409" spans="1:9" x14ac:dyDescent="0.2">
      <c r="A409" s="46"/>
      <c r="B409" s="35"/>
      <c r="C409" s="81" t="s">
        <v>31</v>
      </c>
      <c r="D409" s="35">
        <f t="shared" si="44"/>
        <v>121</v>
      </c>
      <c r="F409" s="36" t="s">
        <v>146</v>
      </c>
      <c r="G409" s="235">
        <f t="shared" si="45"/>
        <v>17689.115056042334</v>
      </c>
      <c r="H409" s="36" t="s">
        <v>35</v>
      </c>
      <c r="I409" s="83" t="s">
        <v>146</v>
      </c>
    </row>
    <row r="410" spans="1:9" x14ac:dyDescent="0.2">
      <c r="A410" s="46"/>
      <c r="B410" s="35"/>
      <c r="C410" s="81" t="s">
        <v>31</v>
      </c>
      <c r="D410" s="35">
        <f t="shared" si="44"/>
        <v>122</v>
      </c>
      <c r="F410" s="36" t="s">
        <v>146</v>
      </c>
      <c r="G410" s="235">
        <f t="shared" si="45"/>
        <v>17786.489850706701</v>
      </c>
      <c r="H410" s="36" t="s">
        <v>35</v>
      </c>
      <c r="I410" s="83" t="s">
        <v>146</v>
      </c>
    </row>
    <row r="411" spans="1:9" x14ac:dyDescent="0.2">
      <c r="A411" s="46"/>
      <c r="B411" s="35"/>
      <c r="C411" s="81" t="s">
        <v>31</v>
      </c>
      <c r="D411" s="35">
        <f t="shared" si="44"/>
        <v>123</v>
      </c>
      <c r="F411" s="36" t="s">
        <v>146</v>
      </c>
      <c r="G411" s="235">
        <f t="shared" si="45"/>
        <v>17884.271064125631</v>
      </c>
      <c r="H411" s="36" t="s">
        <v>35</v>
      </c>
      <c r="I411" s="83" t="s">
        <v>146</v>
      </c>
    </row>
    <row r="412" spans="1:9" x14ac:dyDescent="0.2">
      <c r="A412" s="46"/>
      <c r="B412" s="35"/>
      <c r="C412" s="81" t="s">
        <v>31</v>
      </c>
      <c r="D412" s="35">
        <f t="shared" si="44"/>
        <v>124</v>
      </c>
      <c r="F412" s="36" t="s">
        <v>146</v>
      </c>
      <c r="G412" s="235">
        <f t="shared" si="45"/>
        <v>17982.460054604664</v>
      </c>
      <c r="H412" s="36" t="s">
        <v>35</v>
      </c>
      <c r="I412" s="83" t="s">
        <v>146</v>
      </c>
    </row>
    <row r="413" spans="1:9" x14ac:dyDescent="0.2">
      <c r="A413" s="46"/>
      <c r="B413" s="35"/>
      <c r="C413" s="81" t="s">
        <v>31</v>
      </c>
      <c r="D413" s="35">
        <f t="shared" si="44"/>
        <v>125</v>
      </c>
      <c r="F413" s="36" t="s">
        <v>146</v>
      </c>
      <c r="G413" s="235">
        <f t="shared" si="45"/>
        <v>18081.05818919239</v>
      </c>
      <c r="H413" s="36" t="s">
        <v>35</v>
      </c>
      <c r="I413" s="83" t="s">
        <v>146</v>
      </c>
    </row>
    <row r="414" spans="1:9" x14ac:dyDescent="0.2">
      <c r="A414" s="46"/>
      <c r="B414" s="35"/>
      <c r="C414" s="81" t="s">
        <v>31</v>
      </c>
      <c r="D414" s="35">
        <f t="shared" si="44"/>
        <v>126</v>
      </c>
      <c r="F414" s="36" t="s">
        <v>146</v>
      </c>
      <c r="G414" s="235" t="e">
        <f t="shared" si="45"/>
        <v>#N/A</v>
      </c>
      <c r="H414" s="36" t="s">
        <v>35</v>
      </c>
      <c r="I414" s="83" t="s">
        <v>146</v>
      </c>
    </row>
    <row r="415" spans="1:9" x14ac:dyDescent="0.2">
      <c r="A415" s="46"/>
      <c r="B415" s="35"/>
      <c r="C415" s="81" t="s">
        <v>31</v>
      </c>
      <c r="D415" s="35">
        <f t="shared" si="44"/>
        <v>127</v>
      </c>
      <c r="F415" s="36" t="s">
        <v>146</v>
      </c>
      <c r="G415" s="235" t="e">
        <f t="shared" si="45"/>
        <v>#N/A</v>
      </c>
      <c r="H415" s="36" t="s">
        <v>35</v>
      </c>
      <c r="I415" s="83" t="s">
        <v>146</v>
      </c>
    </row>
    <row r="416" spans="1:9" x14ac:dyDescent="0.2">
      <c r="A416" s="46"/>
      <c r="B416" s="35"/>
      <c r="C416" s="81" t="s">
        <v>31</v>
      </c>
      <c r="D416" s="35">
        <f t="shared" si="44"/>
        <v>128</v>
      </c>
      <c r="F416" s="36" t="s">
        <v>146</v>
      </c>
      <c r="G416" s="235" t="e">
        <f t="shared" si="45"/>
        <v>#N/A</v>
      </c>
      <c r="H416" s="36" t="s">
        <v>35</v>
      </c>
      <c r="I416" s="83" t="s">
        <v>146</v>
      </c>
    </row>
    <row r="417" spans="1:9" x14ac:dyDescent="0.2">
      <c r="A417" s="46"/>
      <c r="B417" s="35"/>
      <c r="C417" s="81" t="s">
        <v>31</v>
      </c>
      <c r="D417" s="35">
        <f t="shared" si="44"/>
        <v>129</v>
      </c>
      <c r="F417" s="36" t="s">
        <v>146</v>
      </c>
      <c r="G417" s="235" t="e">
        <f t="shared" si="45"/>
        <v>#N/A</v>
      </c>
      <c r="H417" s="36" t="s">
        <v>35</v>
      </c>
      <c r="I417" s="83" t="s">
        <v>146</v>
      </c>
    </row>
    <row r="418" spans="1:9" x14ac:dyDescent="0.2">
      <c r="A418" s="46"/>
      <c r="B418" s="35"/>
      <c r="C418" s="81" t="s">
        <v>31</v>
      </c>
      <c r="D418" s="35">
        <f t="shared" si="44"/>
        <v>130</v>
      </c>
      <c r="F418" s="36" t="s">
        <v>146</v>
      </c>
      <c r="G418" s="235" t="e">
        <f t="shared" si="45"/>
        <v>#N/A</v>
      </c>
      <c r="H418" s="36" t="s">
        <v>35</v>
      </c>
      <c r="I418" s="83" t="s">
        <v>146</v>
      </c>
    </row>
    <row r="419" spans="1:9" x14ac:dyDescent="0.2">
      <c r="A419" s="46"/>
      <c r="B419" s="35"/>
      <c r="C419" s="81" t="s">
        <v>31</v>
      </c>
      <c r="D419" s="35">
        <f t="shared" si="44"/>
        <v>131</v>
      </c>
      <c r="F419" s="36" t="s">
        <v>146</v>
      </c>
      <c r="G419" s="235" t="e">
        <f t="shared" si="45"/>
        <v>#N/A</v>
      </c>
      <c r="H419" s="36" t="s">
        <v>35</v>
      </c>
      <c r="I419" s="83" t="s">
        <v>146</v>
      </c>
    </row>
    <row r="420" spans="1:9" x14ac:dyDescent="0.2">
      <c r="A420" s="46"/>
      <c r="B420" s="35"/>
      <c r="C420" s="81" t="s">
        <v>31</v>
      </c>
      <c r="D420" s="35">
        <f t="shared" si="44"/>
        <v>132</v>
      </c>
      <c r="F420" s="36" t="s">
        <v>146</v>
      </c>
      <c r="G420" s="235" t="e">
        <f t="shared" si="45"/>
        <v>#N/A</v>
      </c>
      <c r="H420" s="36" t="s">
        <v>35</v>
      </c>
      <c r="I420" s="83" t="s">
        <v>146</v>
      </c>
    </row>
    <row r="421" spans="1:9" x14ac:dyDescent="0.2">
      <c r="A421" s="46"/>
      <c r="B421" s="35"/>
      <c r="C421" s="81" t="s">
        <v>31</v>
      </c>
      <c r="D421" s="35">
        <f t="shared" si="44"/>
        <v>133</v>
      </c>
      <c r="F421" s="36" t="s">
        <v>146</v>
      </c>
      <c r="G421" s="235" t="e">
        <f t="shared" si="45"/>
        <v>#N/A</v>
      </c>
      <c r="H421" s="36" t="s">
        <v>35</v>
      </c>
      <c r="I421" s="83" t="s">
        <v>146</v>
      </c>
    </row>
    <row r="422" spans="1:9" x14ac:dyDescent="0.2">
      <c r="A422" s="46"/>
      <c r="B422" s="35"/>
      <c r="C422" s="81" t="s">
        <v>31</v>
      </c>
      <c r="D422" s="35">
        <f t="shared" si="44"/>
        <v>134</v>
      </c>
      <c r="F422" s="36" t="s">
        <v>146</v>
      </c>
      <c r="G422" s="235" t="e">
        <f t="shared" si="45"/>
        <v>#N/A</v>
      </c>
      <c r="H422" s="36" t="s">
        <v>35</v>
      </c>
      <c r="I422" s="83" t="s">
        <v>146</v>
      </c>
    </row>
    <row r="423" spans="1:9" x14ac:dyDescent="0.2">
      <c r="A423" s="46"/>
      <c r="B423" s="35"/>
      <c r="C423" s="81" t="s">
        <v>31</v>
      </c>
      <c r="D423" s="35">
        <f t="shared" si="44"/>
        <v>135</v>
      </c>
      <c r="F423" s="36" t="s">
        <v>146</v>
      </c>
      <c r="G423" s="235" t="e">
        <f t="shared" si="45"/>
        <v>#N/A</v>
      </c>
      <c r="H423" s="36" t="s">
        <v>35</v>
      </c>
      <c r="I423" s="83" t="s">
        <v>146</v>
      </c>
    </row>
    <row r="424" spans="1:9" x14ac:dyDescent="0.2">
      <c r="A424" s="46"/>
      <c r="B424" s="35"/>
      <c r="C424" s="81" t="s">
        <v>31</v>
      </c>
      <c r="D424" s="35">
        <f t="shared" si="44"/>
        <v>136</v>
      </c>
      <c r="F424" s="36" t="s">
        <v>146</v>
      </c>
      <c r="G424" s="235" t="e">
        <f t="shared" si="45"/>
        <v>#N/A</v>
      </c>
      <c r="H424" s="36" t="s">
        <v>35</v>
      </c>
      <c r="I424" s="83" t="s">
        <v>146</v>
      </c>
    </row>
    <row r="425" spans="1:9" x14ac:dyDescent="0.2">
      <c r="A425" s="46"/>
      <c r="B425" s="35"/>
      <c r="C425" s="81" t="s">
        <v>31</v>
      </c>
      <c r="D425" s="35">
        <f t="shared" si="44"/>
        <v>137</v>
      </c>
      <c r="F425" s="36" t="s">
        <v>146</v>
      </c>
      <c r="G425" s="235" t="e">
        <f t="shared" si="45"/>
        <v>#N/A</v>
      </c>
      <c r="H425" s="36" t="s">
        <v>35</v>
      </c>
      <c r="I425" s="83" t="s">
        <v>146</v>
      </c>
    </row>
    <row r="426" spans="1:9" x14ac:dyDescent="0.2">
      <c r="A426" s="46"/>
      <c r="B426" s="35"/>
      <c r="C426" s="81" t="s">
        <v>31</v>
      </c>
      <c r="D426" s="35">
        <f t="shared" si="44"/>
        <v>138</v>
      </c>
      <c r="F426" s="36" t="s">
        <v>146</v>
      </c>
      <c r="G426" s="235" t="e">
        <f t="shared" si="45"/>
        <v>#N/A</v>
      </c>
      <c r="H426" s="36" t="s">
        <v>35</v>
      </c>
      <c r="I426" s="83" t="s">
        <v>146</v>
      </c>
    </row>
    <row r="427" spans="1:9" x14ac:dyDescent="0.2">
      <c r="A427" s="46"/>
      <c r="B427" s="35"/>
      <c r="C427" s="81" t="s">
        <v>31</v>
      </c>
      <c r="D427" s="35">
        <f t="shared" si="44"/>
        <v>139</v>
      </c>
      <c r="F427" s="36" t="s">
        <v>146</v>
      </c>
      <c r="G427" s="235" t="e">
        <f t="shared" si="45"/>
        <v>#N/A</v>
      </c>
      <c r="H427" s="36" t="s">
        <v>35</v>
      </c>
      <c r="I427" s="83" t="s">
        <v>146</v>
      </c>
    </row>
    <row r="428" spans="1:9" x14ac:dyDescent="0.2">
      <c r="A428" s="46"/>
      <c r="B428" s="35"/>
      <c r="C428" s="81" t="s">
        <v>31</v>
      </c>
      <c r="D428" s="35">
        <f t="shared" si="44"/>
        <v>140</v>
      </c>
      <c r="F428" s="36" t="s">
        <v>146</v>
      </c>
      <c r="G428" s="235" t="e">
        <f t="shared" si="45"/>
        <v>#N/A</v>
      </c>
      <c r="H428" s="36" t="s">
        <v>35</v>
      </c>
      <c r="I428" s="83" t="s">
        <v>146</v>
      </c>
    </row>
    <row r="429" spans="1:9" x14ac:dyDescent="0.2">
      <c r="A429" s="46"/>
      <c r="B429" s="35"/>
      <c r="C429" s="81" t="s">
        <v>31</v>
      </c>
      <c r="D429" s="35">
        <f t="shared" si="44"/>
        <v>141</v>
      </c>
      <c r="F429" s="36" t="s">
        <v>146</v>
      </c>
      <c r="G429" s="235" t="e">
        <f t="shared" si="45"/>
        <v>#N/A</v>
      </c>
      <c r="H429" s="36" t="s">
        <v>35</v>
      </c>
      <c r="I429" s="83" t="s">
        <v>146</v>
      </c>
    </row>
    <row r="430" spans="1:9" x14ac:dyDescent="0.2">
      <c r="A430" s="46"/>
      <c r="B430" s="35"/>
      <c r="C430" s="81" t="s">
        <v>31</v>
      </c>
      <c r="D430" s="35">
        <f t="shared" si="44"/>
        <v>142</v>
      </c>
      <c r="F430" s="36" t="s">
        <v>146</v>
      </c>
      <c r="G430" s="235" t="e">
        <f t="shared" si="45"/>
        <v>#N/A</v>
      </c>
      <c r="H430" s="36" t="s">
        <v>35</v>
      </c>
      <c r="I430" s="83" t="s">
        <v>146</v>
      </c>
    </row>
    <row r="431" spans="1:9" x14ac:dyDescent="0.2">
      <c r="A431" s="46"/>
      <c r="B431" s="35"/>
      <c r="C431" s="81" t="s">
        <v>31</v>
      </c>
      <c r="D431" s="35">
        <f t="shared" si="44"/>
        <v>143</v>
      </c>
      <c r="F431" s="36" t="s">
        <v>146</v>
      </c>
      <c r="G431" s="235" t="e">
        <f t="shared" si="45"/>
        <v>#N/A</v>
      </c>
      <c r="H431" s="36" t="s">
        <v>35</v>
      </c>
      <c r="I431" s="83" t="s">
        <v>146</v>
      </c>
    </row>
    <row r="432" spans="1:9" x14ac:dyDescent="0.2">
      <c r="A432" s="46"/>
      <c r="B432" s="35"/>
      <c r="C432" s="81" t="s">
        <v>31</v>
      </c>
      <c r="D432" s="35">
        <f t="shared" si="44"/>
        <v>144</v>
      </c>
      <c r="F432" s="36" t="s">
        <v>146</v>
      </c>
      <c r="G432" s="235" t="e">
        <f t="shared" si="45"/>
        <v>#N/A</v>
      </c>
      <c r="H432" s="36" t="s">
        <v>35</v>
      </c>
      <c r="I432" s="83" t="s">
        <v>146</v>
      </c>
    </row>
    <row r="433" spans="1:9" x14ac:dyDescent="0.2">
      <c r="A433" s="46"/>
      <c r="B433" s="35"/>
      <c r="C433" s="81" t="s">
        <v>31</v>
      </c>
      <c r="D433" s="35">
        <f t="shared" si="44"/>
        <v>145</v>
      </c>
      <c r="F433" s="36" t="s">
        <v>146</v>
      </c>
      <c r="G433" s="235" t="e">
        <f t="shared" si="45"/>
        <v>#N/A</v>
      </c>
      <c r="H433" s="36" t="s">
        <v>35</v>
      </c>
      <c r="I433" s="83" t="s">
        <v>146</v>
      </c>
    </row>
    <row r="434" spans="1:9" x14ac:dyDescent="0.2">
      <c r="A434" s="46"/>
      <c r="B434" s="35"/>
      <c r="C434" s="81" t="s">
        <v>31</v>
      </c>
      <c r="D434" s="35">
        <f t="shared" si="44"/>
        <v>146</v>
      </c>
      <c r="F434" s="36" t="s">
        <v>146</v>
      </c>
      <c r="G434" s="235" t="e">
        <f t="shared" si="45"/>
        <v>#N/A</v>
      </c>
      <c r="H434" s="36" t="s">
        <v>35</v>
      </c>
      <c r="I434" s="83" t="s">
        <v>146</v>
      </c>
    </row>
    <row r="435" spans="1:9" x14ac:dyDescent="0.2">
      <c r="A435" s="46"/>
      <c r="B435" s="35"/>
      <c r="C435" s="81" t="s">
        <v>31</v>
      </c>
      <c r="D435" s="35">
        <f t="shared" si="44"/>
        <v>147</v>
      </c>
      <c r="F435" s="36" t="s">
        <v>146</v>
      </c>
      <c r="G435" s="235" t="e">
        <f t="shared" si="45"/>
        <v>#N/A</v>
      </c>
      <c r="H435" s="36" t="s">
        <v>35</v>
      </c>
      <c r="I435" s="83" t="s">
        <v>146</v>
      </c>
    </row>
    <row r="436" spans="1:9" x14ac:dyDescent="0.2">
      <c r="A436" s="46"/>
      <c r="B436" s="35"/>
      <c r="C436" s="81" t="s">
        <v>31</v>
      </c>
      <c r="D436" s="35">
        <f t="shared" si="44"/>
        <v>148</v>
      </c>
      <c r="F436" s="36" t="s">
        <v>146</v>
      </c>
      <c r="G436" s="235" t="e">
        <f t="shared" si="45"/>
        <v>#N/A</v>
      </c>
      <c r="H436" s="36" t="s">
        <v>35</v>
      </c>
      <c r="I436" s="83" t="s">
        <v>146</v>
      </c>
    </row>
    <row r="437" spans="1:9" x14ac:dyDescent="0.2">
      <c r="A437" s="46"/>
      <c r="B437" s="35"/>
      <c r="C437" s="81" t="s">
        <v>31</v>
      </c>
      <c r="D437" s="35">
        <f t="shared" si="44"/>
        <v>149</v>
      </c>
      <c r="F437" s="36" t="s">
        <v>146</v>
      </c>
      <c r="G437" s="235" t="e">
        <f t="shared" si="45"/>
        <v>#N/A</v>
      </c>
      <c r="H437" s="36" t="s">
        <v>35</v>
      </c>
      <c r="I437" s="83" t="s">
        <v>146</v>
      </c>
    </row>
    <row r="438" spans="1:9" x14ac:dyDescent="0.2">
      <c r="A438" s="46"/>
      <c r="B438" s="35"/>
      <c r="C438" s="81" t="s">
        <v>31</v>
      </c>
      <c r="D438" s="35">
        <f t="shared" si="44"/>
        <v>150</v>
      </c>
      <c r="F438" s="36" t="s">
        <v>146</v>
      </c>
      <c r="G438" s="235" t="e">
        <f t="shared" si="45"/>
        <v>#N/A</v>
      </c>
      <c r="H438" s="36" t="s">
        <v>35</v>
      </c>
      <c r="I438" s="83" t="s">
        <v>146</v>
      </c>
    </row>
    <row r="439" spans="1:9" s="222" customFormat="1" x14ac:dyDescent="0.2">
      <c r="A439" s="46"/>
      <c r="B439" s="35"/>
      <c r="C439" s="81" t="s">
        <v>31</v>
      </c>
      <c r="D439" s="35">
        <f t="shared" si="44"/>
        <v>151</v>
      </c>
      <c r="F439" s="36" t="s">
        <v>146</v>
      </c>
      <c r="G439" s="235" t="e">
        <f t="shared" si="45"/>
        <v>#N/A</v>
      </c>
      <c r="H439" s="36" t="s">
        <v>35</v>
      </c>
      <c r="I439" s="83" t="s">
        <v>146</v>
      </c>
    </row>
    <row r="440" spans="1:9" s="222" customFormat="1" x14ac:dyDescent="0.2">
      <c r="A440" s="46"/>
      <c r="B440" s="35"/>
      <c r="C440" s="81" t="s">
        <v>31</v>
      </c>
      <c r="D440" s="35">
        <f t="shared" si="44"/>
        <v>152</v>
      </c>
      <c r="F440" s="36" t="s">
        <v>146</v>
      </c>
      <c r="G440" s="235" t="e">
        <f t="shared" si="45"/>
        <v>#N/A</v>
      </c>
      <c r="H440" s="36" t="s">
        <v>35</v>
      </c>
      <c r="I440" s="83" t="s">
        <v>146</v>
      </c>
    </row>
    <row r="441" spans="1:9" s="222" customFormat="1" x14ac:dyDescent="0.2">
      <c r="A441" s="46"/>
      <c r="B441" s="35"/>
      <c r="C441" s="81" t="s">
        <v>31</v>
      </c>
      <c r="D441" s="35">
        <f t="shared" si="44"/>
        <v>153</v>
      </c>
      <c r="F441" s="36" t="s">
        <v>146</v>
      </c>
      <c r="G441" s="235" t="e">
        <f t="shared" si="45"/>
        <v>#N/A</v>
      </c>
      <c r="H441" s="36" t="s">
        <v>35</v>
      </c>
      <c r="I441" s="83" t="s">
        <v>146</v>
      </c>
    </row>
    <row r="442" spans="1:9" s="222" customFormat="1" x14ac:dyDescent="0.2">
      <c r="A442" s="46"/>
      <c r="B442" s="35"/>
      <c r="C442" s="81" t="s">
        <v>31</v>
      </c>
      <c r="D442" s="35">
        <f t="shared" si="44"/>
        <v>154</v>
      </c>
      <c r="F442" s="36" t="s">
        <v>146</v>
      </c>
      <c r="G442" s="235" t="e">
        <f t="shared" si="45"/>
        <v>#N/A</v>
      </c>
      <c r="H442" s="36" t="s">
        <v>35</v>
      </c>
      <c r="I442" s="83" t="s">
        <v>146</v>
      </c>
    </row>
    <row r="443" spans="1:9" s="222" customFormat="1" x14ac:dyDescent="0.2">
      <c r="A443" s="46"/>
      <c r="B443" s="35"/>
      <c r="C443" s="81" t="s">
        <v>31</v>
      </c>
      <c r="D443" s="35">
        <f t="shared" si="44"/>
        <v>155</v>
      </c>
      <c r="F443" s="36" t="s">
        <v>146</v>
      </c>
      <c r="G443" s="235" t="e">
        <f t="shared" si="45"/>
        <v>#N/A</v>
      </c>
      <c r="H443" s="36" t="s">
        <v>35</v>
      </c>
      <c r="I443" s="83" t="s">
        <v>146</v>
      </c>
    </row>
    <row r="444" spans="1:9" s="222" customFormat="1" x14ac:dyDescent="0.2">
      <c r="A444" s="46"/>
      <c r="B444" s="35"/>
      <c r="C444" s="81" t="s">
        <v>31</v>
      </c>
      <c r="D444" s="35">
        <f t="shared" si="44"/>
        <v>156</v>
      </c>
      <c r="F444" s="36" t="s">
        <v>146</v>
      </c>
      <c r="G444" s="235" t="e">
        <f t="shared" si="45"/>
        <v>#N/A</v>
      </c>
      <c r="H444" s="36" t="s">
        <v>35</v>
      </c>
      <c r="I444" s="83" t="s">
        <v>146</v>
      </c>
    </row>
    <row r="445" spans="1:9" s="222" customFormat="1" x14ac:dyDescent="0.2">
      <c r="A445" s="46"/>
      <c r="B445" s="35"/>
      <c r="C445" s="81" t="s">
        <v>31</v>
      </c>
      <c r="D445" s="35">
        <f t="shared" si="44"/>
        <v>157</v>
      </c>
      <c r="F445" s="36" t="s">
        <v>146</v>
      </c>
      <c r="G445" s="235" t="e">
        <f t="shared" si="45"/>
        <v>#N/A</v>
      </c>
      <c r="H445" s="36" t="s">
        <v>35</v>
      </c>
      <c r="I445" s="83" t="s">
        <v>146</v>
      </c>
    </row>
    <row r="446" spans="1:9" s="222" customFormat="1" x14ac:dyDescent="0.2">
      <c r="A446" s="46"/>
      <c r="B446" s="35"/>
      <c r="C446" s="81" t="s">
        <v>31</v>
      </c>
      <c r="D446" s="35">
        <f t="shared" si="44"/>
        <v>158</v>
      </c>
      <c r="F446" s="36" t="s">
        <v>146</v>
      </c>
      <c r="G446" s="235" t="e">
        <f t="shared" si="45"/>
        <v>#N/A</v>
      </c>
      <c r="H446" s="36" t="s">
        <v>35</v>
      </c>
      <c r="I446" s="83" t="s">
        <v>146</v>
      </c>
    </row>
    <row r="447" spans="1:9" s="222" customFormat="1" x14ac:dyDescent="0.2">
      <c r="A447" s="46"/>
      <c r="B447" s="35"/>
      <c r="C447" s="81" t="s">
        <v>31</v>
      </c>
      <c r="D447" s="35">
        <f t="shared" si="44"/>
        <v>159</v>
      </c>
      <c r="F447" s="36" t="s">
        <v>146</v>
      </c>
      <c r="G447" s="235" t="e">
        <f t="shared" si="45"/>
        <v>#N/A</v>
      </c>
      <c r="H447" s="36" t="s">
        <v>35</v>
      </c>
      <c r="I447" s="83" t="s">
        <v>146</v>
      </c>
    </row>
    <row r="448" spans="1:9" s="222" customFormat="1" x14ac:dyDescent="0.2">
      <c r="A448" s="46"/>
      <c r="B448" s="35"/>
      <c r="C448" s="81" t="s">
        <v>31</v>
      </c>
      <c r="D448" s="35">
        <f t="shared" si="44"/>
        <v>160</v>
      </c>
      <c r="F448" s="36" t="s">
        <v>146</v>
      </c>
      <c r="G448" s="235" t="e">
        <f t="shared" si="45"/>
        <v>#N/A</v>
      </c>
      <c r="H448" s="36" t="s">
        <v>35</v>
      </c>
      <c r="I448" s="83" t="s">
        <v>146</v>
      </c>
    </row>
    <row r="449" spans="1:12" s="222" customFormat="1" x14ac:dyDescent="0.2">
      <c r="A449" s="46"/>
      <c r="B449" s="35"/>
      <c r="C449" s="81" t="s">
        <v>31</v>
      </c>
      <c r="D449" s="35">
        <f t="shared" si="44"/>
        <v>161</v>
      </c>
      <c r="F449" s="36" t="s">
        <v>146</v>
      </c>
      <c r="G449" s="235" t="e">
        <f t="shared" si="45"/>
        <v>#N/A</v>
      </c>
      <c r="H449" s="36" t="s">
        <v>35</v>
      </c>
      <c r="I449" s="83" t="s">
        <v>146</v>
      </c>
    </row>
    <row r="450" spans="1:12" s="222" customFormat="1" x14ac:dyDescent="0.2">
      <c r="A450" s="46"/>
      <c r="B450" s="35"/>
      <c r="C450" s="81" t="s">
        <v>31</v>
      </c>
      <c r="D450" s="35">
        <f t="shared" si="44"/>
        <v>162</v>
      </c>
      <c r="F450" s="36" t="s">
        <v>146</v>
      </c>
      <c r="G450" s="235" t="e">
        <f t="shared" si="45"/>
        <v>#N/A</v>
      </c>
      <c r="H450" s="36" t="s">
        <v>35</v>
      </c>
      <c r="I450" s="83" t="s">
        <v>146</v>
      </c>
    </row>
    <row r="451" spans="1:12" s="222" customFormat="1" x14ac:dyDescent="0.2">
      <c r="A451" s="46"/>
      <c r="B451" s="35"/>
      <c r="C451" s="81" t="s">
        <v>31</v>
      </c>
      <c r="D451" s="35">
        <f t="shared" si="44"/>
        <v>163</v>
      </c>
      <c r="F451" s="36" t="s">
        <v>146</v>
      </c>
      <c r="G451" s="235" t="e">
        <f t="shared" si="45"/>
        <v>#N/A</v>
      </c>
      <c r="H451" s="36" t="s">
        <v>35</v>
      </c>
      <c r="I451" s="83" t="s">
        <v>146</v>
      </c>
    </row>
    <row r="452" spans="1:12" s="222" customFormat="1" x14ac:dyDescent="0.2">
      <c r="A452" s="46"/>
      <c r="B452" s="35"/>
      <c r="C452" s="81" t="s">
        <v>31</v>
      </c>
      <c r="D452" s="35">
        <f t="shared" si="44"/>
        <v>164</v>
      </c>
      <c r="F452" s="36" t="s">
        <v>146</v>
      </c>
      <c r="G452" s="235" t="e">
        <f t="shared" si="45"/>
        <v>#N/A</v>
      </c>
      <c r="H452" s="36" t="s">
        <v>35</v>
      </c>
      <c r="I452" s="83" t="s">
        <v>146</v>
      </c>
    </row>
    <row r="453" spans="1:12" s="222" customFormat="1" x14ac:dyDescent="0.2">
      <c r="A453" s="46"/>
      <c r="B453" s="35"/>
      <c r="C453" s="81" t="s">
        <v>31</v>
      </c>
      <c r="D453" s="35">
        <f t="shared" si="44"/>
        <v>165</v>
      </c>
      <c r="F453" s="36" t="s">
        <v>146</v>
      </c>
      <c r="G453" s="235" t="e">
        <f t="shared" si="45"/>
        <v>#N/A</v>
      </c>
      <c r="H453" s="36" t="s">
        <v>35</v>
      </c>
      <c r="I453" s="83" t="s">
        <v>146</v>
      </c>
    </row>
    <row r="454" spans="1:12" s="222" customFormat="1" x14ac:dyDescent="0.2">
      <c r="A454" s="46"/>
      <c r="B454" s="35"/>
      <c r="C454" s="81" t="s">
        <v>31</v>
      </c>
      <c r="D454" s="35">
        <f t="shared" si="44"/>
        <v>166</v>
      </c>
      <c r="F454" s="36" t="s">
        <v>146</v>
      </c>
      <c r="G454" s="235" t="e">
        <f t="shared" si="45"/>
        <v>#N/A</v>
      </c>
      <c r="H454" s="36" t="s">
        <v>35</v>
      </c>
      <c r="I454" s="83" t="s">
        <v>146</v>
      </c>
    </row>
    <row r="455" spans="1:12" s="222" customFormat="1" x14ac:dyDescent="0.2">
      <c r="A455" s="46"/>
      <c r="B455" s="35"/>
      <c r="C455" s="81" t="s">
        <v>31</v>
      </c>
      <c r="D455" s="35">
        <f t="shared" si="44"/>
        <v>167</v>
      </c>
      <c r="F455" s="36" t="s">
        <v>146</v>
      </c>
      <c r="G455" s="235" t="e">
        <f t="shared" si="45"/>
        <v>#N/A</v>
      </c>
      <c r="H455" s="36" t="s">
        <v>35</v>
      </c>
      <c r="I455" s="83" t="s">
        <v>146</v>
      </c>
    </row>
    <row r="456" spans="1:12" s="222" customFormat="1" x14ac:dyDescent="0.2">
      <c r="A456" s="46"/>
      <c r="B456" s="35"/>
      <c r="C456" s="81" t="s">
        <v>31</v>
      </c>
      <c r="D456" s="35">
        <f t="shared" si="44"/>
        <v>168</v>
      </c>
      <c r="F456" s="36" t="s">
        <v>146</v>
      </c>
      <c r="G456" s="235" t="e">
        <f t="shared" si="45"/>
        <v>#N/A</v>
      </c>
      <c r="H456" s="36" t="s">
        <v>35</v>
      </c>
      <c r="I456" s="83" t="s">
        <v>146</v>
      </c>
    </row>
    <row r="457" spans="1:12" s="222" customFormat="1" x14ac:dyDescent="0.2">
      <c r="A457" s="46"/>
      <c r="B457" s="35"/>
      <c r="C457" s="81" t="s">
        <v>31</v>
      </c>
      <c r="D457" s="35">
        <f t="shared" si="44"/>
        <v>169</v>
      </c>
      <c r="F457" s="36" t="s">
        <v>146</v>
      </c>
      <c r="G457" s="235" t="e">
        <f t="shared" si="45"/>
        <v>#N/A</v>
      </c>
      <c r="H457" s="36" t="s">
        <v>35</v>
      </c>
      <c r="I457" s="83" t="s">
        <v>146</v>
      </c>
    </row>
    <row r="458" spans="1:12" s="222" customFormat="1" x14ac:dyDescent="0.2">
      <c r="A458" s="46"/>
      <c r="B458" s="35"/>
      <c r="C458" s="81" t="s">
        <v>31</v>
      </c>
      <c r="D458" s="35">
        <f t="shared" si="44"/>
        <v>170</v>
      </c>
      <c r="F458" s="36" t="s">
        <v>146</v>
      </c>
      <c r="G458" s="235" t="e">
        <f t="shared" si="45"/>
        <v>#N/A</v>
      </c>
      <c r="H458" s="36" t="s">
        <v>35</v>
      </c>
      <c r="I458" s="83" t="s">
        <v>146</v>
      </c>
    </row>
    <row r="459" spans="1:12" s="222" customFormat="1" x14ac:dyDescent="0.2">
      <c r="A459" s="88"/>
      <c r="B459" s="89" t="s">
        <v>35</v>
      </c>
      <c r="C459" s="86" t="s">
        <v>692</v>
      </c>
      <c r="D459" s="236"/>
      <c r="E459" s="86"/>
      <c r="F459" s="86"/>
      <c r="G459" s="86"/>
      <c r="H459" s="236"/>
      <c r="I459" s="87"/>
    </row>
    <row r="460" spans="1:12" s="222" customFormat="1" x14ac:dyDescent="0.2"/>
    <row r="461" spans="1:12" s="222" customFormat="1" x14ac:dyDescent="0.2">
      <c r="A461" s="46"/>
      <c r="B461" s="35"/>
      <c r="C461" s="81"/>
      <c r="D461" s="35"/>
      <c r="F461" s="36"/>
      <c r="G461" s="235"/>
      <c r="H461" s="36"/>
      <c r="I461" s="36"/>
      <c r="J461" s="18"/>
      <c r="K461" s="18"/>
      <c r="L461" s="18"/>
    </row>
    <row r="462" spans="1:12" s="222" customFormat="1" x14ac:dyDescent="0.2">
      <c r="A462" s="46"/>
      <c r="B462" s="35"/>
      <c r="C462" s="81"/>
      <c r="D462" s="35"/>
      <c r="F462" s="36"/>
      <c r="G462" s="235"/>
      <c r="H462" s="36"/>
      <c r="I462" s="36"/>
      <c r="J462" s="18"/>
      <c r="K462" s="18"/>
      <c r="L462" s="18"/>
    </row>
    <row r="463" spans="1:12" s="222" customFormat="1" x14ac:dyDescent="0.2">
      <c r="A463" s="46"/>
      <c r="B463" s="35"/>
      <c r="C463" s="81"/>
      <c r="D463" s="35"/>
      <c r="F463" s="36"/>
      <c r="G463" s="235"/>
      <c r="H463" s="36"/>
      <c r="I463" s="36"/>
      <c r="J463" s="18"/>
      <c r="K463" s="18"/>
      <c r="L463" s="18"/>
    </row>
    <row r="464" spans="1:12" x14ac:dyDescent="0.2"/>
    <row r="465" spans="7:8" x14ac:dyDescent="0.2">
      <c r="G465" s="11"/>
      <c r="H465" s="11"/>
    </row>
    <row r="466" spans="7:8" x14ac:dyDescent="0.2"/>
    <row r="467" spans="7:8" x14ac:dyDescent="0.2"/>
    <row r="468" spans="7:8" x14ac:dyDescent="0.2"/>
    <row r="469" spans="7:8" x14ac:dyDescent="0.2"/>
    <row r="470" spans="7:8" x14ac:dyDescent="0.2"/>
    <row r="471" spans="7:8" x14ac:dyDescent="0.2"/>
    <row r="472" spans="7:8" x14ac:dyDescent="0.2"/>
    <row r="473" spans="7:8" x14ac:dyDescent="0.2"/>
    <row r="474" spans="7:8" x14ac:dyDescent="0.2"/>
    <row r="615" x14ac:dyDescent="0.2"/>
    <row r="616" x14ac:dyDescent="0.2"/>
    <row r="617" x14ac:dyDescent="0.2"/>
    <row r="618" x14ac:dyDescent="0.2"/>
    <row r="619" x14ac:dyDescent="0.2"/>
    <row r="620" x14ac:dyDescent="0.2"/>
  </sheetData>
  <sheetProtection algorithmName="SHA-512" hashValue="ndLkW/Bs6RxUnRlPQuffiRQnlhtJO+oY7JY+vrGbsODtn8cJQgJGy66h3nrj5aNYO4vJ5s8tkwjV+5RKcvYIDw==" saltValue="gvCNyS7uLUKp5ZXYDFCn3A==" spinCount="100000" sheet="1" objects="1" scenarios="1"/>
  <mergeCells count="2">
    <mergeCell ref="A1:X3"/>
    <mergeCell ref="A4:AB4"/>
  </mergeCells>
  <hyperlinks>
    <hyperlink ref="A5" location="Main!K37" display="Return to Menu  " xr:uid="{00000000-0004-0000-0200-000000000000}"/>
    <hyperlink ref="B17" location="'Device Resistance Tables'!A258" display="Example Code" xr:uid="{00000000-0004-0000-0200-000001000000}"/>
    <hyperlink ref="N17" location="'Device Resistance Tables'!J258" display="Example Code" xr:uid="{00000000-0004-0000-0200-000002000000}"/>
  </hyperlink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T269"/>
  <sheetViews>
    <sheetView showGridLines="0" topLeftCell="A4" zoomScale="80" zoomScaleNormal="80" workbookViewId="0">
      <selection activeCell="B26" sqref="B26"/>
    </sheetView>
  </sheetViews>
  <sheetFormatPr defaultColWidth="0" defaultRowHeight="12.75" zeroHeight="1" x14ac:dyDescent="0.2"/>
  <cols>
    <col min="1" max="1" width="15.140625" style="222" customWidth="1"/>
    <col min="2" max="2" width="25.7109375" style="222" customWidth="1"/>
    <col min="3" max="5" width="10.7109375" style="12" customWidth="1"/>
    <col min="6" max="7" width="10.7109375" style="222" customWidth="1"/>
    <col min="8" max="8" width="11.5703125" style="222" customWidth="1"/>
    <col min="9" max="9" width="17" style="222" customWidth="1"/>
    <col min="10" max="11" width="13.5703125" style="222" customWidth="1"/>
    <col min="12" max="12" width="13.7109375" style="222" customWidth="1"/>
    <col min="13" max="13" width="13.7109375" style="222" hidden="1" customWidth="1"/>
    <col min="14" max="15" width="10.7109375" style="222" customWidth="1"/>
    <col min="16" max="16" width="14.7109375" style="222" customWidth="1"/>
    <col min="17" max="17" width="14.140625" style="222" customWidth="1"/>
    <col min="18" max="18" width="10.28515625" style="222" customWidth="1"/>
    <col min="19" max="19" width="11.28515625" style="222" customWidth="1"/>
    <col min="20" max="20" width="11.42578125" style="222" customWidth="1"/>
    <col min="21" max="21" width="11.7109375" style="222" customWidth="1"/>
    <col min="22" max="22" width="14.5703125" style="222" customWidth="1"/>
    <col min="23" max="23" width="15" style="222" customWidth="1"/>
    <col min="24" max="24" width="11.7109375" style="222" hidden="1" customWidth="1"/>
    <col min="25" max="33" width="12.7109375" style="222" customWidth="1"/>
    <col min="34" max="46" width="0" style="222" hidden="1" customWidth="1"/>
    <col min="47" max="16384" width="12.7109375" style="222" hidden="1"/>
  </cols>
  <sheetData>
    <row r="1" spans="1:44" s="174" customFormat="1" x14ac:dyDescent="0.2">
      <c r="A1" s="768"/>
      <c r="B1" s="768"/>
      <c r="C1" s="768"/>
      <c r="D1" s="768"/>
      <c r="E1" s="768"/>
      <c r="F1" s="768"/>
      <c r="G1" s="768"/>
      <c r="H1" s="768"/>
      <c r="I1" s="768"/>
      <c r="J1" s="768"/>
      <c r="K1" s="768"/>
      <c r="L1" s="768"/>
      <c r="M1" s="768"/>
      <c r="N1" s="768"/>
      <c r="O1" s="768"/>
      <c r="P1" s="768"/>
      <c r="Q1" s="768"/>
      <c r="R1" s="768"/>
      <c r="S1" s="768"/>
      <c r="T1" s="768"/>
      <c r="U1" s="768"/>
      <c r="V1" s="768"/>
      <c r="W1" s="768"/>
      <c r="X1" s="768"/>
      <c r="Y1" s="768"/>
      <c r="Z1" s="768"/>
      <c r="AA1" s="768"/>
      <c r="AB1" s="768"/>
      <c r="AC1" s="768"/>
      <c r="AD1" s="275"/>
      <c r="AE1" s="275"/>
      <c r="AF1" s="275"/>
      <c r="AG1" s="275"/>
      <c r="AH1" s="275"/>
      <c r="AI1" s="275"/>
      <c r="AJ1" s="275"/>
      <c r="AK1" s="275"/>
      <c r="AL1" s="275"/>
      <c r="AM1" s="275"/>
      <c r="AN1" s="275"/>
      <c r="AO1" s="275"/>
      <c r="AP1" s="275"/>
      <c r="AQ1" s="275"/>
      <c r="AR1" s="275"/>
    </row>
    <row r="2" spans="1:44" s="174" customFormat="1" x14ac:dyDescent="0.2">
      <c r="A2" s="768"/>
      <c r="B2" s="768"/>
      <c r="C2" s="768"/>
      <c r="D2" s="768"/>
      <c r="E2" s="768"/>
      <c r="F2" s="768"/>
      <c r="G2" s="768"/>
      <c r="H2" s="768"/>
      <c r="I2" s="768"/>
      <c r="J2" s="768"/>
      <c r="K2" s="768"/>
      <c r="L2" s="768"/>
      <c r="M2" s="768"/>
      <c r="N2" s="768"/>
      <c r="O2" s="768"/>
      <c r="P2" s="768"/>
      <c r="Q2" s="768"/>
      <c r="R2" s="768"/>
      <c r="S2" s="768"/>
      <c r="T2" s="768"/>
      <c r="U2" s="768"/>
      <c r="V2" s="768"/>
      <c r="W2" s="768"/>
      <c r="X2" s="768"/>
      <c r="Y2" s="768"/>
      <c r="Z2" s="768"/>
      <c r="AA2" s="768"/>
      <c r="AB2" s="768"/>
      <c r="AC2" s="768"/>
      <c r="AD2" s="275"/>
      <c r="AE2" s="275"/>
      <c r="AF2" s="275"/>
      <c r="AG2" s="275"/>
      <c r="AH2" s="275"/>
      <c r="AI2" s="275"/>
      <c r="AJ2" s="275"/>
      <c r="AK2" s="275"/>
      <c r="AL2" s="275"/>
      <c r="AM2" s="275"/>
      <c r="AN2" s="275"/>
      <c r="AO2" s="275"/>
      <c r="AP2" s="275"/>
      <c r="AQ2" s="275"/>
      <c r="AR2" s="275"/>
    </row>
    <row r="3" spans="1:44" s="174" customFormat="1" x14ac:dyDescent="0.2">
      <c r="A3" s="768"/>
      <c r="B3" s="768"/>
      <c r="C3" s="768"/>
      <c r="D3" s="768"/>
      <c r="E3" s="768"/>
      <c r="F3" s="768"/>
      <c r="G3" s="768"/>
      <c r="H3" s="768"/>
      <c r="I3" s="768"/>
      <c r="J3" s="768"/>
      <c r="K3" s="768"/>
      <c r="L3" s="768"/>
      <c r="M3" s="768"/>
      <c r="N3" s="768"/>
      <c r="O3" s="768"/>
      <c r="P3" s="768"/>
      <c r="Q3" s="768"/>
      <c r="R3" s="768"/>
      <c r="S3" s="768"/>
      <c r="T3" s="768"/>
      <c r="U3" s="768"/>
      <c r="V3" s="768"/>
      <c r="W3" s="768"/>
      <c r="X3" s="768"/>
      <c r="Y3" s="768"/>
      <c r="Z3" s="768"/>
      <c r="AA3" s="768"/>
      <c r="AB3" s="768"/>
      <c r="AC3" s="768"/>
      <c r="AD3" s="275"/>
      <c r="AE3" s="275"/>
      <c r="AF3" s="275"/>
      <c r="AG3" s="275"/>
      <c r="AH3" s="275"/>
      <c r="AI3" s="275"/>
      <c r="AJ3" s="275"/>
      <c r="AK3" s="275"/>
      <c r="AL3" s="275"/>
      <c r="AM3" s="275"/>
      <c r="AN3" s="275"/>
      <c r="AO3" s="275"/>
      <c r="AP3" s="275"/>
      <c r="AQ3" s="275"/>
      <c r="AR3" s="275"/>
    </row>
    <row r="4" spans="1:44" s="174" customFormat="1" ht="12.75" customHeight="1" x14ac:dyDescent="0.2">
      <c r="A4" s="769"/>
      <c r="B4" s="770"/>
      <c r="C4" s="770"/>
      <c r="D4" s="770"/>
      <c r="E4" s="770"/>
      <c r="F4" s="770"/>
      <c r="G4" s="770"/>
      <c r="H4" s="770"/>
      <c r="I4" s="770"/>
      <c r="J4" s="770"/>
      <c r="K4" s="770"/>
      <c r="L4" s="770"/>
      <c r="M4" s="770"/>
      <c r="N4" s="770"/>
      <c r="O4" s="770"/>
      <c r="P4" s="770"/>
      <c r="Q4" s="770"/>
      <c r="R4" s="770"/>
      <c r="S4" s="770"/>
      <c r="T4" s="770"/>
      <c r="U4" s="770"/>
      <c r="V4" s="770"/>
      <c r="W4" s="770"/>
      <c r="X4" s="770"/>
      <c r="Y4" s="770"/>
      <c r="Z4" s="770"/>
      <c r="AA4" s="770"/>
      <c r="AB4" s="770"/>
      <c r="AC4" s="770"/>
      <c r="AD4" s="770"/>
      <c r="AE4" s="770"/>
      <c r="AF4" s="770"/>
      <c r="AG4" s="770"/>
      <c r="AH4" s="275"/>
      <c r="AI4" s="275"/>
      <c r="AJ4" s="275"/>
      <c r="AK4" s="275"/>
      <c r="AL4" s="275"/>
      <c r="AM4" s="275"/>
      <c r="AN4" s="275"/>
      <c r="AO4" s="275"/>
      <c r="AP4" s="275"/>
      <c r="AQ4" s="275"/>
      <c r="AR4" s="275"/>
    </row>
    <row r="5" spans="1:44" ht="15" x14ac:dyDescent="0.2">
      <c r="A5" s="418" t="s">
        <v>246</v>
      </c>
      <c r="C5" s="222"/>
    </row>
    <row r="6" spans="1:44" s="223" customFormat="1" ht="15.75" x14ac:dyDescent="0.25">
      <c r="A6" s="251"/>
      <c r="B6" s="226"/>
      <c r="C6" s="183"/>
      <c r="D6" s="175"/>
      <c r="E6" s="175"/>
    </row>
    <row r="7" spans="1:44" s="223" customFormat="1" ht="15.75" x14ac:dyDescent="0.25">
      <c r="A7" s="251"/>
      <c r="B7" s="226"/>
      <c r="C7" s="183"/>
      <c r="D7" s="175"/>
      <c r="E7" s="175"/>
    </row>
    <row r="8" spans="1:44" s="223" customFormat="1" ht="15.75" x14ac:dyDescent="0.25">
      <c r="A8" s="251"/>
      <c r="B8" s="226"/>
      <c r="C8" s="183"/>
      <c r="D8" s="175"/>
      <c r="E8" s="175"/>
    </row>
    <row r="9" spans="1:44" s="223" customFormat="1" ht="15.75" x14ac:dyDescent="0.25">
      <c r="A9" s="251"/>
      <c r="B9" s="226"/>
      <c r="C9" s="183"/>
      <c r="D9" s="175"/>
      <c r="E9" s="175"/>
    </row>
    <row r="10" spans="1:44" x14ac:dyDescent="0.2">
      <c r="C10" s="175"/>
      <c r="D10" s="175"/>
      <c r="E10" s="175"/>
    </row>
    <row r="11" spans="1:44" x14ac:dyDescent="0.2">
      <c r="C11" s="175"/>
      <c r="D11" s="175"/>
      <c r="E11" s="175"/>
    </row>
    <row r="12" spans="1:44" s="223" customFormat="1" x14ac:dyDescent="0.2">
      <c r="A12" s="123"/>
      <c r="B12" s="175"/>
      <c r="C12" s="175"/>
      <c r="D12" s="175"/>
      <c r="E12" s="175"/>
    </row>
    <row r="13" spans="1:44" s="223" customFormat="1" x14ac:dyDescent="0.2">
      <c r="D13" s="175"/>
      <c r="E13" s="175"/>
    </row>
    <row r="14" spans="1:44" s="223" customFormat="1" ht="15" x14ac:dyDescent="0.2">
      <c r="A14" s="141"/>
      <c r="B14" s="141"/>
      <c r="C14" s="141"/>
      <c r="D14" s="672"/>
      <c r="E14" s="672"/>
      <c r="F14" s="141"/>
      <c r="G14" s="141"/>
      <c r="H14" s="141"/>
      <c r="I14" s="141"/>
      <c r="J14" s="141"/>
      <c r="K14" s="141"/>
      <c r="L14" s="141"/>
      <c r="M14" s="141"/>
      <c r="N14" s="141"/>
      <c r="O14" s="141"/>
      <c r="P14" s="141"/>
      <c r="Q14" s="141"/>
      <c r="R14" s="141"/>
    </row>
    <row r="15" spans="1:44" ht="15.75" x14ac:dyDescent="0.25">
      <c r="A15" s="673" t="s">
        <v>206</v>
      </c>
      <c r="B15" s="674">
        <f>Main!N25</f>
        <v>5</v>
      </c>
      <c r="C15" s="206" t="s">
        <v>2</v>
      </c>
      <c r="D15" s="497"/>
      <c r="E15" s="497"/>
      <c r="F15" s="436"/>
      <c r="G15" s="436"/>
      <c r="H15" s="436"/>
      <c r="I15" s="436"/>
      <c r="J15" s="436"/>
      <c r="K15" s="436"/>
      <c r="L15" s="436"/>
      <c r="M15" s="436"/>
      <c r="N15" s="436"/>
      <c r="O15" s="436"/>
      <c r="P15" s="436"/>
      <c r="Q15" s="436"/>
      <c r="R15" s="436"/>
    </row>
    <row r="16" spans="1:44" ht="15.75" x14ac:dyDescent="0.25">
      <c r="A16" s="673" t="s">
        <v>251</v>
      </c>
      <c r="B16" s="439">
        <f>Main!$N$31</f>
        <v>10000</v>
      </c>
      <c r="C16" s="206" t="s">
        <v>1</v>
      </c>
      <c r="D16" s="497"/>
      <c r="E16" s="497"/>
      <c r="F16" s="436"/>
      <c r="G16" s="436"/>
      <c r="H16" s="436"/>
      <c r="I16" s="436"/>
      <c r="J16" s="436"/>
      <c r="K16" s="436"/>
      <c r="L16" s="436"/>
      <c r="M16" s="436"/>
      <c r="N16" s="436"/>
      <c r="O16" s="436"/>
      <c r="P16" s="436"/>
      <c r="Q16" s="436"/>
      <c r="R16" s="436"/>
    </row>
    <row r="17" spans="1:25" ht="15" hidden="1" x14ac:dyDescent="0.2">
      <c r="A17" s="436"/>
      <c r="B17" s="675" t="s">
        <v>234</v>
      </c>
      <c r="C17" s="497"/>
      <c r="D17" s="497"/>
      <c r="E17" s="497"/>
      <c r="F17" s="436"/>
      <c r="G17" s="436"/>
      <c r="H17" s="436"/>
      <c r="I17" s="436"/>
      <c r="J17" s="436"/>
      <c r="K17" s="436"/>
      <c r="L17" s="436"/>
      <c r="M17" s="436"/>
      <c r="N17" s="436"/>
      <c r="O17" s="436"/>
      <c r="P17" s="436"/>
      <c r="Q17" s="436"/>
      <c r="R17" s="436"/>
    </row>
    <row r="18" spans="1:25" ht="15" hidden="1" x14ac:dyDescent="0.2">
      <c r="A18" s="436"/>
      <c r="B18" s="676">
        <f>'4th Order Polynomial TMP vs Res'!B41</f>
        <v>8577.5110973016035</v>
      </c>
      <c r="C18" s="497" t="s">
        <v>81</v>
      </c>
      <c r="D18" s="497"/>
      <c r="E18" s="497"/>
      <c r="F18" s="436"/>
      <c r="G18" s="436"/>
      <c r="H18" s="436"/>
      <c r="I18" s="436"/>
      <c r="J18" s="436"/>
      <c r="K18" s="436"/>
      <c r="L18" s="436"/>
      <c r="M18" s="436"/>
      <c r="N18" s="436"/>
      <c r="O18" s="436"/>
      <c r="P18" s="436"/>
      <c r="Q18" s="436"/>
      <c r="R18" s="436"/>
    </row>
    <row r="19" spans="1:25" ht="15" hidden="1" x14ac:dyDescent="0.2">
      <c r="A19" s="436"/>
      <c r="B19" s="676">
        <f>'4th Order Polynomial TMP vs Res'!C41</f>
        <v>55.424734746293893</v>
      </c>
      <c r="C19" s="497" t="s">
        <v>82</v>
      </c>
      <c r="D19" s="497"/>
      <c r="E19" s="497"/>
      <c r="F19" s="436"/>
      <c r="G19" s="436"/>
      <c r="H19" s="436"/>
      <c r="I19" s="436"/>
      <c r="J19" s="436"/>
      <c r="K19" s="436"/>
      <c r="L19" s="436"/>
      <c r="M19" s="436"/>
      <c r="N19" s="436"/>
      <c r="O19" s="436"/>
      <c r="P19" s="436"/>
      <c r="Q19" s="436"/>
      <c r="R19" s="436"/>
    </row>
    <row r="20" spans="1:25" ht="15" hidden="1" x14ac:dyDescent="0.2">
      <c r="A20" s="436"/>
      <c r="B20" s="676">
        <f>'4th Order Polynomial TMP vs Res'!D41</f>
        <v>0.15315208702836436</v>
      </c>
      <c r="C20" s="497" t="s">
        <v>83</v>
      </c>
      <c r="D20" s="497"/>
      <c r="E20" s="497"/>
      <c r="F20" s="436"/>
      <c r="G20" s="436"/>
      <c r="H20" s="436"/>
      <c r="I20" s="436"/>
      <c r="J20" s="436"/>
      <c r="K20" s="436"/>
      <c r="L20" s="436"/>
      <c r="M20" s="436"/>
      <c r="N20" s="436"/>
      <c r="O20" s="436"/>
      <c r="P20" s="436"/>
      <c r="Q20" s="436"/>
      <c r="R20" s="436"/>
    </row>
    <row r="21" spans="1:25" ht="15" hidden="1" x14ac:dyDescent="0.2">
      <c r="A21" s="436"/>
      <c r="B21" s="676">
        <f>'4th Order Polynomial TMP vs Res'!E41</f>
        <v>4.7879451763487967E-5</v>
      </c>
      <c r="C21" s="497" t="s">
        <v>84</v>
      </c>
      <c r="D21" s="497"/>
      <c r="E21" s="497"/>
      <c r="F21" s="436"/>
      <c r="G21" s="436"/>
      <c r="H21" s="436"/>
      <c r="I21" s="436"/>
      <c r="J21" s="436"/>
      <c r="K21" s="436"/>
      <c r="L21" s="436"/>
      <c r="M21" s="436"/>
      <c r="N21" s="436"/>
      <c r="O21" s="436"/>
      <c r="P21" s="436"/>
      <c r="Q21" s="436"/>
      <c r="R21" s="436"/>
    </row>
    <row r="22" spans="1:25" ht="15" hidden="1" x14ac:dyDescent="0.2">
      <c r="A22" s="436"/>
      <c r="B22" s="676">
        <f>'4th Order Polynomial TMP vs Res'!F41</f>
        <v>3.6429551435896884E-7</v>
      </c>
      <c r="C22" s="497" t="s">
        <v>85</v>
      </c>
      <c r="D22" s="497"/>
      <c r="E22" s="497"/>
      <c r="F22" s="436"/>
      <c r="G22" s="436"/>
      <c r="H22" s="436"/>
      <c r="I22" s="436"/>
      <c r="J22" s="436"/>
      <c r="K22" s="436"/>
      <c r="L22" s="436"/>
      <c r="M22" s="436"/>
      <c r="N22" s="436"/>
      <c r="O22" s="436"/>
      <c r="P22" s="436"/>
      <c r="Q22" s="436"/>
      <c r="R22" s="436"/>
    </row>
    <row r="23" spans="1:25" ht="15" x14ac:dyDescent="0.2">
      <c r="A23" s="436"/>
      <c r="B23" s="436"/>
      <c r="C23" s="497"/>
      <c r="D23" s="497"/>
      <c r="E23" s="497"/>
      <c r="F23" s="436"/>
      <c r="G23" s="436"/>
      <c r="H23" s="436"/>
      <c r="I23" s="436"/>
      <c r="J23" s="436"/>
      <c r="K23" s="436"/>
      <c r="L23" s="436"/>
      <c r="M23" s="436"/>
      <c r="N23" s="436"/>
      <c r="O23" s="436"/>
      <c r="P23" s="436"/>
      <c r="Q23" s="436"/>
      <c r="R23" s="436"/>
    </row>
    <row r="24" spans="1:25" ht="15.75" thickBot="1" x14ac:dyDescent="0.25">
      <c r="A24" s="436"/>
      <c r="B24" s="436"/>
      <c r="C24" s="497"/>
      <c r="D24" s="497"/>
      <c r="E24" s="497"/>
      <c r="F24" s="436"/>
      <c r="G24" s="436"/>
      <c r="H24" s="436"/>
      <c r="I24" s="436"/>
      <c r="J24" s="436"/>
      <c r="K24" s="436"/>
      <c r="L24" s="436"/>
      <c r="M24" s="436"/>
      <c r="N24" s="436"/>
      <c r="O24" s="436"/>
      <c r="P24" s="436"/>
      <c r="Q24" s="436"/>
      <c r="R24" s="436"/>
    </row>
    <row r="25" spans="1:25" ht="15.75" x14ac:dyDescent="0.25">
      <c r="A25" s="437" t="s">
        <v>115</v>
      </c>
      <c r="B25" s="206" t="s">
        <v>0</v>
      </c>
      <c r="C25" s="137"/>
      <c r="D25" s="137"/>
      <c r="E25" s="677"/>
      <c r="F25" s="206"/>
      <c r="G25" s="206"/>
      <c r="H25" s="206"/>
      <c r="I25" s="206"/>
      <c r="J25" s="206"/>
      <c r="K25" s="206"/>
      <c r="L25" s="206"/>
      <c r="M25" s="206"/>
      <c r="N25" s="437" t="s">
        <v>115</v>
      </c>
      <c r="O25" s="678"/>
      <c r="P25" s="679"/>
      <c r="Q25" s="680"/>
      <c r="R25" s="206"/>
      <c r="S25" s="135"/>
      <c r="T25" s="73"/>
    </row>
    <row r="26" spans="1:25" ht="16.5" thickBot="1" x14ac:dyDescent="0.3">
      <c r="A26" s="437" t="s">
        <v>300</v>
      </c>
      <c r="B26" s="184" t="str">
        <f>Main!N22</f>
        <v>TMP6131DECR</v>
      </c>
      <c r="C26" s="137"/>
      <c r="D26" s="137"/>
      <c r="E26" s="681"/>
      <c r="F26" s="206"/>
      <c r="G26" s="206"/>
      <c r="H26" s="206"/>
      <c r="I26" s="206"/>
      <c r="J26" s="206"/>
      <c r="K26" s="206"/>
      <c r="L26" s="206"/>
      <c r="M26" s="206"/>
      <c r="N26" s="437" t="s">
        <v>301</v>
      </c>
      <c r="O26" s="682" t="s">
        <v>518</v>
      </c>
      <c r="P26" s="683"/>
      <c r="Q26" s="684"/>
      <c r="R26" s="206"/>
      <c r="S26" s="403"/>
      <c r="T26" s="403"/>
    </row>
    <row r="27" spans="1:25" ht="15" x14ac:dyDescent="0.2">
      <c r="A27" s="436"/>
      <c r="B27" s="436"/>
      <c r="C27" s="497"/>
      <c r="D27" s="497"/>
      <c r="E27" s="497"/>
      <c r="F27" s="436"/>
      <c r="G27" s="436"/>
      <c r="H27" s="436"/>
      <c r="I27" s="436"/>
      <c r="J27" s="436"/>
      <c r="K27" s="436"/>
      <c r="L27" s="436"/>
      <c r="M27" s="436"/>
      <c r="N27" s="436"/>
      <c r="O27" s="436"/>
      <c r="P27" s="436"/>
      <c r="Q27" s="436"/>
      <c r="R27" s="685"/>
    </row>
    <row r="28" spans="1:25" x14ac:dyDescent="0.2"/>
    <row r="29" spans="1:25" ht="20.25" x14ac:dyDescent="0.3">
      <c r="A29" s="143" t="s">
        <v>248</v>
      </c>
      <c r="O29" s="143" t="s">
        <v>248</v>
      </c>
      <c r="P29" s="223"/>
      <c r="Q29" s="223"/>
    </row>
    <row r="30" spans="1:25" x14ac:dyDescent="0.2">
      <c r="O30" s="72"/>
    </row>
    <row r="31" spans="1:25" s="178" customFormat="1" ht="15.75" x14ac:dyDescent="0.25">
      <c r="A31" s="686"/>
      <c r="B31" s="686" t="s">
        <v>60</v>
      </c>
      <c r="C31" s="686" t="s">
        <v>63</v>
      </c>
      <c r="D31" s="686" t="s">
        <v>64</v>
      </c>
      <c r="E31" s="686" t="s">
        <v>65</v>
      </c>
      <c r="F31" s="686" t="s">
        <v>465</v>
      </c>
      <c r="G31" s="686" t="s">
        <v>466</v>
      </c>
      <c r="H31" s="686" t="s">
        <v>235</v>
      </c>
      <c r="I31" s="686" t="s">
        <v>684</v>
      </c>
      <c r="J31" s="686" t="s">
        <v>236</v>
      </c>
      <c r="K31" s="686"/>
      <c r="L31" s="686"/>
      <c r="M31" s="686"/>
      <c r="N31" s="660"/>
      <c r="O31" s="686" t="s">
        <v>60</v>
      </c>
      <c r="P31" s="686" t="s">
        <v>66</v>
      </c>
      <c r="Q31" s="686" t="s">
        <v>67</v>
      </c>
      <c r="R31" s="686" t="s">
        <v>68</v>
      </c>
      <c r="S31" s="686" t="s">
        <v>69</v>
      </c>
      <c r="T31" s="686" t="s">
        <v>235</v>
      </c>
      <c r="U31" s="686" t="s">
        <v>236</v>
      </c>
      <c r="V31" s="686"/>
      <c r="W31" s="686"/>
      <c r="X31" s="686"/>
      <c r="Y31" s="660"/>
    </row>
    <row r="32" spans="1:25" s="74" customFormat="1" ht="16.5" thickBot="1" x14ac:dyDescent="0.3">
      <c r="A32" s="687" t="s">
        <v>113</v>
      </c>
      <c r="B32" s="687" t="s">
        <v>227</v>
      </c>
      <c r="C32" s="687" t="s">
        <v>719</v>
      </c>
      <c r="D32" s="687" t="s">
        <v>288</v>
      </c>
      <c r="E32" s="687" t="s">
        <v>288</v>
      </c>
      <c r="F32" s="687" t="s">
        <v>2</v>
      </c>
      <c r="G32" s="687" t="s">
        <v>2</v>
      </c>
      <c r="H32" s="687" t="s">
        <v>289</v>
      </c>
      <c r="I32" s="687" t="s">
        <v>685</v>
      </c>
      <c r="J32" s="687" t="s">
        <v>237</v>
      </c>
      <c r="K32" s="270" t="s">
        <v>327</v>
      </c>
      <c r="L32" s="270" t="s">
        <v>328</v>
      </c>
      <c r="M32" s="272" t="s">
        <v>329</v>
      </c>
      <c r="N32" s="688"/>
      <c r="O32" s="687" t="s">
        <v>227</v>
      </c>
      <c r="P32" s="689" t="s">
        <v>288</v>
      </c>
      <c r="Q32" s="689" t="s">
        <v>288</v>
      </c>
      <c r="R32" s="689" t="s">
        <v>288</v>
      </c>
      <c r="S32" s="687" t="s">
        <v>2</v>
      </c>
      <c r="T32" s="687" t="s">
        <v>289</v>
      </c>
      <c r="U32" s="687" t="s">
        <v>237</v>
      </c>
      <c r="V32" s="272" t="s">
        <v>327</v>
      </c>
      <c r="W32" s="272" t="s">
        <v>328</v>
      </c>
      <c r="X32" s="272" t="s">
        <v>329</v>
      </c>
      <c r="Y32" s="688"/>
    </row>
    <row r="33" spans="1:46" ht="15.75" x14ac:dyDescent="0.25">
      <c r="A33" s="505">
        <v>1</v>
      </c>
      <c r="B33" s="506">
        <v>-40</v>
      </c>
      <c r="C33" s="664">
        <f>IFERROR('Device Resistance Tables'!C20,NA())</f>
        <v>6504.3818579246399</v>
      </c>
      <c r="D33" s="554">
        <f>IFERROR('Device Resistance Tables'!D20,NA())</f>
        <v>6603.4333582991267</v>
      </c>
      <c r="E33" s="664">
        <f>IFERROR('Device Resistance Tables'!F20,NA())</f>
        <v>6702.4848586736125</v>
      </c>
      <c r="F33" s="690">
        <f>IFERROR(D33*($B$15/(Main!$N$31+D33)),NA())</f>
        <v>1.9885746567586997</v>
      </c>
      <c r="G33" s="690">
        <f>IFERROR($B$16*($B$15/(Main!$N$31+D33)),NA())</f>
        <v>3.0114253432412998</v>
      </c>
      <c r="H33" s="690"/>
      <c r="I33" s="691">
        <f>$F33/$D33</f>
        <v>3.0114253432412998E-4</v>
      </c>
      <c r="J33" s="690">
        <f>IFERROR(($B$15/(Main!$N$31+D33))^2*(Main!$N$31+D33)*1000,NA())</f>
        <v>1.5057126716206497</v>
      </c>
      <c r="K33" s="274">
        <f>IFERROR(((D33-C33)/D33)*-100,NA())</f>
        <v>-1.4999999999999978</v>
      </c>
      <c r="L33" s="274">
        <f t="shared" ref="L33:L64" si="0">IFERROR(((E33-D33)/D33)*100,NA())</f>
        <v>1.499999999999984</v>
      </c>
      <c r="M33" s="271"/>
      <c r="N33" s="692"/>
      <c r="O33" s="693">
        <v>-40</v>
      </c>
      <c r="P33" s="694">
        <v>188020.2</v>
      </c>
      <c r="Q33" s="694">
        <v>195652</v>
      </c>
      <c r="R33" s="694">
        <v>203573.1</v>
      </c>
      <c r="S33" s="695">
        <f>IFERROR(Q33*($B$15/(Main!$N$31+Q33)),NA())</f>
        <v>4.7568708303347398</v>
      </c>
      <c r="T33" s="696"/>
      <c r="U33" s="696">
        <f>IFERROR(($B$15/(Main!$N$31+Q33))^2*(Main!$N$31+Q33)*1000,NA())</f>
        <v>0.12156458483262989</v>
      </c>
      <c r="V33" s="274">
        <f>IFERROR(((Q33-P33)/Q33)*-100,NA())</f>
        <v>-3.9007012450677676</v>
      </c>
      <c r="W33" s="274">
        <f>IFERROR(((R33-Q33)/Q33)*100,NA())</f>
        <v>4.0485658209473998</v>
      </c>
      <c r="X33" s="271"/>
      <c r="Y33" s="436"/>
      <c r="Z33" s="12"/>
      <c r="AA33" s="12"/>
      <c r="AB33" s="12"/>
      <c r="AM33" s="224"/>
      <c r="AN33" s="224"/>
      <c r="AO33" s="224"/>
      <c r="AP33" s="224"/>
      <c r="AQ33" s="224"/>
      <c r="AR33" s="224"/>
      <c r="AS33" s="224"/>
      <c r="AT33" s="224"/>
    </row>
    <row r="34" spans="1:46" ht="15.75" x14ac:dyDescent="0.25">
      <c r="A34" s="505">
        <v>2</v>
      </c>
      <c r="B34" s="506">
        <v>-39</v>
      </c>
      <c r="C34" s="664">
        <f>IFERROR('Device Resistance Tables'!C21,NA())</f>
        <v>6547.1899808229682</v>
      </c>
      <c r="D34" s="554">
        <f>IFERROR('Device Resistance Tables'!D21,NA())</f>
        <v>6646.8933815461605</v>
      </c>
      <c r="E34" s="664">
        <f>IFERROR('Device Resistance Tables'!F21,NA())</f>
        <v>6746.5967822693519</v>
      </c>
      <c r="F34" s="690">
        <f>IFERROR(D34*($B$15/(Main!$N$31+D34)),NA())</f>
        <v>1.9964365810483728</v>
      </c>
      <c r="G34" s="690">
        <f>IFERROR($B$16*($B$15/(Main!$N$31+D34)),NA())</f>
        <v>3.0035634189516274</v>
      </c>
      <c r="H34" s="664">
        <f t="shared" ref="H34:H65" si="1">IFERROR(D34-D33,NA())</f>
        <v>43.46002324703386</v>
      </c>
      <c r="I34" s="691">
        <f t="shared" ref="I34:I97" si="2">$F34/$D34</f>
        <v>3.0035634189516273E-4</v>
      </c>
      <c r="J34" s="690">
        <f>IFERROR(($B$15/(Main!$N$31+D34))^2*(Main!$N$31+D34)*1000,NA())</f>
        <v>1.5017817094758137</v>
      </c>
      <c r="K34" s="274">
        <f t="shared" ref="K34:K97" si="3">IFERROR(((D34-C34)/D34)*-100,NA())</f>
        <v>-1.4999999999999987</v>
      </c>
      <c r="L34" s="274">
        <f t="shared" si="0"/>
        <v>1.4999999999999851</v>
      </c>
      <c r="M34" s="271">
        <f>IFERROR(F34-F33,NA())</f>
        <v>7.8619242896731389E-3</v>
      </c>
      <c r="N34" s="692"/>
      <c r="O34" s="569">
        <v>-39</v>
      </c>
      <c r="P34" s="697">
        <v>177804.4</v>
      </c>
      <c r="Q34" s="697">
        <v>184917.1</v>
      </c>
      <c r="R34" s="697">
        <v>192295.1</v>
      </c>
      <c r="S34" s="695">
        <f>IFERROR(Q34*($B$15/(Main!$N$31+Q34)),NA())</f>
        <v>4.7434806899959003</v>
      </c>
      <c r="T34" s="664">
        <f>IFERROR(Q33-Q34,NA())</f>
        <v>10734.899999999994</v>
      </c>
      <c r="U34" s="696">
        <f>IFERROR(($B$15/(Main!$N$31+Q34))^2*(Main!$N$31+Q34)*1000,NA())</f>
        <v>0.12825965500204956</v>
      </c>
      <c r="V34" s="274">
        <f t="shared" ref="V34:V97" si="4">IFERROR(((Q34-P34)/Q34)*-100,NA())</f>
        <v>-3.8464263175228308</v>
      </c>
      <c r="W34" s="274">
        <f t="shared" ref="W34:W97" si="5">IFERROR(((R34-Q34)/Q34)*100,NA())</f>
        <v>3.9898960128619798</v>
      </c>
      <c r="X34" s="271">
        <f>IFERROR(S33-S34,NA())</f>
        <v>1.3390140338839451E-2</v>
      </c>
      <c r="Y34" s="436"/>
      <c r="Z34" s="12"/>
      <c r="AA34" s="12"/>
      <c r="AB34" s="12"/>
      <c r="AM34" s="224"/>
      <c r="AN34" s="224"/>
      <c r="AO34" s="224"/>
      <c r="AP34" s="224"/>
      <c r="AQ34" s="179"/>
      <c r="AR34" s="224"/>
      <c r="AS34" s="224"/>
      <c r="AT34" s="224"/>
    </row>
    <row r="35" spans="1:46" ht="15.75" x14ac:dyDescent="0.25">
      <c r="A35" s="505">
        <v>3</v>
      </c>
      <c r="B35" s="506">
        <v>-38</v>
      </c>
      <c r="C35" s="664">
        <f>IFERROR('Device Resistance Tables'!C22,NA())</f>
        <v>6590.2953277004672</v>
      </c>
      <c r="D35" s="554">
        <f>IFERROR('Device Resistance Tables'!D22,NA())</f>
        <v>6690.6551550258555</v>
      </c>
      <c r="E35" s="664">
        <f>IFERROR('Device Resistance Tables'!F22,NA())</f>
        <v>6791.0149823512429</v>
      </c>
      <c r="F35" s="690">
        <f>IFERROR(D35*($B$15/(Main!$N$31+D35)),NA())</f>
        <v>2.0043117220030693</v>
      </c>
      <c r="G35" s="690">
        <f>IFERROR($B$16*($B$15/(Main!$N$31+D35)),NA())</f>
        <v>2.9956882779969307</v>
      </c>
      <c r="H35" s="664">
        <f t="shared" si="1"/>
        <v>43.761773479694966</v>
      </c>
      <c r="I35" s="691">
        <f t="shared" si="2"/>
        <v>2.9956882779969305E-4</v>
      </c>
      <c r="J35" s="690">
        <f>IFERROR(($B$15/(Main!$N$31+D35))^2*(Main!$N$31+D35)*1000,NA())</f>
        <v>1.4978441389984651</v>
      </c>
      <c r="K35" s="274">
        <f t="shared" si="3"/>
        <v>-1.5000000000000073</v>
      </c>
      <c r="L35" s="274">
        <f t="shared" si="0"/>
        <v>1.4999999999999938</v>
      </c>
      <c r="M35" s="271">
        <f t="shared" ref="M35:M98" si="6">IFERROR(F35-F34,NA())</f>
        <v>7.8751409546964357E-3</v>
      </c>
      <c r="N35" s="692"/>
      <c r="O35" s="569">
        <v>-38</v>
      </c>
      <c r="P35" s="697">
        <v>168214.1</v>
      </c>
      <c r="Q35" s="697">
        <v>174845.2</v>
      </c>
      <c r="R35" s="697">
        <v>181719.5</v>
      </c>
      <c r="S35" s="695">
        <f>IFERROR(Q35*($B$15/(Main!$N$31+Q35)),NA())</f>
        <v>4.7295033898635177</v>
      </c>
      <c r="T35" s="664">
        <f t="shared" ref="T35:T98" si="7">IFERROR(Q34-Q35,NA())</f>
        <v>10071.899999999994</v>
      </c>
      <c r="U35" s="696">
        <f>IFERROR(($B$15/(Main!$N$31+Q35))^2*(Main!$N$31+Q35)*1000,NA())</f>
        <v>0.13524830506824084</v>
      </c>
      <c r="V35" s="274">
        <f t="shared" si="4"/>
        <v>-3.7925547856046404</v>
      </c>
      <c r="W35" s="274">
        <f t="shared" si="5"/>
        <v>3.9316492531679383</v>
      </c>
      <c r="X35" s="271">
        <f t="shared" ref="X35:X98" si="8">IFERROR(S34-S35,NA())</f>
        <v>1.3977300132382631E-2</v>
      </c>
      <c r="Y35" s="436"/>
      <c r="Z35" s="12"/>
      <c r="AA35" s="12"/>
      <c r="AB35" s="12"/>
      <c r="AM35" s="224"/>
      <c r="AN35" s="224"/>
      <c r="AO35" s="224"/>
      <c r="AP35" s="224"/>
      <c r="AQ35" s="179"/>
      <c r="AR35" s="224"/>
      <c r="AS35" s="224"/>
      <c r="AT35" s="224"/>
    </row>
    <row r="36" spans="1:46" ht="15.75" x14ac:dyDescent="0.25">
      <c r="A36" s="505">
        <v>4</v>
      </c>
      <c r="B36" s="506">
        <v>-37</v>
      </c>
      <c r="C36" s="664">
        <f>IFERROR('Device Resistance Tables'!C23,NA())</f>
        <v>6633.697849964783</v>
      </c>
      <c r="D36" s="554">
        <f>IFERROR('Device Resistance Tables'!D23,NA())</f>
        <v>6734.7186294058711</v>
      </c>
      <c r="E36" s="664">
        <f>IFERROR('Device Resistance Tables'!F23,NA())</f>
        <v>6835.7394088469582</v>
      </c>
      <c r="F36" s="690">
        <f>IFERROR(D36*($B$15/(Main!$N$31+D36)),NA())</f>
        <v>2.0121995411299523</v>
      </c>
      <c r="G36" s="690">
        <f>IFERROR($B$16*($B$15/(Main!$N$31+D36)),NA())</f>
        <v>2.9878004588700482</v>
      </c>
      <c r="H36" s="664">
        <f t="shared" si="1"/>
        <v>44.063474380015577</v>
      </c>
      <c r="I36" s="691">
        <f t="shared" si="2"/>
        <v>2.9878004588700482E-4</v>
      </c>
      <c r="J36" s="690">
        <f>IFERROR(($B$15/(Main!$N$31+D36))^2*(Main!$N$31+D36)*1000,NA())</f>
        <v>1.4939002294350241</v>
      </c>
      <c r="K36" s="274">
        <f t="shared" si="3"/>
        <v>-1.4999999999999998</v>
      </c>
      <c r="L36" s="274">
        <f t="shared" si="0"/>
        <v>1.4999999999999862</v>
      </c>
      <c r="M36" s="271">
        <f t="shared" si="6"/>
        <v>7.8878191268829667E-3</v>
      </c>
      <c r="N36" s="692"/>
      <c r="O36" s="569">
        <v>-37</v>
      </c>
      <c r="P36" s="697">
        <v>159206.9</v>
      </c>
      <c r="Q36" s="697">
        <v>165391</v>
      </c>
      <c r="R36" s="697">
        <v>171798.1</v>
      </c>
      <c r="S36" s="695">
        <f>IFERROR(Q36*($B$15/(Main!$N$31+Q36)),NA())</f>
        <v>4.7149226585172554</v>
      </c>
      <c r="T36" s="664">
        <f t="shared" si="7"/>
        <v>9454.2000000000116</v>
      </c>
      <c r="U36" s="696">
        <f>IFERROR(($B$15/(Main!$N$31+Q36))^2*(Main!$N$31+Q36)*1000,NA())</f>
        <v>0.14253867074137214</v>
      </c>
      <c r="V36" s="274">
        <f t="shared" si="4"/>
        <v>-3.7390789099769672</v>
      </c>
      <c r="W36" s="274">
        <f t="shared" si="5"/>
        <v>3.8739109141368062</v>
      </c>
      <c r="X36" s="271">
        <f t="shared" si="8"/>
        <v>1.4580731346262255E-2</v>
      </c>
      <c r="Y36" s="436"/>
      <c r="Z36" s="12"/>
      <c r="AA36" s="12"/>
      <c r="AB36" s="12"/>
      <c r="AM36" s="224"/>
      <c r="AN36" s="224"/>
      <c r="AO36" s="224"/>
      <c r="AP36" s="224"/>
      <c r="AQ36" s="179"/>
      <c r="AR36" s="224"/>
      <c r="AS36" s="224"/>
      <c r="AT36" s="224"/>
    </row>
    <row r="37" spans="1:46" ht="15.75" x14ac:dyDescent="0.25">
      <c r="A37" s="505">
        <v>5</v>
      </c>
      <c r="B37" s="506">
        <v>-36</v>
      </c>
      <c r="C37" s="664">
        <f>IFERROR('Device Resistance Tables'!C24,NA())</f>
        <v>6677.3975076354982</v>
      </c>
      <c r="D37" s="554">
        <f>IFERROR('Device Resistance Tables'!D24,NA())</f>
        <v>6779.083764096953</v>
      </c>
      <c r="E37" s="664">
        <f>IFERROR('Device Resistance Tables'!F24,NA())</f>
        <v>6880.7700205584069</v>
      </c>
      <c r="F37" s="690">
        <f>IFERROR(D37*($B$15/(Main!$N$31+D37)),NA())</f>
        <v>2.0200995058509981</v>
      </c>
      <c r="G37" s="690">
        <f>IFERROR($B$16*($B$15/(Main!$N$31+D37)),NA())</f>
        <v>2.979900494149001</v>
      </c>
      <c r="H37" s="664">
        <f t="shared" si="1"/>
        <v>44.365134691081948</v>
      </c>
      <c r="I37" s="691">
        <f t="shared" si="2"/>
        <v>2.9799004941490011E-4</v>
      </c>
      <c r="J37" s="690">
        <f>IFERROR(($B$15/(Main!$N$31+D37))^2*(Main!$N$31+D37)*1000,NA())</f>
        <v>1.4899502470745005</v>
      </c>
      <c r="K37" s="274">
        <f t="shared" si="3"/>
        <v>-1.500000000000008</v>
      </c>
      <c r="L37" s="274">
        <f t="shared" si="0"/>
        <v>1.4999999999999947</v>
      </c>
      <c r="M37" s="271">
        <f t="shared" si="6"/>
        <v>7.8999647210458157E-3</v>
      </c>
      <c r="N37" s="692"/>
      <c r="O37" s="569">
        <v>-36</v>
      </c>
      <c r="P37" s="697">
        <v>150743.5</v>
      </c>
      <c r="Q37" s="697">
        <v>156512.5</v>
      </c>
      <c r="R37" s="697">
        <v>162486</v>
      </c>
      <c r="S37" s="695">
        <f>IFERROR(Q37*($B$15/(Main!$N$31+Q37)),NA())</f>
        <v>4.6997222430748442</v>
      </c>
      <c r="T37" s="664">
        <f t="shared" si="7"/>
        <v>8878.5</v>
      </c>
      <c r="U37" s="696">
        <f>IFERROR(($B$15/(Main!$N$31+Q37))^2*(Main!$N$31+Q37)*1000,NA())</f>
        <v>0.15013887846257787</v>
      </c>
      <c r="V37" s="274">
        <f t="shared" si="4"/>
        <v>-3.6859675744748821</v>
      </c>
      <c r="W37" s="274">
        <f t="shared" si="5"/>
        <v>3.81662806485105</v>
      </c>
      <c r="X37" s="271">
        <f t="shared" si="8"/>
        <v>1.5200415442411241E-2</v>
      </c>
      <c r="Y37" s="436"/>
      <c r="Z37" s="12"/>
      <c r="AA37" s="12"/>
      <c r="AB37" s="12"/>
      <c r="AM37" s="224"/>
      <c r="AN37" s="224"/>
      <c r="AO37" s="224"/>
      <c r="AP37" s="224"/>
      <c r="AQ37" s="179"/>
      <c r="AR37" s="224"/>
      <c r="AS37" s="224"/>
      <c r="AT37" s="224"/>
    </row>
    <row r="38" spans="1:46" ht="15.75" x14ac:dyDescent="0.25">
      <c r="A38" s="505">
        <v>6</v>
      </c>
      <c r="B38" s="506">
        <v>-35</v>
      </c>
      <c r="C38" s="664">
        <f>IFERROR('Device Resistance Tables'!C25,NA())</f>
        <v>6721.394269344145</v>
      </c>
      <c r="D38" s="554">
        <f>IFERROR('Device Resistance Tables'!D25,NA())</f>
        <v>6823.7505272529388</v>
      </c>
      <c r="E38" s="664">
        <f>IFERROR('Device Resistance Tables'!F25,NA())</f>
        <v>6926.1067851617327</v>
      </c>
      <c r="F38" s="690">
        <f>IFERROR(D38*($B$15/(Main!$N$31+D38)),NA())</f>
        <v>2.0280110895008479</v>
      </c>
      <c r="G38" s="690">
        <f>IFERROR($B$16*($B$15/(Main!$N$31+D38)),NA())</f>
        <v>2.9719889104991526</v>
      </c>
      <c r="H38" s="664">
        <f t="shared" si="1"/>
        <v>44.666763155985791</v>
      </c>
      <c r="I38" s="691">
        <f t="shared" si="2"/>
        <v>2.9719889104991526E-4</v>
      </c>
      <c r="J38" s="690">
        <f>IFERROR(($B$15/(Main!$N$31+D38))^2*(Main!$N$31+D38)*1000,NA())</f>
        <v>1.4859944552495765</v>
      </c>
      <c r="K38" s="274">
        <f t="shared" si="3"/>
        <v>-1.4999999999999967</v>
      </c>
      <c r="L38" s="274">
        <f t="shared" si="0"/>
        <v>1.4999999999999967</v>
      </c>
      <c r="M38" s="271">
        <f t="shared" si="6"/>
        <v>7.9115836498497849E-3</v>
      </c>
      <c r="N38" s="692"/>
      <c r="O38" s="569">
        <v>-35</v>
      </c>
      <c r="P38" s="697">
        <v>142787.70000000001</v>
      </c>
      <c r="Q38" s="697">
        <v>148171</v>
      </c>
      <c r="R38" s="697">
        <v>153741.79999999999</v>
      </c>
      <c r="S38" s="695">
        <f>IFERROR(Q38*($B$15/(Main!$N$31+Q38)),NA())</f>
        <v>4.6838864267153903</v>
      </c>
      <c r="T38" s="664">
        <f t="shared" si="7"/>
        <v>8341.5</v>
      </c>
      <c r="U38" s="696">
        <f>IFERROR(($B$15/(Main!$N$31+Q38))^2*(Main!$N$31+Q38)*1000,NA())</f>
        <v>0.15805678664230485</v>
      </c>
      <c r="V38" s="274">
        <f t="shared" si="4"/>
        <v>-3.6331670839772885</v>
      </c>
      <c r="W38" s="274">
        <f t="shared" si="5"/>
        <v>3.7597100647225088</v>
      </c>
      <c r="X38" s="271">
        <f t="shared" si="8"/>
        <v>1.5835816359453858E-2</v>
      </c>
      <c r="Y38" s="436"/>
      <c r="Z38" s="12"/>
      <c r="AA38" s="12"/>
      <c r="AB38" s="12"/>
      <c r="AM38" s="224"/>
      <c r="AN38" s="224"/>
      <c r="AO38" s="224"/>
      <c r="AP38" s="224"/>
      <c r="AQ38" s="179"/>
      <c r="AR38" s="224"/>
      <c r="AS38" s="224"/>
      <c r="AT38" s="224"/>
    </row>
    <row r="39" spans="1:46" ht="15.75" x14ac:dyDescent="0.25">
      <c r="A39" s="505">
        <v>7</v>
      </c>
      <c r="B39" s="506">
        <v>-34</v>
      </c>
      <c r="C39" s="664">
        <f>IFERROR('Device Resistance Tables'!C26,NA())</f>
        <v>6765.6881123342037</v>
      </c>
      <c r="D39" s="554">
        <f>IFERROR('Device Resistance Tables'!D26,NA())</f>
        <v>6868.7188957707649</v>
      </c>
      <c r="E39" s="664">
        <f>IFERROR('Device Resistance Tables'!F26,NA())</f>
        <v>6971.7496792073262</v>
      </c>
      <c r="F39" s="690">
        <f>IFERROR(D39*($B$15/(Main!$N$31+D39)),NA())</f>
        <v>2.0359337713229824</v>
      </c>
      <c r="G39" s="690">
        <f>IFERROR($B$16*($B$15/(Main!$N$31+D39)),NA())</f>
        <v>2.9640662286770181</v>
      </c>
      <c r="H39" s="664">
        <f t="shared" si="1"/>
        <v>44.968368517826093</v>
      </c>
      <c r="I39" s="691">
        <f t="shared" si="2"/>
        <v>2.9640662286770184E-4</v>
      </c>
      <c r="J39" s="690">
        <f>IFERROR(($B$15/(Main!$N$31+D39))^2*(Main!$N$31+D39)*1000,NA())</f>
        <v>1.482033114338509</v>
      </c>
      <c r="K39" s="274">
        <f t="shared" si="3"/>
        <v>-1.4999999999999969</v>
      </c>
      <c r="L39" s="274">
        <f t="shared" si="0"/>
        <v>1.4999999999999969</v>
      </c>
      <c r="M39" s="271">
        <f t="shared" si="6"/>
        <v>7.9226818221345141E-3</v>
      </c>
      <c r="N39" s="692"/>
      <c r="O39" s="569">
        <v>-34</v>
      </c>
      <c r="P39" s="697">
        <v>135305.5</v>
      </c>
      <c r="Q39" s="697">
        <v>140330.4</v>
      </c>
      <c r="R39" s="697">
        <v>145527.4</v>
      </c>
      <c r="S39" s="695">
        <f>IFERROR(Q39*($B$15/(Main!$N$31+Q39)),NA())</f>
        <v>4.6673992751965008</v>
      </c>
      <c r="T39" s="664">
        <f t="shared" si="7"/>
        <v>7840.6000000000058</v>
      </c>
      <c r="U39" s="696">
        <f>IFERROR(($B$15/(Main!$N$31+Q39))^2*(Main!$N$31+Q39)*1000,NA())</f>
        <v>0.16630036240174975</v>
      </c>
      <c r="V39" s="274">
        <f t="shared" si="4"/>
        <v>-3.5807636834214072</v>
      </c>
      <c r="W39" s="274">
        <f t="shared" si="5"/>
        <v>3.7034028264723822</v>
      </c>
      <c r="X39" s="271">
        <f t="shared" si="8"/>
        <v>1.6487151518889576E-2</v>
      </c>
      <c r="Y39" s="436"/>
      <c r="Z39" s="12"/>
      <c r="AA39" s="12"/>
      <c r="AB39" s="12"/>
      <c r="AM39" s="224"/>
      <c r="AN39" s="224"/>
      <c r="AO39" s="224"/>
      <c r="AP39" s="224"/>
      <c r="AQ39" s="179"/>
      <c r="AR39" s="224"/>
      <c r="AS39" s="224"/>
      <c r="AT39" s="224"/>
    </row>
    <row r="40" spans="1:46" ht="15.75" x14ac:dyDescent="0.25">
      <c r="A40" s="505">
        <v>8</v>
      </c>
      <c r="B40" s="506">
        <v>-33</v>
      </c>
      <c r="C40" s="664">
        <f>IFERROR('Device Resistance Tables'!C27,NA())</f>
        <v>6810.2790224610972</v>
      </c>
      <c r="D40" s="554">
        <f>IFERROR('Device Resistance Tables'!D27,NA())</f>
        <v>6913.988855290454</v>
      </c>
      <c r="E40" s="664">
        <f>IFERROR('Device Resistance Tables'!F27,NA())</f>
        <v>7017.69868811981</v>
      </c>
      <c r="F40" s="690">
        <f>IFERROR(D40*($B$15/(Main!$N$31+D40)),NA())</f>
        <v>2.0438670364642748</v>
      </c>
      <c r="G40" s="690">
        <f>IFERROR($B$16*($B$15/(Main!$N$31+D40)),NA())</f>
        <v>2.9561329635357256</v>
      </c>
      <c r="H40" s="664">
        <f t="shared" si="1"/>
        <v>45.26995951968911</v>
      </c>
      <c r="I40" s="691">
        <f t="shared" si="2"/>
        <v>2.9561329635357256E-4</v>
      </c>
      <c r="J40" s="690">
        <f>IFERROR(($B$15/(Main!$N$31+D40))^2*(Main!$N$31+D40)*1000,NA())</f>
        <v>1.4780664817678628</v>
      </c>
      <c r="K40" s="274">
        <f t="shared" si="3"/>
        <v>-1.5000000000000007</v>
      </c>
      <c r="L40" s="274">
        <f t="shared" si="0"/>
        <v>1.4999999999999876</v>
      </c>
      <c r="M40" s="271">
        <f t="shared" si="6"/>
        <v>7.9332651412924449E-3</v>
      </c>
      <c r="N40" s="692"/>
      <c r="O40" s="569">
        <v>-33</v>
      </c>
      <c r="P40" s="697">
        <v>128265.9</v>
      </c>
      <c r="Q40" s="697">
        <v>132957.6</v>
      </c>
      <c r="R40" s="697">
        <v>137807.1</v>
      </c>
      <c r="S40" s="695">
        <f>IFERROR(Q40*($B$15/(Main!$N$31+Q40)),NA())</f>
        <v>4.6502459470500339</v>
      </c>
      <c r="T40" s="664">
        <f t="shared" si="7"/>
        <v>7372.7999999999884</v>
      </c>
      <c r="U40" s="696">
        <f>IFERROR(($B$15/(Main!$N$31+Q40))^2*(Main!$N$31+Q40)*1000,NA())</f>
        <v>0.17487702647498277</v>
      </c>
      <c r="V40" s="274">
        <f t="shared" si="4"/>
        <v>-3.5287189299445925</v>
      </c>
      <c r="W40" s="274">
        <f t="shared" si="5"/>
        <v>3.6474033827325401</v>
      </c>
      <c r="X40" s="271">
        <f t="shared" si="8"/>
        <v>1.7153328146466862E-2</v>
      </c>
      <c r="Y40" s="436"/>
      <c r="Z40" s="12"/>
      <c r="AA40" s="12"/>
      <c r="AB40" s="12"/>
      <c r="AM40" s="224"/>
      <c r="AN40" s="224"/>
      <c r="AO40" s="224"/>
      <c r="AP40" s="224"/>
      <c r="AQ40" s="179"/>
      <c r="AR40" s="224"/>
      <c r="AS40" s="224"/>
      <c r="AT40" s="224"/>
    </row>
    <row r="41" spans="1:46" ht="15.75" x14ac:dyDescent="0.25">
      <c r="A41" s="505">
        <v>9</v>
      </c>
      <c r="B41" s="506">
        <v>-32</v>
      </c>
      <c r="C41" s="664">
        <f>IFERROR('Device Resistance Tables'!C28,NA())</f>
        <v>6855.1669941921955</v>
      </c>
      <c r="D41" s="554">
        <f>IFERROR('Device Resistance Tables'!D28,NA())</f>
        <v>6959.5604001951224</v>
      </c>
      <c r="E41" s="664">
        <f>IFERROR('Device Resistance Tables'!F28,NA())</f>
        <v>7063.9538061980484</v>
      </c>
      <c r="F41" s="690">
        <f>IFERROR(D41*($B$15/(Main!$N$31+D41)),NA())</f>
        <v>2.051810375967956</v>
      </c>
      <c r="G41" s="690">
        <f>IFERROR($B$16*($B$15/(Main!$N$31+D41)),NA())</f>
        <v>2.948189624032044</v>
      </c>
      <c r="H41" s="664">
        <f t="shared" si="1"/>
        <v>45.571544904668372</v>
      </c>
      <c r="I41" s="691">
        <f t="shared" si="2"/>
        <v>2.9481896240320441E-4</v>
      </c>
      <c r="J41" s="690">
        <f>IFERROR(($B$15/(Main!$N$31+D41))^2*(Main!$N$31+D41)*1000,NA())</f>
        <v>1.474094812016022</v>
      </c>
      <c r="K41" s="274">
        <f t="shared" si="3"/>
        <v>-1.5000000000000009</v>
      </c>
      <c r="L41" s="274">
        <f t="shared" si="0"/>
        <v>1.4999999999999878</v>
      </c>
      <c r="M41" s="271">
        <f t="shared" si="6"/>
        <v>7.9433395036812016E-3</v>
      </c>
      <c r="N41" s="692"/>
      <c r="O41" s="569">
        <v>-32</v>
      </c>
      <c r="P41" s="697">
        <v>121639.7</v>
      </c>
      <c r="Q41" s="697">
        <v>126021.5</v>
      </c>
      <c r="R41" s="697">
        <v>130548.1</v>
      </c>
      <c r="S41" s="695">
        <f>IFERROR(Q41*($B$15/(Main!$N$31+Q41)),NA())</f>
        <v>4.6324110526644686</v>
      </c>
      <c r="T41" s="664">
        <f t="shared" si="7"/>
        <v>6936.1000000000058</v>
      </c>
      <c r="U41" s="696">
        <f>IFERROR(($B$15/(Main!$N$31+Q41))^2*(Main!$N$31+Q41)*1000,NA())</f>
        <v>0.18379447366776577</v>
      </c>
      <c r="V41" s="274">
        <f t="shared" si="4"/>
        <v>-3.4770257456069027</v>
      </c>
      <c r="W41" s="274">
        <f t="shared" si="5"/>
        <v>3.5919267743996111</v>
      </c>
      <c r="X41" s="271">
        <f t="shared" si="8"/>
        <v>1.7834894385565292E-2</v>
      </c>
      <c r="Y41" s="436"/>
      <c r="Z41" s="12"/>
      <c r="AA41" s="12"/>
      <c r="AB41" s="12"/>
      <c r="AM41" s="224"/>
      <c r="AN41" s="224"/>
      <c r="AO41" s="224"/>
      <c r="AP41" s="224"/>
      <c r="AQ41" s="179"/>
      <c r="AR41" s="224"/>
      <c r="AS41" s="224"/>
      <c r="AT41" s="224"/>
    </row>
    <row r="42" spans="1:46" ht="15.75" x14ac:dyDescent="0.25">
      <c r="A42" s="505">
        <v>10</v>
      </c>
      <c r="B42" s="506">
        <v>-31</v>
      </c>
      <c r="C42" s="664">
        <f>IFERROR('Device Resistance Tables'!C29,NA())</f>
        <v>6900.3520306068158</v>
      </c>
      <c r="D42" s="554">
        <f>IFERROR('Device Resistance Tables'!D29,NA())</f>
        <v>7005.4335336109807</v>
      </c>
      <c r="E42" s="664">
        <f>IFERROR('Device Resistance Tables'!F29,NA())</f>
        <v>7110.5150366151447</v>
      </c>
      <c r="F42" s="690">
        <f>IFERROR(D42*($B$15/(Main!$N$31+D42)),NA())</f>
        <v>2.0597632867650355</v>
      </c>
      <c r="G42" s="690">
        <f>IFERROR($B$16*($B$15/(Main!$N$31+D42)),NA())</f>
        <v>2.9402367132349649</v>
      </c>
      <c r="H42" s="664">
        <f t="shared" si="1"/>
        <v>45.873133415858319</v>
      </c>
      <c r="I42" s="691">
        <f t="shared" si="2"/>
        <v>2.9402367132349649E-4</v>
      </c>
      <c r="J42" s="690">
        <f>IFERROR(($B$15/(Main!$N$31+D42))^2*(Main!$N$31+D42)*1000,NA())</f>
        <v>1.4701183566174825</v>
      </c>
      <c r="K42" s="274">
        <f t="shared" si="3"/>
        <v>-1.5000000000000029</v>
      </c>
      <c r="L42" s="274">
        <f t="shared" si="0"/>
        <v>1.4999999999999898</v>
      </c>
      <c r="M42" s="271">
        <f t="shared" si="6"/>
        <v>7.9529107970794932E-3</v>
      </c>
      <c r="N42" s="692"/>
      <c r="O42" s="569">
        <v>-31</v>
      </c>
      <c r="P42" s="697">
        <v>115400.1</v>
      </c>
      <c r="Q42" s="697">
        <v>119493.6</v>
      </c>
      <c r="R42" s="697">
        <v>123719.8</v>
      </c>
      <c r="S42" s="695">
        <f>IFERROR(Q42*($B$15/(Main!$N$31+Q42)),NA())</f>
        <v>4.6138805315475047</v>
      </c>
      <c r="T42" s="664">
        <f t="shared" si="7"/>
        <v>6527.8999999999942</v>
      </c>
      <c r="U42" s="696">
        <f>IFERROR(($B$15/(Main!$N$31+Q42))^2*(Main!$N$31+Q42)*1000,NA())</f>
        <v>0.19305973422624745</v>
      </c>
      <c r="V42" s="274">
        <f t="shared" si="4"/>
        <v>-3.4257064813513023</v>
      </c>
      <c r="W42" s="274">
        <f t="shared" si="5"/>
        <v>3.53675845400925</v>
      </c>
      <c r="X42" s="271">
        <f t="shared" si="8"/>
        <v>1.8530521116963961E-2</v>
      </c>
      <c r="Y42" s="436"/>
      <c r="Z42" s="12"/>
      <c r="AA42" s="12"/>
      <c r="AB42" s="12"/>
      <c r="AM42" s="224"/>
      <c r="AN42" s="224"/>
      <c r="AO42" s="224"/>
      <c r="AP42" s="224"/>
      <c r="AQ42" s="179"/>
      <c r="AR42" s="224"/>
      <c r="AS42" s="224"/>
      <c r="AT42" s="224"/>
    </row>
    <row r="43" spans="1:46" ht="15.75" x14ac:dyDescent="0.25">
      <c r="A43" s="505">
        <v>11</v>
      </c>
      <c r="B43" s="506">
        <v>-30</v>
      </c>
      <c r="C43" s="664">
        <f>IFERROR('Device Resistance Tables'!C30,NA())</f>
        <v>6945.8341433962214</v>
      </c>
      <c r="D43" s="554">
        <f>IFERROR('Device Resistance Tables'!D30,NA())</f>
        <v>7051.6082674073314</v>
      </c>
      <c r="E43" s="664">
        <f>IFERROR('Device Resistance Tables'!F30,NA())</f>
        <v>7157.3823914184404</v>
      </c>
      <c r="F43" s="690">
        <f>IFERROR(D43*($B$15/(Main!$N$31+D43)),NA())</f>
        <v>2.067725271664218</v>
      </c>
      <c r="G43" s="690">
        <f>IFERROR($B$16*($B$15/(Main!$N$31+D43)),NA())</f>
        <v>2.9322747283357815</v>
      </c>
      <c r="H43" s="664">
        <f t="shared" si="1"/>
        <v>46.174733796350665</v>
      </c>
      <c r="I43" s="691">
        <f t="shared" si="2"/>
        <v>2.9322747283357808E-4</v>
      </c>
      <c r="J43" s="690">
        <f>IFERROR(($B$15/(Main!$N$31+D43))^2*(Main!$N$31+D43)*1000,NA())</f>
        <v>1.4661373641678908</v>
      </c>
      <c r="K43" s="274">
        <f t="shared" si="3"/>
        <v>-1.5</v>
      </c>
      <c r="L43" s="274">
        <f t="shared" si="0"/>
        <v>1.4999999999999869</v>
      </c>
      <c r="M43" s="271">
        <f t="shared" si="6"/>
        <v>7.9619848991825393E-3</v>
      </c>
      <c r="N43" s="692"/>
      <c r="O43" s="569">
        <v>-30</v>
      </c>
      <c r="P43" s="697">
        <v>109522.1</v>
      </c>
      <c r="Q43" s="697">
        <v>113347.1</v>
      </c>
      <c r="R43" s="697">
        <v>117294</v>
      </c>
      <c r="S43" s="695">
        <f>IFERROR(Q43*($B$15/(Main!$N$31+Q43)),NA())</f>
        <v>4.5946398415528211</v>
      </c>
      <c r="T43" s="664">
        <f t="shared" si="7"/>
        <v>6146.5</v>
      </c>
      <c r="U43" s="696">
        <f>IFERROR(($B$15/(Main!$N$31+Q43))^2*(Main!$N$31+Q43)*1000,NA())</f>
        <v>0.20268007922358935</v>
      </c>
      <c r="V43" s="274">
        <f t="shared" si="4"/>
        <v>-3.3745900865571326</v>
      </c>
      <c r="W43" s="274">
        <f t="shared" si="5"/>
        <v>3.482135846439824</v>
      </c>
      <c r="X43" s="271">
        <f t="shared" si="8"/>
        <v>1.9240689994683535E-2</v>
      </c>
      <c r="Y43" s="436"/>
      <c r="Z43" s="12"/>
      <c r="AA43" s="12"/>
      <c r="AB43" s="12"/>
      <c r="AM43" s="224"/>
      <c r="AN43" s="224"/>
      <c r="AO43" s="224"/>
      <c r="AP43" s="224"/>
      <c r="AQ43" s="179"/>
      <c r="AR43" s="224"/>
      <c r="AS43" s="224"/>
      <c r="AT43" s="224"/>
    </row>
    <row r="44" spans="1:46" ht="15.75" x14ac:dyDescent="0.25">
      <c r="A44" s="505">
        <v>12</v>
      </c>
      <c r="B44" s="506">
        <v>-29</v>
      </c>
      <c r="C44" s="664">
        <f>IFERROR('Device Resistance Tables'!C31,NA())</f>
        <v>6991.6133528636183</v>
      </c>
      <c r="D44" s="554">
        <f>IFERROR('Device Resistance Tables'!D31,NA())</f>
        <v>7098.0846221965667</v>
      </c>
      <c r="E44" s="664">
        <f>IFERROR('Device Resistance Tables'!F31,NA())</f>
        <v>7204.5558915295142</v>
      </c>
      <c r="F44" s="690">
        <f>IFERROR(D44*($B$15/(Main!$N$31+D44)),NA())</f>
        <v>2.0756958393403617</v>
      </c>
      <c r="G44" s="690">
        <f>IFERROR($B$16*($B$15/(Main!$N$31+D44)),NA())</f>
        <v>2.9243041606596383</v>
      </c>
      <c r="H44" s="664">
        <f t="shared" si="1"/>
        <v>46.476354789235302</v>
      </c>
      <c r="I44" s="691">
        <f t="shared" si="2"/>
        <v>2.9243041606596384E-4</v>
      </c>
      <c r="J44" s="690">
        <f>IFERROR(($B$15/(Main!$N$31+D44))^2*(Main!$N$31+D44)*1000,NA())</f>
        <v>1.4621520803298191</v>
      </c>
      <c r="K44" s="274">
        <f t="shared" si="3"/>
        <v>-1.4999999999999987</v>
      </c>
      <c r="L44" s="274">
        <f t="shared" si="0"/>
        <v>1.4999999999999858</v>
      </c>
      <c r="M44" s="271">
        <f t="shared" si="6"/>
        <v>7.9705676761436806E-3</v>
      </c>
      <c r="N44" s="692"/>
      <c r="O44" s="569">
        <v>-29</v>
      </c>
      <c r="P44" s="697">
        <v>103989.4</v>
      </c>
      <c r="Q44" s="697">
        <v>107564.9</v>
      </c>
      <c r="R44" s="697">
        <v>111252.2</v>
      </c>
      <c r="S44" s="695">
        <f>IFERROR(Q44*($B$15/(Main!$N$31+Q44)),NA())</f>
        <v>4.5747029938357455</v>
      </c>
      <c r="T44" s="664">
        <f t="shared" si="7"/>
        <v>5782.2000000000116</v>
      </c>
      <c r="U44" s="696">
        <f>IFERROR(($B$15/(Main!$N$31+Q44))^2*(Main!$N$31+Q44)*1000,NA())</f>
        <v>0.21264850308212743</v>
      </c>
      <c r="V44" s="274">
        <f t="shared" si="4"/>
        <v>-3.3240397192764561</v>
      </c>
      <c r="W44" s="274">
        <f t="shared" si="5"/>
        <v>3.4279769701826557</v>
      </c>
      <c r="X44" s="271">
        <f t="shared" si="8"/>
        <v>1.9936847717075601E-2</v>
      </c>
      <c r="Y44" s="436"/>
      <c r="Z44" s="12"/>
      <c r="AA44" s="12"/>
      <c r="AB44" s="12"/>
      <c r="AM44" s="224"/>
      <c r="AN44" s="224"/>
      <c r="AO44" s="224"/>
      <c r="AP44" s="224"/>
      <c r="AQ44" s="179"/>
      <c r="AR44" s="224"/>
      <c r="AS44" s="224"/>
      <c r="AT44" s="224"/>
    </row>
    <row r="45" spans="1:46" ht="15.75" x14ac:dyDescent="0.25">
      <c r="A45" s="505">
        <v>13</v>
      </c>
      <c r="B45" s="506">
        <v>-28</v>
      </c>
      <c r="C45" s="664">
        <f>IFERROR('Device Resistance Tables'!C32,NA())</f>
        <v>7037.6896879241594</v>
      </c>
      <c r="D45" s="554">
        <f>IFERROR('Device Resistance Tables'!D32,NA())</f>
        <v>7144.8626273341724</v>
      </c>
      <c r="E45" s="664">
        <f>IFERROR('Device Resistance Tables'!F32,NA())</f>
        <v>7252.0355667441845</v>
      </c>
      <c r="F45" s="690">
        <f>IFERROR(D45*($B$15/(Main!$N$31+D45)),NA())</f>
        <v>2.083674504321507</v>
      </c>
      <c r="G45" s="690">
        <f>IFERROR($B$16*($B$15/(Main!$N$31+D45)),NA())</f>
        <v>2.916325495678493</v>
      </c>
      <c r="H45" s="664">
        <f t="shared" si="1"/>
        <v>46.77800513760576</v>
      </c>
      <c r="I45" s="691">
        <f t="shared" si="2"/>
        <v>2.9163254956784929E-4</v>
      </c>
      <c r="J45" s="690">
        <f>IFERROR(($B$15/(Main!$N$31+D45))^2*(Main!$N$31+D45)*1000,NA())</f>
        <v>1.4581627478392465</v>
      </c>
      <c r="K45" s="274">
        <f t="shared" si="3"/>
        <v>-1.5000000000000058</v>
      </c>
      <c r="L45" s="274">
        <f t="shared" si="0"/>
        <v>1.4999999999999929</v>
      </c>
      <c r="M45" s="271">
        <f t="shared" si="6"/>
        <v>7.9786649811453003E-3</v>
      </c>
      <c r="N45" s="692"/>
      <c r="O45" s="569">
        <v>-28</v>
      </c>
      <c r="P45" s="697">
        <v>98772.5</v>
      </c>
      <c r="Q45" s="697">
        <v>102115.5</v>
      </c>
      <c r="R45" s="697">
        <v>105561.1</v>
      </c>
      <c r="S45" s="695">
        <f>IFERROR(Q45*($B$15/(Main!$N$31+Q45)),NA())</f>
        <v>4.5540313337584903</v>
      </c>
      <c r="T45" s="664">
        <f t="shared" si="7"/>
        <v>5449.3999999999942</v>
      </c>
      <c r="U45" s="696">
        <f>IFERROR(($B$15/(Main!$N$31+Q45))^2*(Main!$N$31+Q45)*1000,NA())</f>
        <v>0.22298433312075494</v>
      </c>
      <c r="V45" s="274">
        <f t="shared" si="4"/>
        <v>-3.2737439468053333</v>
      </c>
      <c r="W45" s="274">
        <f t="shared" si="5"/>
        <v>3.3742184095460592</v>
      </c>
      <c r="X45" s="271">
        <f t="shared" si="8"/>
        <v>2.0671660077255183E-2</v>
      </c>
      <c r="Y45" s="436"/>
      <c r="Z45" s="12"/>
      <c r="AA45" s="12"/>
      <c r="AB45" s="12"/>
      <c r="AM45" s="224"/>
      <c r="AN45" s="224"/>
      <c r="AO45" s="224"/>
      <c r="AP45" s="224"/>
      <c r="AQ45" s="179"/>
      <c r="AR45" s="224"/>
      <c r="AS45" s="224"/>
      <c r="AT45" s="224"/>
    </row>
    <row r="46" spans="1:46" ht="15.75" x14ac:dyDescent="0.25">
      <c r="A46" s="505">
        <v>14</v>
      </c>
      <c r="B46" s="506">
        <v>-27</v>
      </c>
      <c r="C46" s="664">
        <f>IFERROR('Device Resistance Tables'!C33,NA())</f>
        <v>7084.0631861049515</v>
      </c>
      <c r="D46" s="554">
        <f>IFERROR('Device Resistance Tables'!D33,NA())</f>
        <v>7191.9423209187325</v>
      </c>
      <c r="E46" s="664">
        <f>IFERROR('Device Resistance Tables'!F33,NA())</f>
        <v>7299.8214557325127</v>
      </c>
      <c r="F46" s="690">
        <f>IFERROR(D46*($B$15/(Main!$N$31+D46)),NA())</f>
        <v>2.0916607869745332</v>
      </c>
      <c r="G46" s="690">
        <f>IFERROR($B$16*($B$15/(Main!$N$31+D46)),NA())</f>
        <v>2.9083392130254664</v>
      </c>
      <c r="H46" s="664">
        <f t="shared" si="1"/>
        <v>47.079693584560118</v>
      </c>
      <c r="I46" s="691">
        <f t="shared" si="2"/>
        <v>2.9083392130254662E-4</v>
      </c>
      <c r="J46" s="690">
        <f>IFERROR(($B$15/(Main!$N$31+D46))^2*(Main!$N$31+D46)*1000,NA())</f>
        <v>1.454169606512733</v>
      </c>
      <c r="K46" s="274">
        <f t="shared" si="3"/>
        <v>-1.5000000000000016</v>
      </c>
      <c r="L46" s="274">
        <f t="shared" si="0"/>
        <v>1.4999999999999889</v>
      </c>
      <c r="M46" s="271">
        <f t="shared" si="6"/>
        <v>7.9862826530261444E-3</v>
      </c>
      <c r="N46" s="692"/>
      <c r="O46" s="569">
        <v>-27</v>
      </c>
      <c r="P46" s="697">
        <v>93851.199999999997</v>
      </c>
      <c r="Q46" s="697">
        <v>96977.600000000006</v>
      </c>
      <c r="R46" s="697">
        <v>100198.1</v>
      </c>
      <c r="S46" s="695">
        <f>IFERROR(Q46*($B$15/(Main!$N$31+Q46)),NA())</f>
        <v>4.5326124347526955</v>
      </c>
      <c r="T46" s="664">
        <f t="shared" si="7"/>
        <v>5137.8999999999942</v>
      </c>
      <c r="U46" s="696">
        <f>IFERROR(($B$15/(Main!$N$31+Q46))^2*(Main!$N$31+Q46)*1000,NA())</f>
        <v>0.23369378262365204</v>
      </c>
      <c r="V46" s="274">
        <f t="shared" si="4"/>
        <v>-3.2238372572635421</v>
      </c>
      <c r="W46" s="274">
        <f t="shared" si="5"/>
        <v>3.320869974097111</v>
      </c>
      <c r="X46" s="271">
        <f t="shared" si="8"/>
        <v>2.1418899005794856E-2</v>
      </c>
      <c r="Y46" s="436"/>
      <c r="Z46" s="12"/>
      <c r="AA46" s="12"/>
      <c r="AB46" s="12"/>
      <c r="AM46" s="224"/>
      <c r="AN46" s="224"/>
      <c r="AO46" s="224"/>
      <c r="AP46" s="224"/>
      <c r="AQ46" s="179"/>
      <c r="AR46" s="224"/>
      <c r="AS46" s="224"/>
      <c r="AT46" s="224"/>
    </row>
    <row r="47" spans="1:46" ht="15.75" x14ac:dyDescent="0.25">
      <c r="A47" s="505">
        <v>15</v>
      </c>
      <c r="B47" s="506">
        <v>-26</v>
      </c>
      <c r="C47" s="664">
        <f>IFERROR('Device Resistance Tables'!C34,NA())</f>
        <v>7130.7338935450325</v>
      </c>
      <c r="D47" s="554">
        <f>IFERROR('Device Resistance Tables'!D34,NA())</f>
        <v>7239.3237497919117</v>
      </c>
      <c r="E47" s="664">
        <f>IFERROR('Device Resistance Tables'!F34,NA())</f>
        <v>7347.91360603879</v>
      </c>
      <c r="F47" s="690">
        <f>IFERROR(D47*($B$15/(Main!$N$31+D47)),NA())</f>
        <v>2.0996542134894631</v>
      </c>
      <c r="G47" s="690">
        <f>IFERROR($B$16*($B$15/(Main!$N$31+D47)),NA())</f>
        <v>2.9003457865105373</v>
      </c>
      <c r="H47" s="664">
        <f t="shared" si="1"/>
        <v>47.381428873179175</v>
      </c>
      <c r="I47" s="691">
        <f t="shared" si="2"/>
        <v>2.9003457865105366E-4</v>
      </c>
      <c r="J47" s="690">
        <f>IFERROR(($B$15/(Main!$N$31+D47))^2*(Main!$N$31+D47)*1000,NA())</f>
        <v>1.4501728932552689</v>
      </c>
      <c r="K47" s="274">
        <f t="shared" si="3"/>
        <v>-1.5000000000000073</v>
      </c>
      <c r="L47" s="274">
        <f t="shared" si="0"/>
        <v>1.4999999999999947</v>
      </c>
      <c r="M47" s="271">
        <f t="shared" si="6"/>
        <v>7.9934265149299577E-3</v>
      </c>
      <c r="N47" s="692"/>
      <c r="O47" s="569">
        <v>-26</v>
      </c>
      <c r="P47" s="697">
        <v>89207.1</v>
      </c>
      <c r="Q47" s="697">
        <v>92131.5</v>
      </c>
      <c r="R47" s="697">
        <v>95142.3</v>
      </c>
      <c r="S47" s="695">
        <f>IFERROR(Q47*($B$15/(Main!$N$31+Q47)),NA())</f>
        <v>4.5104350763476493</v>
      </c>
      <c r="T47" s="664">
        <f t="shared" si="7"/>
        <v>4846.1000000000058</v>
      </c>
      <c r="U47" s="696">
        <f>IFERROR(($B$15/(Main!$N$31+Q47))^2*(Main!$N$31+Q47)*1000,NA())</f>
        <v>0.24478246182617505</v>
      </c>
      <c r="V47" s="274">
        <f t="shared" si="4"/>
        <v>-3.1741586753716091</v>
      </c>
      <c r="W47" s="274">
        <f t="shared" si="5"/>
        <v>3.2679376760391428</v>
      </c>
      <c r="X47" s="271">
        <f t="shared" si="8"/>
        <v>2.2177358405046199E-2</v>
      </c>
      <c r="Y47" s="436"/>
      <c r="Z47" s="12"/>
      <c r="AA47" s="12"/>
      <c r="AB47" s="12"/>
      <c r="AM47" s="224"/>
      <c r="AN47" s="224"/>
      <c r="AO47" s="224"/>
      <c r="AP47" s="224"/>
      <c r="AQ47" s="179"/>
      <c r="AR47" s="224"/>
      <c r="AS47" s="224"/>
      <c r="AT47" s="224"/>
    </row>
    <row r="48" spans="1:46" ht="15.75" x14ac:dyDescent="0.25">
      <c r="A48" s="505">
        <v>16</v>
      </c>
      <c r="B48" s="506">
        <v>-25</v>
      </c>
      <c r="C48" s="664">
        <f>IFERROR('Device Resistance Tables'!C35,NA())</f>
        <v>7177.701864995398</v>
      </c>
      <c r="D48" s="554">
        <f>IFERROR('Device Resistance Tables'!D35,NA())</f>
        <v>7287.0069695384755</v>
      </c>
      <c r="E48" s="664">
        <f>IFERROR('Device Resistance Tables'!F35,NA())</f>
        <v>7396.3120740815521</v>
      </c>
      <c r="F48" s="690">
        <f>IFERROR(D48*($B$15/(Main!$N$31+D48)),NA())</f>
        <v>2.1076543158624705</v>
      </c>
      <c r="G48" s="690">
        <f>IFERROR($B$16*($B$15/(Main!$N$31+D48)),NA())</f>
        <v>2.8923456841375295</v>
      </c>
      <c r="H48" s="664">
        <f t="shared" si="1"/>
        <v>47.683219746563736</v>
      </c>
      <c r="I48" s="691">
        <f t="shared" si="2"/>
        <v>2.8923456841375294E-4</v>
      </c>
      <c r="J48" s="690">
        <f>IFERROR(($B$15/(Main!$N$31+D48))^2*(Main!$N$31+D48)*1000,NA())</f>
        <v>1.4461728420687647</v>
      </c>
      <c r="K48" s="274">
        <f t="shared" si="3"/>
        <v>-1.5000000000000051</v>
      </c>
      <c r="L48" s="274">
        <f t="shared" si="0"/>
        <v>1.4999999999999927</v>
      </c>
      <c r="M48" s="271">
        <f t="shared" si="6"/>
        <v>8.0001023730074117E-3</v>
      </c>
      <c r="N48" s="692"/>
      <c r="O48" s="569">
        <v>-25</v>
      </c>
      <c r="P48" s="697">
        <v>84822.7</v>
      </c>
      <c r="Q48" s="697">
        <v>87558.8</v>
      </c>
      <c r="R48" s="697">
        <v>90374.1</v>
      </c>
      <c r="S48" s="695">
        <f>IFERROR(Q48*($B$15/(Main!$N$31+Q48)),NA())</f>
        <v>4.4874885709951329</v>
      </c>
      <c r="T48" s="664">
        <f t="shared" si="7"/>
        <v>4572.6999999999971</v>
      </c>
      <c r="U48" s="696">
        <f>IFERROR(($B$15/(Main!$N$31+Q48))^2*(Main!$N$31+Q48)*1000,NA())</f>
        <v>0.2562557145024334</v>
      </c>
      <c r="V48" s="274">
        <f t="shared" si="4"/>
        <v>-3.124871514913413</v>
      </c>
      <c r="W48" s="274">
        <f t="shared" si="5"/>
        <v>3.2153250158750493</v>
      </c>
      <c r="X48" s="271">
        <f t="shared" si="8"/>
        <v>2.2946505352516411E-2</v>
      </c>
      <c r="Y48" s="436"/>
      <c r="Z48" s="12"/>
      <c r="AA48" s="12"/>
      <c r="AB48" s="12"/>
      <c r="AM48" s="224"/>
      <c r="AN48" s="224"/>
      <c r="AO48" s="224"/>
      <c r="AP48" s="224"/>
      <c r="AQ48" s="179"/>
      <c r="AR48" s="224"/>
      <c r="AS48" s="224"/>
      <c r="AT48" s="224"/>
    </row>
    <row r="49" spans="1:46" ht="15.75" x14ac:dyDescent="0.25">
      <c r="A49" s="505">
        <v>17</v>
      </c>
      <c r="B49" s="506">
        <v>-24</v>
      </c>
      <c r="C49" s="664">
        <f>IFERROR('Device Resistance Tables'!C36,NA())</f>
        <v>7224.9671638189866</v>
      </c>
      <c r="D49" s="554">
        <f>IFERROR('Device Resistance Tables'!D36,NA())</f>
        <v>7334.992044486281</v>
      </c>
      <c r="E49" s="664">
        <f>IFERROR('Device Resistance Tables'!F36,NA())</f>
        <v>7445.0169251535744</v>
      </c>
      <c r="F49" s="690">
        <f>IFERROR(D49*($B$15/(Main!$N$31+D49)),NA())</f>
        <v>2.1156606318776228</v>
      </c>
      <c r="G49" s="690">
        <f>IFERROR($B$16*($B$15/(Main!$N$31+D49)),NA())</f>
        <v>2.8843393681223777</v>
      </c>
      <c r="H49" s="664">
        <f t="shared" si="1"/>
        <v>47.985074947805515</v>
      </c>
      <c r="I49" s="691">
        <f t="shared" si="2"/>
        <v>2.884339368122378E-4</v>
      </c>
      <c r="J49" s="690">
        <f>IFERROR(($B$15/(Main!$N$31+D49))^2*(Main!$N$31+D49)*1000,NA())</f>
        <v>1.4421696840611886</v>
      </c>
      <c r="K49" s="274">
        <f t="shared" si="3"/>
        <v>-1.5000000000000024</v>
      </c>
      <c r="L49" s="274">
        <f t="shared" si="0"/>
        <v>1.4999999999999898</v>
      </c>
      <c r="M49" s="271">
        <f t="shared" si="6"/>
        <v>8.0063160151522261E-3</v>
      </c>
      <c r="N49" s="692"/>
      <c r="O49" s="569">
        <v>-24</v>
      </c>
      <c r="P49" s="697">
        <v>80681.899999999994</v>
      </c>
      <c r="Q49" s="697">
        <v>83242.399999999994</v>
      </c>
      <c r="R49" s="697">
        <v>85875.5</v>
      </c>
      <c r="S49" s="695">
        <f>IFERROR(Q49*($B$15/(Main!$N$31+Q49)),NA())</f>
        <v>4.4637632664967866</v>
      </c>
      <c r="T49" s="664">
        <f t="shared" si="7"/>
        <v>4316.4000000000087</v>
      </c>
      <c r="U49" s="696">
        <f>IFERROR(($B$15/(Main!$N$31+Q49))^2*(Main!$N$31+Q49)*1000,NA())</f>
        <v>0.26811836675160655</v>
      </c>
      <c r="V49" s="274">
        <f t="shared" si="4"/>
        <v>-3.0759564837150299</v>
      </c>
      <c r="W49" s="274">
        <f t="shared" si="5"/>
        <v>3.1631716529076601</v>
      </c>
      <c r="X49" s="271">
        <f t="shared" si="8"/>
        <v>2.3725304498346311E-2</v>
      </c>
      <c r="Y49" s="436"/>
      <c r="Z49" s="12"/>
      <c r="AA49" s="12"/>
      <c r="AB49" s="12"/>
      <c r="AM49" s="224"/>
      <c r="AN49" s="224"/>
      <c r="AO49" s="224"/>
      <c r="AP49" s="224"/>
      <c r="AQ49" s="179"/>
      <c r="AR49" s="224"/>
      <c r="AS49" s="224"/>
      <c r="AT49" s="224"/>
    </row>
    <row r="50" spans="1:46" ht="15.75" x14ac:dyDescent="0.25">
      <c r="A50" s="505">
        <v>18</v>
      </c>
      <c r="B50" s="506">
        <v>-23</v>
      </c>
      <c r="C50" s="664">
        <f>IFERROR('Device Resistance Tables'!C37,NA())</f>
        <v>7272.5298619906816</v>
      </c>
      <c r="D50" s="554">
        <f>IFERROR('Device Resistance Tables'!D37,NA())</f>
        <v>7383.2790477062763</v>
      </c>
      <c r="E50" s="664">
        <f>IFERROR('Device Resistance Tables'!F37,NA())</f>
        <v>7494.02823342187</v>
      </c>
      <c r="F50" s="690">
        <f>IFERROR(D50*($B$15/(Main!$N$31+D50)),NA())</f>
        <v>2.1236727050873925</v>
      </c>
      <c r="G50" s="690">
        <f>IFERROR($B$16*($B$15/(Main!$N$31+D50)),NA())</f>
        <v>2.8763272949126071</v>
      </c>
      <c r="H50" s="664">
        <f t="shared" si="1"/>
        <v>48.287003219995313</v>
      </c>
      <c r="I50" s="691">
        <f t="shared" si="2"/>
        <v>2.8763272949126071E-4</v>
      </c>
      <c r="J50" s="690">
        <f>IFERROR(($B$15/(Main!$N$31+D50))^2*(Main!$N$31+D50)*1000,NA())</f>
        <v>1.4381636474563033</v>
      </c>
      <c r="K50" s="274">
        <f t="shared" si="3"/>
        <v>-1.5000000000000069</v>
      </c>
      <c r="L50" s="274">
        <f t="shared" si="0"/>
        <v>1.4999999999999947</v>
      </c>
      <c r="M50" s="271">
        <f t="shared" si="6"/>
        <v>8.01207320976971E-3</v>
      </c>
      <c r="N50" s="692"/>
      <c r="O50" s="569">
        <v>-23</v>
      </c>
      <c r="P50" s="697">
        <v>76769.8</v>
      </c>
      <c r="Q50" s="697">
        <v>79166.3</v>
      </c>
      <c r="R50" s="697">
        <v>81629.5</v>
      </c>
      <c r="S50" s="695">
        <f>IFERROR(Q50*($B$15/(Main!$N$31+Q50)),NA())</f>
        <v>4.4392500305608733</v>
      </c>
      <c r="T50" s="664">
        <f t="shared" si="7"/>
        <v>4076.0999999999913</v>
      </c>
      <c r="U50" s="696">
        <f>IFERROR(($B$15/(Main!$N$31+Q50))^2*(Main!$N$31+Q50)*1000,NA())</f>
        <v>0.28037498471956329</v>
      </c>
      <c r="V50" s="274">
        <f t="shared" si="4"/>
        <v>-3.0271719153225551</v>
      </c>
      <c r="W50" s="274">
        <f t="shared" si="5"/>
        <v>3.1114249371260208</v>
      </c>
      <c r="X50" s="271">
        <f t="shared" si="8"/>
        <v>2.4513235935913258E-2</v>
      </c>
      <c r="Y50" s="436"/>
      <c r="Z50" s="12"/>
      <c r="AA50" s="12"/>
      <c r="AB50" s="12"/>
      <c r="AM50" s="224"/>
      <c r="AN50" s="224"/>
      <c r="AO50" s="224"/>
      <c r="AP50" s="224"/>
      <c r="AQ50" s="179"/>
      <c r="AR50" s="224"/>
      <c r="AS50" s="224"/>
      <c r="AT50" s="224"/>
    </row>
    <row r="51" spans="1:46" ht="15.75" x14ac:dyDescent="0.25">
      <c r="A51" s="505">
        <v>19</v>
      </c>
      <c r="B51" s="506">
        <v>-22</v>
      </c>
      <c r="C51" s="664">
        <f>IFERROR('Device Resistance Tables'!C38,NA())</f>
        <v>7320.3900400973125</v>
      </c>
      <c r="D51" s="554">
        <f>IFERROR('Device Resistance Tables'!D38,NA())</f>
        <v>7431.8680610125002</v>
      </c>
      <c r="E51" s="664">
        <f>IFERROR('Device Resistance Tables'!F38,NA())</f>
        <v>7543.346081927687</v>
      </c>
      <c r="F51" s="690">
        <f>IFERROR(D51*($B$15/(Main!$N$31+D51)),NA())</f>
        <v>2.1316900847919888</v>
      </c>
      <c r="G51" s="690">
        <f>IFERROR($B$16*($B$15/(Main!$N$31+D51)),NA())</f>
        <v>2.8683099152080107</v>
      </c>
      <c r="H51" s="664">
        <f t="shared" si="1"/>
        <v>48.589013306223933</v>
      </c>
      <c r="I51" s="691">
        <f t="shared" si="2"/>
        <v>2.8683099152080108E-4</v>
      </c>
      <c r="J51" s="690">
        <f>IFERROR(($B$15/(Main!$N$31+D51))^2*(Main!$N$31+D51)*1000,NA())</f>
        <v>1.4341549576040054</v>
      </c>
      <c r="K51" s="274">
        <f t="shared" si="3"/>
        <v>-1.5000000000000024</v>
      </c>
      <c r="L51" s="274">
        <f t="shared" si="0"/>
        <v>1.4999999999999905</v>
      </c>
      <c r="M51" s="271">
        <f t="shared" si="6"/>
        <v>8.0173797045963724E-3</v>
      </c>
      <c r="N51" s="692"/>
      <c r="O51" s="569">
        <v>-22</v>
      </c>
      <c r="P51" s="697">
        <v>73072.2</v>
      </c>
      <c r="Q51" s="697">
        <v>75315.7</v>
      </c>
      <c r="R51" s="697">
        <v>77620.399999999994</v>
      </c>
      <c r="S51" s="695">
        <f>IFERROR(Q51*($B$15/(Main!$N$31+Q51)),NA())</f>
        <v>4.4139413964838825</v>
      </c>
      <c r="T51" s="664">
        <f t="shared" si="7"/>
        <v>3850.6000000000058</v>
      </c>
      <c r="U51" s="696">
        <f>IFERROR(($B$15/(Main!$N$31+Q51))^2*(Main!$N$31+Q51)*1000,NA())</f>
        <v>0.29302930175805858</v>
      </c>
      <c r="V51" s="274">
        <f t="shared" si="4"/>
        <v>-2.978794593955842</v>
      </c>
      <c r="W51" s="274">
        <f t="shared" si="5"/>
        <v>3.0600525521239224</v>
      </c>
      <c r="X51" s="271">
        <f t="shared" si="8"/>
        <v>2.5308634076990799E-2</v>
      </c>
      <c r="Y51" s="436"/>
      <c r="Z51" s="12"/>
      <c r="AA51" s="12"/>
      <c r="AB51" s="12"/>
      <c r="AM51" s="224"/>
      <c r="AN51" s="224"/>
      <c r="AO51" s="224"/>
      <c r="AP51" s="224"/>
      <c r="AQ51" s="179"/>
      <c r="AR51" s="224"/>
      <c r="AS51" s="224"/>
      <c r="AT51" s="224"/>
    </row>
    <row r="52" spans="1:46" ht="15.75" x14ac:dyDescent="0.25">
      <c r="A52" s="505">
        <v>20</v>
      </c>
      <c r="B52" s="506">
        <v>-21</v>
      </c>
      <c r="C52" s="664">
        <f>IFERROR('Device Resistance Tables'!C39,NA())</f>
        <v>7368.5477873376558</v>
      </c>
      <c r="D52" s="554">
        <f>IFERROR('Device Resistance Tables'!D39,NA())</f>
        <v>7480.7591749620869</v>
      </c>
      <c r="E52" s="664">
        <f>IFERROR('Device Resistance Tables'!F39,NA())</f>
        <v>7592.9705625865172</v>
      </c>
      <c r="F52" s="690">
        <f>IFERROR(D52*($B$15/(Main!$N$31+D52)),NA())</f>
        <v>2.1397123260175315</v>
      </c>
      <c r="G52" s="690">
        <f>IFERROR($B$16*($B$15/(Main!$N$31+D52)),NA())</f>
        <v>2.8602876739824681</v>
      </c>
      <c r="H52" s="664">
        <f t="shared" si="1"/>
        <v>48.891113949586725</v>
      </c>
      <c r="I52" s="691">
        <f t="shared" si="2"/>
        <v>2.860287673982468E-4</v>
      </c>
      <c r="J52" s="690">
        <f>IFERROR(($B$15/(Main!$N$31+D52))^2*(Main!$N$31+D52)*1000,NA())</f>
        <v>1.430143836991234</v>
      </c>
      <c r="K52" s="274">
        <f t="shared" si="3"/>
        <v>-1.499999999999998</v>
      </c>
      <c r="L52" s="274">
        <f t="shared" si="0"/>
        <v>1.4999999999999858</v>
      </c>
      <c r="M52" s="271">
        <f t="shared" si="6"/>
        <v>8.0222412255426256E-3</v>
      </c>
      <c r="N52" s="692"/>
      <c r="O52" s="569">
        <v>-21</v>
      </c>
      <c r="P52" s="697">
        <v>69576.100000000006</v>
      </c>
      <c r="Q52" s="697">
        <v>71676.800000000003</v>
      </c>
      <c r="R52" s="697">
        <v>73833.600000000006</v>
      </c>
      <c r="S52" s="695">
        <f>IFERROR(Q52*($B$15/(Main!$N$31+Q52)),NA())</f>
        <v>4.387831060962232</v>
      </c>
      <c r="T52" s="664">
        <f t="shared" si="7"/>
        <v>3638.8999999999942</v>
      </c>
      <c r="U52" s="696">
        <f>IFERROR(($B$15/(Main!$N$31+Q52))^2*(Main!$N$31+Q52)*1000,NA())</f>
        <v>0.30608446951888418</v>
      </c>
      <c r="V52" s="274">
        <f t="shared" si="4"/>
        <v>-2.9307949015581012</v>
      </c>
      <c r="W52" s="274">
        <f t="shared" si="5"/>
        <v>3.009062904593959</v>
      </c>
      <c r="X52" s="271">
        <f t="shared" si="8"/>
        <v>2.6110335521650541E-2</v>
      </c>
      <c r="Y52" s="436"/>
      <c r="Z52" s="12"/>
      <c r="AA52" s="12"/>
      <c r="AB52" s="12"/>
      <c r="AM52" s="224"/>
      <c r="AN52" s="224"/>
      <c r="AO52" s="224"/>
      <c r="AP52" s="224"/>
      <c r="AQ52" s="179"/>
      <c r="AR52" s="224"/>
      <c r="AS52" s="224"/>
      <c r="AT52" s="224"/>
    </row>
    <row r="53" spans="1:46" ht="15.75" x14ac:dyDescent="0.25">
      <c r="A53" s="505">
        <v>21</v>
      </c>
      <c r="B53" s="506">
        <v>-20</v>
      </c>
      <c r="C53" s="664">
        <f>IFERROR('Device Resistance Tables'!C40,NA())</f>
        <v>7417.0032015224315</v>
      </c>
      <c r="D53" s="554">
        <f>IFERROR('Device Resistance Tables'!D40,NA())</f>
        <v>7529.9524888552605</v>
      </c>
      <c r="E53" s="664">
        <f>IFERROR('Device Resistance Tables'!F40,NA())</f>
        <v>7642.9017761880887</v>
      </c>
      <c r="F53" s="690">
        <f>IFERROR(D53*($B$15/(Main!$N$31+D53)),NA())</f>
        <v>2.147738989493114</v>
      </c>
      <c r="G53" s="690">
        <f>IFERROR($B$16*($B$15/(Main!$N$31+D53)),NA())</f>
        <v>2.8522610105068851</v>
      </c>
      <c r="H53" s="664">
        <f t="shared" si="1"/>
        <v>49.193313893173581</v>
      </c>
      <c r="I53" s="691">
        <f t="shared" si="2"/>
        <v>2.8522610105068851E-4</v>
      </c>
      <c r="J53" s="690">
        <f>IFERROR(($B$15/(Main!$N$31+D53))^2*(Main!$N$31+D53)*1000,NA())</f>
        <v>1.4261305052534425</v>
      </c>
      <c r="K53" s="274">
        <f t="shared" si="3"/>
        <v>-1.5000000000000018</v>
      </c>
      <c r="L53" s="274">
        <f t="shared" si="0"/>
        <v>1.4999999999999898</v>
      </c>
      <c r="M53" s="271">
        <f t="shared" si="6"/>
        <v>8.0266634755825628E-3</v>
      </c>
      <c r="N53" s="692"/>
      <c r="O53" s="569">
        <v>-20</v>
      </c>
      <c r="P53" s="697">
        <v>66269.399999999994</v>
      </c>
      <c r="Q53" s="697">
        <v>68236.7</v>
      </c>
      <c r="R53" s="697">
        <v>70255.399999999994</v>
      </c>
      <c r="S53" s="695">
        <f>IFERROR(Q53*($B$15/(Main!$N$31+Q53)),NA())</f>
        <v>4.3609137399711386</v>
      </c>
      <c r="T53" s="664">
        <f t="shared" si="7"/>
        <v>3440.1000000000058</v>
      </c>
      <c r="U53" s="696">
        <f>IFERROR(($B$15/(Main!$N$31+Q53))^2*(Main!$N$31+Q53)*1000,NA())</f>
        <v>0.31954313001443052</v>
      </c>
      <c r="V53" s="274">
        <f t="shared" si="4"/>
        <v>-2.8830526681389972</v>
      </c>
      <c r="W53" s="274">
        <f t="shared" si="5"/>
        <v>2.9583787023698349</v>
      </c>
      <c r="X53" s="271">
        <f t="shared" si="8"/>
        <v>2.6917320991093341E-2</v>
      </c>
      <c r="Y53" s="436"/>
      <c r="Z53" s="12"/>
      <c r="AA53" s="12"/>
      <c r="AB53" s="12"/>
      <c r="AM53" s="224"/>
      <c r="AN53" s="224"/>
      <c r="AO53" s="224"/>
      <c r="AP53" s="224"/>
      <c r="AQ53" s="179"/>
      <c r="AR53" s="224"/>
      <c r="AS53" s="224"/>
      <c r="AT53" s="224"/>
    </row>
    <row r="54" spans="1:46" ht="15.75" x14ac:dyDescent="0.25">
      <c r="A54" s="505">
        <v>22</v>
      </c>
      <c r="B54" s="506">
        <v>-19</v>
      </c>
      <c r="C54" s="664">
        <f>IFERROR('Device Resistance Tables'!C41,NA())</f>
        <v>7465.7563890743095</v>
      </c>
      <c r="D54" s="554">
        <f>IFERROR('Device Resistance Tables'!D41,NA())</f>
        <v>7579.4481107353395</v>
      </c>
      <c r="E54" s="664">
        <f>IFERROR('Device Resistance Tables'!F41,NA())</f>
        <v>7693.1398323963685</v>
      </c>
      <c r="F54" s="690">
        <f>IFERROR(D54*($B$15/(Main!$N$31+D54)),NA())</f>
        <v>2.1557696416267915</v>
      </c>
      <c r="G54" s="690">
        <f>IFERROR($B$16*($B$15/(Main!$N$31+D54)),NA())</f>
        <v>2.8442303583732085</v>
      </c>
      <c r="H54" s="664">
        <f t="shared" si="1"/>
        <v>49.495621880078943</v>
      </c>
      <c r="I54" s="691">
        <f t="shared" si="2"/>
        <v>2.8442303583732086E-4</v>
      </c>
      <c r="J54" s="690">
        <f>IFERROR(($B$15/(Main!$N$31+D54))^2*(Main!$N$31+D54)*1000,NA())</f>
        <v>1.4221151791866042</v>
      </c>
      <c r="K54" s="274">
        <f t="shared" si="3"/>
        <v>-1.4999999999999987</v>
      </c>
      <c r="L54" s="274">
        <f t="shared" si="0"/>
        <v>1.4999999999999867</v>
      </c>
      <c r="M54" s="271">
        <f t="shared" si="6"/>
        <v>8.030652133677485E-3</v>
      </c>
      <c r="N54" s="692"/>
      <c r="O54" s="569">
        <v>-19</v>
      </c>
      <c r="P54" s="697">
        <v>63147.7</v>
      </c>
      <c r="Q54" s="697">
        <v>64990.7</v>
      </c>
      <c r="R54" s="697">
        <v>66880.7</v>
      </c>
      <c r="S54" s="695">
        <f>IFERROR(Q54*($B$15/(Main!$N$31+Q54)),NA())</f>
        <v>4.3332506564147293</v>
      </c>
      <c r="T54" s="664">
        <f t="shared" si="7"/>
        <v>3246</v>
      </c>
      <c r="U54" s="696">
        <f>IFERROR(($B$15/(Main!$N$31+Q54))^2*(Main!$N$31+Q54)*1000,NA())</f>
        <v>0.33337467179263575</v>
      </c>
      <c r="V54" s="274">
        <f t="shared" si="4"/>
        <v>-2.8357903515426051</v>
      </c>
      <c r="W54" s="274">
        <f t="shared" si="5"/>
        <v>2.9081083908928509</v>
      </c>
      <c r="X54" s="271">
        <f t="shared" si="8"/>
        <v>2.766308355640934E-2</v>
      </c>
      <c r="Y54" s="436"/>
      <c r="Z54" s="12"/>
      <c r="AA54" s="12"/>
      <c r="AB54" s="12"/>
      <c r="AM54" s="224"/>
      <c r="AN54" s="224"/>
      <c r="AO54" s="224"/>
      <c r="AP54" s="224"/>
      <c r="AQ54" s="179"/>
      <c r="AR54" s="224"/>
      <c r="AS54" s="224"/>
      <c r="AT54" s="224"/>
    </row>
    <row r="55" spans="1:46" ht="15.75" x14ac:dyDescent="0.25">
      <c r="A55" s="505">
        <v>23</v>
      </c>
      <c r="B55" s="506">
        <v>-18</v>
      </c>
      <c r="C55" s="664">
        <f>IFERROR('Device Resistance Tables'!C42,NA())</f>
        <v>7514.8074650279041</v>
      </c>
      <c r="D55" s="554">
        <f>IFERROR('Device Resistance Tables'!D42,NA())</f>
        <v>7629.2461573887349</v>
      </c>
      <c r="E55" s="664">
        <f>IFERROR('Device Resistance Tables'!F42,NA())</f>
        <v>7743.6848497495648</v>
      </c>
      <c r="F55" s="690">
        <f>IFERROR(D55*($B$15/(Main!$N$31+D55)),NA())</f>
        <v>2.163803854480522</v>
      </c>
      <c r="G55" s="690">
        <f>IFERROR($B$16*($B$15/(Main!$N$31+D55)),NA())</f>
        <v>2.8361961455194784</v>
      </c>
      <c r="H55" s="664">
        <f t="shared" si="1"/>
        <v>49.798046653395431</v>
      </c>
      <c r="I55" s="691">
        <f t="shared" si="2"/>
        <v>2.8361961455194783E-4</v>
      </c>
      <c r="J55" s="690">
        <f>IFERROR(($B$15/(Main!$N$31+D55))^2*(Main!$N$31+D55)*1000,NA())</f>
        <v>1.4180980727597392</v>
      </c>
      <c r="K55" s="274">
        <f t="shared" si="3"/>
        <v>-1.4999999999999976</v>
      </c>
      <c r="L55" s="274">
        <f t="shared" si="0"/>
        <v>1.4999999999999856</v>
      </c>
      <c r="M55" s="271">
        <f t="shared" si="6"/>
        <v>8.0342128537305157E-3</v>
      </c>
      <c r="N55" s="692"/>
      <c r="O55" s="569">
        <v>-18</v>
      </c>
      <c r="P55" s="697">
        <v>60192.3</v>
      </c>
      <c r="Q55" s="697">
        <v>61919</v>
      </c>
      <c r="R55" s="697">
        <v>63688.9</v>
      </c>
      <c r="S55" s="695">
        <f>IFERROR(Q55*($B$15/(Main!$N$31+Q55)),NA())</f>
        <v>4.3047734256594223</v>
      </c>
      <c r="T55" s="664">
        <f t="shared" si="7"/>
        <v>3071.6999999999971</v>
      </c>
      <c r="U55" s="696">
        <f>IFERROR(($B$15/(Main!$N$31+Q55))^2*(Main!$N$31+Q55)*1000,NA())</f>
        <v>0.34761328717028878</v>
      </c>
      <c r="V55" s="274">
        <f t="shared" si="4"/>
        <v>-2.7886432274422992</v>
      </c>
      <c r="W55" s="274">
        <f t="shared" si="5"/>
        <v>2.8584117960561399</v>
      </c>
      <c r="X55" s="271">
        <f t="shared" si="8"/>
        <v>2.8477230755306948E-2</v>
      </c>
      <c r="Y55" s="436"/>
      <c r="Z55" s="12"/>
      <c r="AA55" s="12"/>
      <c r="AB55" s="12"/>
      <c r="AM55" s="224"/>
      <c r="AN55" s="224"/>
      <c r="AO55" s="224"/>
      <c r="AP55" s="224"/>
      <c r="AQ55" s="179"/>
      <c r="AR55" s="224"/>
      <c r="AS55" s="224"/>
      <c r="AT55" s="224"/>
    </row>
    <row r="56" spans="1:46" ht="15.75" x14ac:dyDescent="0.25">
      <c r="A56" s="505">
        <v>24</v>
      </c>
      <c r="B56" s="506">
        <v>-17</v>
      </c>
      <c r="C56" s="664">
        <f>IFERROR('Device Resistance Tables'!C43,NA())</f>
        <v>7564.1565530297712</v>
      </c>
      <c r="D56" s="554">
        <f>IFERROR('Device Resistance Tables'!D43,NA())</f>
        <v>7679.3467543449451</v>
      </c>
      <c r="E56" s="664">
        <f>IFERROR('Device Resistance Tables'!F43,NA())</f>
        <v>7794.5369556601181</v>
      </c>
      <c r="F56" s="690">
        <f>IFERROR(D56*($B$15/(Main!$N$31+D56)),NA())</f>
        <v>2.171841205744109</v>
      </c>
      <c r="G56" s="690">
        <f>IFERROR($B$16*($B$15/(Main!$N$31+D56)),NA())</f>
        <v>2.828158794255891</v>
      </c>
      <c r="H56" s="664">
        <f t="shared" si="1"/>
        <v>50.100596956210211</v>
      </c>
      <c r="I56" s="691">
        <f t="shared" si="2"/>
        <v>2.8281587942558911E-4</v>
      </c>
      <c r="J56" s="690">
        <f>IFERROR(($B$15/(Main!$N$31+D56))^2*(Main!$N$31+D56)*1000,NA())</f>
        <v>1.4140793971279455</v>
      </c>
      <c r="K56" s="274">
        <f t="shared" si="3"/>
        <v>-1.4999999999999964</v>
      </c>
      <c r="L56" s="274">
        <f t="shared" si="0"/>
        <v>1.4999999999999847</v>
      </c>
      <c r="M56" s="271">
        <f t="shared" si="6"/>
        <v>8.037351263586956E-3</v>
      </c>
      <c r="N56" s="692"/>
      <c r="O56" s="569">
        <v>-17</v>
      </c>
      <c r="P56" s="697">
        <v>57393.3</v>
      </c>
      <c r="Q56" s="697">
        <v>59011.3</v>
      </c>
      <c r="R56" s="697">
        <v>60668.9</v>
      </c>
      <c r="S56" s="695">
        <f>IFERROR(Q56*($B$15/(Main!$N$31+Q56)),NA())</f>
        <v>4.2754809719567666</v>
      </c>
      <c r="T56" s="664">
        <f t="shared" si="7"/>
        <v>2907.6999999999971</v>
      </c>
      <c r="U56" s="696">
        <f>IFERROR(($B$15/(Main!$N$31+Q56))^2*(Main!$N$31+Q56)*1000,NA())</f>
        <v>0.36225951402161682</v>
      </c>
      <c r="V56" s="274">
        <f t="shared" si="4"/>
        <v>-2.741847747804234</v>
      </c>
      <c r="W56" s="274">
        <f t="shared" si="5"/>
        <v>2.8089535394068568</v>
      </c>
      <c r="X56" s="271">
        <f t="shared" si="8"/>
        <v>2.9292453702655763E-2</v>
      </c>
      <c r="Y56" s="436"/>
      <c r="Z56" s="12"/>
      <c r="AA56" s="12"/>
      <c r="AB56" s="12"/>
      <c r="AM56" s="224"/>
      <c r="AN56" s="224"/>
      <c r="AO56" s="224"/>
      <c r="AP56" s="224"/>
      <c r="AQ56" s="179"/>
      <c r="AR56" s="224"/>
      <c r="AS56" s="224"/>
      <c r="AT56" s="224"/>
    </row>
    <row r="57" spans="1:46" ht="15.75" x14ac:dyDescent="0.25">
      <c r="A57" s="505">
        <v>25</v>
      </c>
      <c r="B57" s="506">
        <v>-16</v>
      </c>
      <c r="C57" s="664">
        <f>IFERROR('Device Resistance Tables'!C44,NA())</f>
        <v>7613.8037853384194</v>
      </c>
      <c r="D57" s="554">
        <f>IFERROR('Device Resistance Tables'!D44,NA())</f>
        <v>7729.7500358765683</v>
      </c>
      <c r="E57" s="664">
        <f>IFERROR('Device Resistance Tables'!F44,NA())</f>
        <v>7845.6962864147163</v>
      </c>
      <c r="F57" s="690">
        <f>IFERROR(D57*($B$15/(Main!$N$31+D57)),NA())</f>
        <v>2.1798812787081703</v>
      </c>
      <c r="G57" s="690">
        <f>IFERROR($B$16*($B$15/(Main!$N$31+D57)),NA())</f>
        <v>2.8201187212918297</v>
      </c>
      <c r="H57" s="664">
        <f t="shared" si="1"/>
        <v>50.403281531623179</v>
      </c>
      <c r="I57" s="691">
        <f t="shared" si="2"/>
        <v>2.8201187212918298E-4</v>
      </c>
      <c r="J57" s="690">
        <f>IFERROR(($B$15/(Main!$N$31+D57))^2*(Main!$N$31+D57)*1000,NA())</f>
        <v>1.4100593606459149</v>
      </c>
      <c r="K57" s="274">
        <f t="shared" si="3"/>
        <v>-1.5000000000000047</v>
      </c>
      <c r="L57" s="274">
        <f t="shared" si="0"/>
        <v>1.4999999999999929</v>
      </c>
      <c r="M57" s="271">
        <f t="shared" si="6"/>
        <v>8.0400729640612845E-3</v>
      </c>
      <c r="N57" s="692"/>
      <c r="O57" s="569">
        <v>-16</v>
      </c>
      <c r="P57" s="697">
        <v>54741.5</v>
      </c>
      <c r="Q57" s="697">
        <v>56257.9</v>
      </c>
      <c r="R57" s="697">
        <v>57810.5</v>
      </c>
      <c r="S57" s="695">
        <f>IFERROR(Q57*($B$15/(Main!$N$31+Q57)),NA())</f>
        <v>4.2453730045775675</v>
      </c>
      <c r="T57" s="664">
        <f t="shared" si="7"/>
        <v>2753.4000000000015</v>
      </c>
      <c r="U57" s="696">
        <f>IFERROR(($B$15/(Main!$N$31+Q57))^2*(Main!$N$31+Q57)*1000,NA())</f>
        <v>0.37731349771121636</v>
      </c>
      <c r="V57" s="274">
        <f t="shared" si="4"/>
        <v>-2.695443662134565</v>
      </c>
      <c r="W57" s="274">
        <f t="shared" si="5"/>
        <v>2.7597901805790803</v>
      </c>
      <c r="X57" s="271">
        <f t="shared" si="8"/>
        <v>3.0107967379199074E-2</v>
      </c>
      <c r="Y57" s="436"/>
      <c r="Z57" s="12"/>
      <c r="AA57" s="12"/>
      <c r="AB57" s="12"/>
      <c r="AM57" s="224"/>
      <c r="AN57" s="224"/>
      <c r="AO57" s="224"/>
      <c r="AP57" s="224"/>
      <c r="AQ57" s="179"/>
      <c r="AR57" s="224"/>
      <c r="AS57" s="224"/>
      <c r="AT57" s="224"/>
    </row>
    <row r="58" spans="1:46" ht="15.75" x14ac:dyDescent="0.25">
      <c r="A58" s="505">
        <v>26</v>
      </c>
      <c r="B58" s="506">
        <v>-15</v>
      </c>
      <c r="C58" s="664">
        <f>IFERROR('Device Resistance Tables'!C45,NA())</f>
        <v>7663.7493028243007</v>
      </c>
      <c r="D58" s="554">
        <f>IFERROR('Device Resistance Tables'!D45,NA())</f>
        <v>7780.4561449992898</v>
      </c>
      <c r="E58" s="664">
        <f>IFERROR('Device Resistance Tables'!F45,NA())</f>
        <v>7897.162987174278</v>
      </c>
      <c r="F58" s="690">
        <f>IFERROR(D58*($B$15/(Main!$N$31+D58)),NA())</f>
        <v>2.1879236622361695</v>
      </c>
      <c r="G58" s="690">
        <f>IFERROR($B$16*($B$15/(Main!$N$31+D58)),NA())</f>
        <v>2.8120763377638305</v>
      </c>
      <c r="H58" s="664">
        <f t="shared" si="1"/>
        <v>50.7061091227215</v>
      </c>
      <c r="I58" s="691">
        <f t="shared" si="2"/>
        <v>2.8120763377638305E-4</v>
      </c>
      <c r="J58" s="690">
        <f>IFERROR(($B$15/(Main!$N$31+D58))^2*(Main!$N$31+D58)*1000,NA())</f>
        <v>1.4060381688819152</v>
      </c>
      <c r="K58" s="274">
        <f t="shared" si="3"/>
        <v>-1.4999999999999969</v>
      </c>
      <c r="L58" s="274">
        <f t="shared" si="0"/>
        <v>1.4999999999999851</v>
      </c>
      <c r="M58" s="271">
        <f t="shared" si="6"/>
        <v>8.0423835279992417E-3</v>
      </c>
      <c r="N58" s="692"/>
      <c r="O58" s="569">
        <v>-15</v>
      </c>
      <c r="P58" s="697">
        <v>52228.3</v>
      </c>
      <c r="Q58" s="697">
        <v>53649.599999999999</v>
      </c>
      <c r="R58" s="697">
        <v>55104</v>
      </c>
      <c r="S58" s="695">
        <f>IFERROR(Q58*($B$15/(Main!$N$31+Q58)),NA())</f>
        <v>4.2144491088710687</v>
      </c>
      <c r="T58" s="664">
        <f t="shared" si="7"/>
        <v>2608.3000000000029</v>
      </c>
      <c r="U58" s="696">
        <f>IFERROR(($B$15/(Main!$N$31+Q58))^2*(Main!$N$31+Q58)*1000,NA())</f>
        <v>0.39277544556446542</v>
      </c>
      <c r="V58" s="274">
        <f t="shared" si="4"/>
        <v>-2.6492275804479357</v>
      </c>
      <c r="W58" s="274">
        <f t="shared" si="5"/>
        <v>2.7109242193790846</v>
      </c>
      <c r="X58" s="271">
        <f t="shared" si="8"/>
        <v>3.0923895706498783E-2</v>
      </c>
      <c r="Y58" s="436"/>
      <c r="Z58" s="12"/>
      <c r="AA58" s="12"/>
      <c r="AB58" s="12"/>
      <c r="AM58" s="224"/>
      <c r="AN58" s="224"/>
      <c r="AO58" s="224"/>
      <c r="AP58" s="224"/>
      <c r="AQ58" s="179"/>
      <c r="AR58" s="224"/>
      <c r="AS58" s="224"/>
      <c r="AT58" s="224"/>
    </row>
    <row r="59" spans="1:46" ht="15.75" x14ac:dyDescent="0.25">
      <c r="A59" s="505">
        <v>27</v>
      </c>
      <c r="B59" s="506">
        <v>-14</v>
      </c>
      <c r="C59" s="664">
        <f>IFERROR('Device Resistance Tables'!C46,NA())</f>
        <v>7713.9932549698096</v>
      </c>
      <c r="D59" s="554">
        <f>IFERROR('Device Resistance Tables'!D46,NA())</f>
        <v>7831.4652334718885</v>
      </c>
      <c r="E59" s="664">
        <f>IFERROR('Device Resistance Tables'!F46,NA())</f>
        <v>7948.9372119739664</v>
      </c>
      <c r="F59" s="690">
        <f>IFERROR(D59*($B$15/(Main!$N$31+D59)),NA())</f>
        <v>2.1959679507355485</v>
      </c>
      <c r="G59" s="690">
        <f>IFERROR($B$16*($B$15/(Main!$N$31+D59)),NA())</f>
        <v>2.8040320492644515</v>
      </c>
      <c r="H59" s="664">
        <f t="shared" si="1"/>
        <v>51.009088472598705</v>
      </c>
      <c r="I59" s="691">
        <f t="shared" si="2"/>
        <v>2.8040320492644515E-4</v>
      </c>
      <c r="J59" s="690">
        <f>IFERROR(($B$15/(Main!$N$31+D59))^2*(Main!$N$31+D59)*1000,NA())</f>
        <v>1.4020160246322257</v>
      </c>
      <c r="K59" s="274">
        <f t="shared" si="3"/>
        <v>-1.5000000000000067</v>
      </c>
      <c r="L59" s="274">
        <f t="shared" si="0"/>
        <v>1.4999999999999951</v>
      </c>
      <c r="M59" s="271">
        <f t="shared" si="6"/>
        <v>8.0442884993789932E-3</v>
      </c>
      <c r="N59" s="692"/>
      <c r="O59" s="569">
        <v>-14</v>
      </c>
      <c r="P59" s="697">
        <v>49845.599999999999</v>
      </c>
      <c r="Q59" s="697">
        <v>51177.9</v>
      </c>
      <c r="R59" s="697">
        <v>52540.6</v>
      </c>
      <c r="S59" s="695">
        <f>IFERROR(Q59*($B$15/(Main!$N$31+Q59)),NA())</f>
        <v>4.1827114039546958</v>
      </c>
      <c r="T59" s="664">
        <f t="shared" si="7"/>
        <v>2471.6999999999971</v>
      </c>
      <c r="U59" s="696">
        <f>IFERROR(($B$15/(Main!$N$31+Q59))^2*(Main!$N$31+Q59)*1000,NA())</f>
        <v>0.40864429802265195</v>
      </c>
      <c r="V59" s="274">
        <f t="shared" si="4"/>
        <v>-2.6032721155029863</v>
      </c>
      <c r="W59" s="274">
        <f t="shared" si="5"/>
        <v>2.6626727552322333</v>
      </c>
      <c r="X59" s="271">
        <f t="shared" si="8"/>
        <v>3.1737704916372955E-2</v>
      </c>
      <c r="Y59" s="436"/>
      <c r="Z59" s="12"/>
      <c r="AA59" s="12"/>
      <c r="AB59" s="12"/>
      <c r="AM59" s="224"/>
      <c r="AN59" s="224"/>
      <c r="AO59" s="224"/>
      <c r="AP59" s="224"/>
      <c r="AQ59" s="179"/>
      <c r="AR59" s="224"/>
      <c r="AS59" s="224"/>
      <c r="AT59" s="224"/>
    </row>
    <row r="60" spans="1:46" ht="15.75" x14ac:dyDescent="0.25">
      <c r="A60" s="505">
        <v>28</v>
      </c>
      <c r="B60" s="506">
        <v>-13</v>
      </c>
      <c r="C60" s="664">
        <f>IFERROR('Device Resistance Tables'!C47,NA())</f>
        <v>7764.5357998692944</v>
      </c>
      <c r="D60" s="554">
        <f>IFERROR('Device Resistance Tables'!D47,NA())</f>
        <v>7882.7774617962377</v>
      </c>
      <c r="E60" s="664">
        <f>IFERROR('Device Resistance Tables'!F47,NA())</f>
        <v>8001.0191237231802</v>
      </c>
      <c r="F60" s="690">
        <f>IFERROR(D60*($B$15/(Main!$N$31+D60)),NA())</f>
        <v>2.2040137441279919</v>
      </c>
      <c r="G60" s="690">
        <f>IFERROR($B$16*($B$15/(Main!$N$31+D60)),NA())</f>
        <v>2.7959862558720086</v>
      </c>
      <c r="H60" s="664">
        <f t="shared" si="1"/>
        <v>51.312228324349235</v>
      </c>
      <c r="I60" s="691">
        <f t="shared" si="2"/>
        <v>2.7959862558720085E-4</v>
      </c>
      <c r="J60" s="690">
        <f>IFERROR(($B$15/(Main!$N$31+D60))^2*(Main!$N$31+D60)*1000,NA())</f>
        <v>1.3979931279360045</v>
      </c>
      <c r="K60" s="274">
        <f t="shared" si="3"/>
        <v>-1.4999999999999978</v>
      </c>
      <c r="L60" s="274">
        <f t="shared" si="0"/>
        <v>1.499999999999986</v>
      </c>
      <c r="M60" s="271">
        <f t="shared" si="6"/>
        <v>8.0457933924433789E-3</v>
      </c>
      <c r="N60" s="692"/>
      <c r="O60" s="569">
        <v>-13</v>
      </c>
      <c r="P60" s="697">
        <v>47585.9</v>
      </c>
      <c r="Q60" s="697">
        <v>48834.9</v>
      </c>
      <c r="R60" s="697">
        <v>50111.7</v>
      </c>
      <c r="S60" s="695">
        <f>IFERROR(Q60*($B$15/(Main!$N$31+Q60)),NA())</f>
        <v>4.1501642732459816</v>
      </c>
      <c r="T60" s="664">
        <f t="shared" si="7"/>
        <v>2343</v>
      </c>
      <c r="U60" s="696">
        <f>IFERROR(($B$15/(Main!$N$31+Q60))^2*(Main!$N$31+Q60)*1000,NA())</f>
        <v>0.42491786337700921</v>
      </c>
      <c r="V60" s="274">
        <f t="shared" si="4"/>
        <v>-2.5575971282832564</v>
      </c>
      <c r="W60" s="274">
        <f t="shared" si="5"/>
        <v>2.614523629617334</v>
      </c>
      <c r="X60" s="271">
        <f t="shared" si="8"/>
        <v>3.2547130708714178E-2</v>
      </c>
      <c r="Y60" s="436"/>
      <c r="Z60" s="12"/>
      <c r="AA60" s="12"/>
      <c r="AB60" s="12"/>
      <c r="AM60" s="224"/>
      <c r="AN60" s="224"/>
      <c r="AO60" s="224"/>
      <c r="AP60" s="224"/>
      <c r="AQ60" s="179"/>
      <c r="AR60" s="224"/>
      <c r="AS60" s="224"/>
      <c r="AT60" s="224"/>
    </row>
    <row r="61" spans="1:46" ht="15.75" x14ac:dyDescent="0.25">
      <c r="A61" s="505">
        <v>29</v>
      </c>
      <c r="B61" s="506">
        <v>-12</v>
      </c>
      <c r="C61" s="664">
        <f>IFERROR('Device Resistance Tables'!C48,NA())</f>
        <v>7815.3771042290391</v>
      </c>
      <c r="D61" s="554">
        <f>IFERROR('Device Resistance Tables'!D48,NA())</f>
        <v>7934.3929992172989</v>
      </c>
      <c r="E61" s="664">
        <f>IFERROR('Device Resistance Tables'!F48,NA())</f>
        <v>8053.4088942055578</v>
      </c>
      <c r="F61" s="690">
        <f>IFERROR(D61*($B$15/(Main!$N$31+D61)),NA())</f>
        <v>2.2120606478188511</v>
      </c>
      <c r="G61" s="690">
        <f>IFERROR($B$16*($B$15/(Main!$N$31+D61)),NA())</f>
        <v>2.787939352181148</v>
      </c>
      <c r="H61" s="664">
        <f t="shared" si="1"/>
        <v>51.615537421061163</v>
      </c>
      <c r="I61" s="691">
        <f t="shared" si="2"/>
        <v>2.7879393521811481E-4</v>
      </c>
      <c r="J61" s="690">
        <f>IFERROR(($B$15/(Main!$N$31+D61))^2*(Main!$N$31+D61)*1000,NA())</f>
        <v>1.3939696760905738</v>
      </c>
      <c r="K61" s="274">
        <f t="shared" si="3"/>
        <v>-1.5000000000000038</v>
      </c>
      <c r="L61" s="274">
        <f t="shared" si="0"/>
        <v>1.4999999999999922</v>
      </c>
      <c r="M61" s="271">
        <f t="shared" si="6"/>
        <v>8.0469036908592528E-3</v>
      </c>
      <c r="N61" s="692"/>
      <c r="O61" s="569">
        <v>-12</v>
      </c>
      <c r="P61" s="697">
        <v>45442.2</v>
      </c>
      <c r="Q61" s="697">
        <v>46613.2</v>
      </c>
      <c r="R61" s="697">
        <v>47809.7</v>
      </c>
      <c r="S61" s="695">
        <f>IFERROR(Q61*($B$15/(Main!$N$31+Q61)),NA())</f>
        <v>4.1168137466173969</v>
      </c>
      <c r="T61" s="664">
        <f t="shared" si="7"/>
        <v>2221.7000000000044</v>
      </c>
      <c r="U61" s="696">
        <f>IFERROR(($B$15/(Main!$N$31+Q61))^2*(Main!$N$31+Q61)*1000,NA())</f>
        <v>0.44159312669130169</v>
      </c>
      <c r="V61" s="274">
        <f t="shared" si="4"/>
        <v>-2.5121639363956989</v>
      </c>
      <c r="W61" s="274">
        <f t="shared" si="5"/>
        <v>2.5668694704504302</v>
      </c>
      <c r="X61" s="271">
        <f t="shared" si="8"/>
        <v>3.3350526628584731E-2</v>
      </c>
      <c r="Y61" s="436"/>
      <c r="Z61" s="12"/>
      <c r="AA61" s="12"/>
      <c r="AB61" s="12"/>
      <c r="AM61" s="224"/>
      <c r="AN61" s="224"/>
      <c r="AO61" s="224"/>
      <c r="AP61" s="224"/>
      <c r="AQ61" s="179"/>
      <c r="AR61" s="224"/>
      <c r="AS61" s="224"/>
      <c r="AT61" s="224"/>
    </row>
    <row r="62" spans="1:46" ht="15.75" x14ac:dyDescent="0.25">
      <c r="A62" s="505">
        <v>30</v>
      </c>
      <c r="B62" s="506">
        <v>-11</v>
      </c>
      <c r="C62" s="664">
        <f>IFERROR('Device Resistance Tables'!C49,NA())</f>
        <v>7866.5173433672844</v>
      </c>
      <c r="D62" s="554">
        <f>IFERROR('Device Resistance Tables'!D49,NA())</f>
        <v>7986.3120237231315</v>
      </c>
      <c r="E62" s="664">
        <f>IFERROR('Device Resistance Tables'!F49,NA())</f>
        <v>8106.1067040789776</v>
      </c>
      <c r="F62" s="690">
        <f>IFERROR(D62*($B$15/(Main!$N$31+D62)),NA())</f>
        <v>2.2201082726657773</v>
      </c>
      <c r="G62" s="690">
        <f>IFERROR($B$16*($B$15/(Main!$N$31+D62)),NA())</f>
        <v>2.7798917273342232</v>
      </c>
      <c r="H62" s="664">
        <f t="shared" si="1"/>
        <v>51.919024505832567</v>
      </c>
      <c r="I62" s="691">
        <f t="shared" si="2"/>
        <v>2.7798917273342232E-4</v>
      </c>
      <c r="J62" s="690">
        <f>IFERROR(($B$15/(Main!$N$31+D62))^2*(Main!$N$31+D62)*1000,NA())</f>
        <v>1.3899458636671114</v>
      </c>
      <c r="K62" s="274">
        <f t="shared" si="3"/>
        <v>-1.5000000000000009</v>
      </c>
      <c r="L62" s="274">
        <f t="shared" si="0"/>
        <v>1.4999999999999896</v>
      </c>
      <c r="M62" s="271">
        <f t="shared" si="6"/>
        <v>8.0476248469261158E-3</v>
      </c>
      <c r="N62" s="692"/>
      <c r="O62" s="569">
        <v>-11</v>
      </c>
      <c r="P62" s="697">
        <v>43407.8</v>
      </c>
      <c r="Q62" s="697">
        <v>44505.8</v>
      </c>
      <c r="R62" s="697">
        <v>45627.1</v>
      </c>
      <c r="S62" s="695">
        <f>IFERROR(Q62*($B$15/(Main!$N$31+Q62)),NA())</f>
        <v>4.0826664318292734</v>
      </c>
      <c r="T62" s="664">
        <f t="shared" si="7"/>
        <v>2107.3999999999942</v>
      </c>
      <c r="U62" s="696">
        <f>IFERROR(($B$15/(Main!$N$31+Q62))^2*(Main!$N$31+Q62)*1000,NA())</f>
        <v>0.45866678408536338</v>
      </c>
      <c r="V62" s="274">
        <f t="shared" si="4"/>
        <v>-2.4670941764893564</v>
      </c>
      <c r="W62" s="274">
        <f t="shared" si="5"/>
        <v>2.5194469035496398</v>
      </c>
      <c r="X62" s="271">
        <f t="shared" si="8"/>
        <v>3.4147314788123495E-2</v>
      </c>
      <c r="Y62" s="436"/>
      <c r="Z62" s="12"/>
      <c r="AA62" s="12"/>
      <c r="AB62" s="12"/>
      <c r="AM62" s="224"/>
      <c r="AN62" s="224"/>
      <c r="AO62" s="224"/>
      <c r="AP62" s="224"/>
      <c r="AQ62" s="179"/>
      <c r="AR62" s="224"/>
      <c r="AS62" s="224"/>
      <c r="AT62" s="224"/>
    </row>
    <row r="63" spans="1:46" ht="15.75" x14ac:dyDescent="0.25">
      <c r="A63" s="505">
        <v>31</v>
      </c>
      <c r="B63" s="506">
        <v>-10</v>
      </c>
      <c r="C63" s="664">
        <f>IFERROR('Device Resistance Tables'!C50,NA())</f>
        <v>7917.9567012142088</v>
      </c>
      <c r="D63" s="554">
        <f>IFERROR('Device Resistance Tables'!D50,NA())</f>
        <v>8038.5347220448821</v>
      </c>
      <c r="E63" s="664">
        <f>IFERROR('Device Resistance Tables'!F50,NA())</f>
        <v>8159.1127428755544</v>
      </c>
      <c r="F63" s="690">
        <f>IFERROR(D63*($B$15/(Main!$N$31+D63)),NA())</f>
        <v>2.2281562349465651</v>
      </c>
      <c r="G63" s="690">
        <f>IFERROR($B$16*($B$15/(Main!$N$31+D63)),NA())</f>
        <v>2.7718437650534349</v>
      </c>
      <c r="H63" s="664">
        <f t="shared" si="1"/>
        <v>52.222698321750613</v>
      </c>
      <c r="I63" s="691">
        <f t="shared" si="2"/>
        <v>2.7718437650534348E-4</v>
      </c>
      <c r="J63" s="690">
        <f>IFERROR(($B$15/(Main!$N$31+D63))^2*(Main!$N$31+D63)*1000,NA())</f>
        <v>1.3859218825267174</v>
      </c>
      <c r="K63" s="274">
        <f t="shared" si="3"/>
        <v>-1.5000000000000004</v>
      </c>
      <c r="L63" s="274">
        <f t="shared" si="0"/>
        <v>1.4999999999999891</v>
      </c>
      <c r="M63" s="271">
        <f t="shared" si="6"/>
        <v>8.047962280787857E-3</v>
      </c>
      <c r="N63" s="692"/>
      <c r="O63" s="569">
        <v>-10</v>
      </c>
      <c r="P63" s="697">
        <v>41476.5</v>
      </c>
      <c r="Q63" s="697">
        <v>42506.2</v>
      </c>
      <c r="R63" s="697">
        <v>43557</v>
      </c>
      <c r="S63" s="695">
        <f>IFERROR(Q63*($B$15/(Main!$N$31+Q63)),NA())</f>
        <v>4.0477315059935774</v>
      </c>
      <c r="T63" s="664">
        <f t="shared" si="7"/>
        <v>1999.6000000000058</v>
      </c>
      <c r="U63" s="696">
        <f>IFERROR(($B$15/(Main!$N$31+Q63))^2*(Main!$N$31+Q63)*1000,NA())</f>
        <v>0.47613424700321111</v>
      </c>
      <c r="V63" s="274">
        <f t="shared" si="4"/>
        <v>-2.422470133768714</v>
      </c>
      <c r="W63" s="274">
        <f t="shared" si="5"/>
        <v>2.4721099510189171</v>
      </c>
      <c r="X63" s="271">
        <f t="shared" si="8"/>
        <v>3.4934925835695907E-2</v>
      </c>
      <c r="Y63" s="436"/>
      <c r="Z63" s="12"/>
      <c r="AA63" s="12"/>
      <c r="AB63" s="12"/>
      <c r="AM63" s="224"/>
      <c r="AN63" s="224"/>
      <c r="AO63" s="224"/>
      <c r="AP63" s="224"/>
      <c r="AQ63" s="179"/>
      <c r="AR63" s="224"/>
      <c r="AS63" s="224"/>
      <c r="AT63" s="224"/>
    </row>
    <row r="64" spans="1:46" ht="15.75" x14ac:dyDescent="0.25">
      <c r="A64" s="505">
        <v>32</v>
      </c>
      <c r="B64" s="506">
        <v>-9</v>
      </c>
      <c r="C64" s="664">
        <f>IFERROR('Device Resistance Tables'!C51,NA())</f>
        <v>7969.6953703119379</v>
      </c>
      <c r="D64" s="554">
        <f>IFERROR('Device Resistance Tables'!D51,NA())</f>
        <v>8091.06128965679</v>
      </c>
      <c r="E64" s="664">
        <f>IFERROR('Device Resistance Tables'!F51,NA())</f>
        <v>8212.4272090016402</v>
      </c>
      <c r="F64" s="690">
        <f>IFERROR(D64*($B$15/(Main!$N$31+D64)),NA())</f>
        <v>2.236204156326278</v>
      </c>
      <c r="G64" s="690">
        <f>IFERROR($B$16*($B$15/(Main!$N$31+D64)),NA())</f>
        <v>2.763795843673722</v>
      </c>
      <c r="H64" s="664">
        <f t="shared" si="1"/>
        <v>52.526567611907922</v>
      </c>
      <c r="I64" s="691">
        <f t="shared" si="2"/>
        <v>2.7637958436737219E-4</v>
      </c>
      <c r="J64" s="690">
        <f>IFERROR(($B$15/(Main!$N$31+D64))^2*(Main!$N$31+D64)*1000,NA())</f>
        <v>1.381897921836861</v>
      </c>
      <c r="K64" s="274">
        <f t="shared" si="3"/>
        <v>-1.5000000000000024</v>
      </c>
      <c r="L64" s="274">
        <f t="shared" si="0"/>
        <v>1.49999999999998</v>
      </c>
      <c r="M64" s="271">
        <f t="shared" si="6"/>
        <v>8.0479213797128857E-3</v>
      </c>
      <c r="N64" s="692"/>
      <c r="O64" s="569">
        <v>-9</v>
      </c>
      <c r="P64" s="697">
        <v>39634.5</v>
      </c>
      <c r="Q64" s="697">
        <v>40599.699999999997</v>
      </c>
      <c r="R64" s="697">
        <v>41584.300000000003</v>
      </c>
      <c r="S64" s="695">
        <f>IFERROR(Q64*($B$15/(Main!$N$31+Q64)),NA())</f>
        <v>4.0118518489240049</v>
      </c>
      <c r="T64" s="664">
        <f t="shared" si="7"/>
        <v>1906.5</v>
      </c>
      <c r="U64" s="696">
        <f>IFERROR(($B$15/(Main!$N$31+Q64))^2*(Main!$N$31+Q64)*1000,NA())</f>
        <v>0.49407407553799726</v>
      </c>
      <c r="V64" s="274">
        <f t="shared" si="4"/>
        <v>-2.3773574681586247</v>
      </c>
      <c r="W64" s="274">
        <f t="shared" si="5"/>
        <v>2.4251410724709932</v>
      </c>
      <c r="X64" s="271">
        <f t="shared" si="8"/>
        <v>3.5879657069572524E-2</v>
      </c>
      <c r="Y64" s="436"/>
      <c r="Z64" s="12"/>
      <c r="AA64" s="12"/>
      <c r="AB64" s="12"/>
      <c r="AM64" s="224"/>
      <c r="AN64" s="224"/>
      <c r="AO64" s="224"/>
      <c r="AP64" s="224"/>
      <c r="AQ64" s="179"/>
      <c r="AR64" s="224"/>
      <c r="AS64" s="224"/>
      <c r="AT64" s="224"/>
    </row>
    <row r="65" spans="1:46" ht="15.75" x14ac:dyDescent="0.25">
      <c r="A65" s="505">
        <v>33</v>
      </c>
      <c r="B65" s="506">
        <v>-8</v>
      </c>
      <c r="C65" s="664">
        <f>IFERROR('Device Resistance Tables'!C52,NA())</f>
        <v>8021.7335518145483</v>
      </c>
      <c r="D65" s="554">
        <f>IFERROR('Device Resistance Tables'!D52,NA())</f>
        <v>8143.8919307761917</v>
      </c>
      <c r="E65" s="664">
        <f>IFERROR('Device Resistance Tables'!F52,NA())</f>
        <v>8266.0503097378332</v>
      </c>
      <c r="F65" s="690">
        <f>IFERROR(D65*($B$15/(Main!$N$31+D65)),NA())</f>
        <v>2.2442516638236496</v>
      </c>
      <c r="G65" s="690">
        <f>IFERROR($B$16*($B$15/(Main!$N$31+D65)),NA())</f>
        <v>2.7557483361763504</v>
      </c>
      <c r="H65" s="664">
        <f t="shared" si="1"/>
        <v>52.830641119401662</v>
      </c>
      <c r="I65" s="691">
        <f t="shared" si="2"/>
        <v>2.7557483361763505E-4</v>
      </c>
      <c r="J65" s="690">
        <f>IFERROR(($B$15/(Main!$N$31+D65))^2*(Main!$N$31+D65)*1000,NA())</f>
        <v>1.3778741680881752</v>
      </c>
      <c r="K65" s="274">
        <f t="shared" si="3"/>
        <v>-1.5000000000000064</v>
      </c>
      <c r="L65" s="274">
        <f t="shared" ref="L65:L96" si="9">IFERROR(((E65-D65)/D65)*100,NA())</f>
        <v>1.499999999999984</v>
      </c>
      <c r="M65" s="271">
        <f t="shared" si="6"/>
        <v>8.0475074973715977E-3</v>
      </c>
      <c r="N65" s="692"/>
      <c r="O65" s="569">
        <v>-8</v>
      </c>
      <c r="P65" s="697">
        <v>37885.5</v>
      </c>
      <c r="Q65" s="697">
        <v>38790.5</v>
      </c>
      <c r="R65" s="697">
        <v>39713.1</v>
      </c>
      <c r="S65" s="695">
        <f>IFERROR(Q65*($B$15/(Main!$N$31+Q65)),NA())</f>
        <v>3.9752103380781096</v>
      </c>
      <c r="T65" s="664">
        <f t="shared" si="7"/>
        <v>1809.1999999999971</v>
      </c>
      <c r="U65" s="696">
        <f>IFERROR(($B$15/(Main!$N$31+Q65))^2*(Main!$N$31+Q65)*1000,NA())</f>
        <v>0.51239483096094529</v>
      </c>
      <c r="V65" s="274">
        <f t="shared" si="4"/>
        <v>-2.333045462162127</v>
      </c>
      <c r="W65" s="274">
        <f t="shared" si="5"/>
        <v>2.3784173960119062</v>
      </c>
      <c r="X65" s="271">
        <f t="shared" si="8"/>
        <v>3.6641510845895287E-2</v>
      </c>
      <c r="Y65" s="436"/>
      <c r="Z65" s="12"/>
      <c r="AA65" s="12"/>
      <c r="AB65" s="12"/>
      <c r="AM65" s="224"/>
      <c r="AN65" s="224"/>
      <c r="AO65" s="224"/>
      <c r="AP65" s="224"/>
      <c r="AQ65" s="179"/>
      <c r="AR65" s="224"/>
      <c r="AS65" s="224"/>
      <c r="AT65" s="224"/>
    </row>
    <row r="66" spans="1:46" ht="15.75" x14ac:dyDescent="0.25">
      <c r="A66" s="505">
        <v>34</v>
      </c>
      <c r="B66" s="506">
        <v>-7</v>
      </c>
      <c r="C66" s="664">
        <f>IFERROR('Device Resistance Tables'!C53,NA())</f>
        <v>8074.0714554880569</v>
      </c>
      <c r="D66" s="554">
        <f>IFERROR('Device Resistance Tables'!D53,NA())</f>
        <v>8197.0268583635097</v>
      </c>
      <c r="E66" s="664">
        <f>IFERROR('Device Resistance Tables'!F53,NA())</f>
        <v>8319.9822612389617</v>
      </c>
      <c r="F66" s="690">
        <f>IFERROR(D66*($B$15/(Main!$N$31+D66)),NA())</f>
        <v>2.2522983897768123</v>
      </c>
      <c r="G66" s="690">
        <f>IFERROR($B$16*($B$15/(Main!$N$31+D66)),NA())</f>
        <v>2.7477016102231868</v>
      </c>
      <c r="H66" s="664">
        <f t="shared" ref="H66:H97" si="10">IFERROR(D66-D65,NA())</f>
        <v>53.134927587318089</v>
      </c>
      <c r="I66" s="691">
        <f t="shared" si="2"/>
        <v>2.7477016102231866E-4</v>
      </c>
      <c r="J66" s="690">
        <f>IFERROR(($B$15/(Main!$N$31+D66))^2*(Main!$N$31+D66)*1000,NA())</f>
        <v>1.3738508051115932</v>
      </c>
      <c r="K66" s="274">
        <f t="shared" si="3"/>
        <v>-1.500000000000002</v>
      </c>
      <c r="L66" s="274">
        <f t="shared" si="9"/>
        <v>1.4999999999999911</v>
      </c>
      <c r="M66" s="271">
        <f t="shared" si="6"/>
        <v>8.0467259531626922E-3</v>
      </c>
      <c r="N66" s="692"/>
      <c r="O66" s="569">
        <v>-7</v>
      </c>
      <c r="P66" s="697">
        <v>36224.400000000001</v>
      </c>
      <c r="Q66" s="697">
        <v>37072.9</v>
      </c>
      <c r="R66" s="697">
        <v>37937.4</v>
      </c>
      <c r="S66" s="695">
        <f>IFERROR(Q66*($B$15/(Main!$N$31+Q66)),NA())</f>
        <v>3.9378177252729278</v>
      </c>
      <c r="T66" s="664">
        <f t="shared" si="7"/>
        <v>1717.5999999999985</v>
      </c>
      <c r="U66" s="696">
        <f>IFERROR(($B$15/(Main!$N$31+Q66))^2*(Main!$N$31+Q66)*1000,NA())</f>
        <v>0.53109113736353608</v>
      </c>
      <c r="V66" s="274">
        <f t="shared" si="4"/>
        <v>-2.2887338190430206</v>
      </c>
      <c r="W66" s="274">
        <f t="shared" si="5"/>
        <v>2.3318920289483689</v>
      </c>
      <c r="X66" s="271">
        <f t="shared" si="8"/>
        <v>3.7392612805181802E-2</v>
      </c>
      <c r="Y66" s="436"/>
      <c r="Z66" s="12"/>
      <c r="AA66" s="12"/>
      <c r="AB66" s="12"/>
      <c r="AM66" s="224"/>
      <c r="AN66" s="224"/>
      <c r="AO66" s="224"/>
      <c r="AP66" s="224"/>
      <c r="AQ66" s="179"/>
      <c r="AR66" s="224"/>
      <c r="AS66" s="224"/>
      <c r="AT66" s="224"/>
    </row>
    <row r="67" spans="1:46" ht="15.75" x14ac:dyDescent="0.25">
      <c r="A67" s="505">
        <v>35</v>
      </c>
      <c r="B67" s="506">
        <v>-6</v>
      </c>
      <c r="C67" s="664">
        <f>IFERROR('Device Resistance Tables'!C54,NA())</f>
        <v>8126.7092997104328</v>
      </c>
      <c r="D67" s="554">
        <f>IFERROR('Device Resistance Tables'!D54,NA())</f>
        <v>8250.4662941222668</v>
      </c>
      <c r="E67" s="664">
        <f>IFERROR('Device Resistance Tables'!F54,NA())</f>
        <v>8374.2232885341</v>
      </c>
      <c r="F67" s="690">
        <f>IFERROR(D67*($B$15/(Main!$N$31+D67)),NA())</f>
        <v>2.2603439718083824</v>
      </c>
      <c r="G67" s="690">
        <f>IFERROR($B$16*($B$15/(Main!$N$31+D67)),NA())</f>
        <v>2.7396560281916176</v>
      </c>
      <c r="H67" s="664">
        <f t="shared" si="10"/>
        <v>53.439435758757099</v>
      </c>
      <c r="I67" s="691">
        <f t="shared" si="2"/>
        <v>2.7396560281916176E-4</v>
      </c>
      <c r="J67" s="690">
        <f>IFERROR(($B$15/(Main!$N$31+D67))^2*(Main!$N$31+D67)*1000,NA())</f>
        <v>1.3698280140958088</v>
      </c>
      <c r="K67" s="274">
        <f t="shared" si="3"/>
        <v>-1.5000000000000007</v>
      </c>
      <c r="L67" s="274">
        <f t="shared" si="9"/>
        <v>1.4999999999999898</v>
      </c>
      <c r="M67" s="271">
        <f t="shared" si="6"/>
        <v>8.045582031570131E-3</v>
      </c>
      <c r="N67" s="692"/>
      <c r="O67" s="569">
        <v>-6</v>
      </c>
      <c r="P67" s="697">
        <v>34646.1</v>
      </c>
      <c r="Q67" s="697">
        <v>35441.699999999997</v>
      </c>
      <c r="R67" s="697">
        <v>36251.9</v>
      </c>
      <c r="S67" s="695">
        <f>IFERROR(Q67*($B$15/(Main!$N$31+Q67)),NA())</f>
        <v>3.8996890521261309</v>
      </c>
      <c r="T67" s="664">
        <f t="shared" si="7"/>
        <v>1631.2000000000044</v>
      </c>
      <c r="U67" s="696">
        <f>IFERROR(($B$15/(Main!$N$31+Q67))^2*(Main!$N$31+Q67)*1000,NA())</f>
        <v>0.55015547393693476</v>
      </c>
      <c r="V67" s="274">
        <f t="shared" si="4"/>
        <v>-2.2448133131311381</v>
      </c>
      <c r="W67" s="274">
        <f t="shared" si="5"/>
        <v>2.2860077253630733</v>
      </c>
      <c r="X67" s="271">
        <f t="shared" si="8"/>
        <v>3.812867314679691E-2</v>
      </c>
      <c r="Y67" s="436"/>
      <c r="Z67" s="12"/>
      <c r="AA67" s="12"/>
      <c r="AB67" s="12"/>
      <c r="AM67" s="224"/>
      <c r="AN67" s="224"/>
      <c r="AO67" s="224"/>
      <c r="AP67" s="224"/>
      <c r="AQ67" s="179"/>
      <c r="AR67" s="224"/>
      <c r="AS67" s="224"/>
      <c r="AT67" s="224"/>
    </row>
    <row r="68" spans="1:46" ht="15.75" x14ac:dyDescent="0.25">
      <c r="A68" s="505">
        <v>36</v>
      </c>
      <c r="B68" s="506">
        <v>-5</v>
      </c>
      <c r="C68" s="664">
        <f>IFERROR('Device Resistance Tables'!C55,NA())</f>
        <v>8179.6473114715818</v>
      </c>
      <c r="D68" s="554">
        <f>IFERROR('Device Resistance Tables'!D55,NA())</f>
        <v>8304.2104684990682</v>
      </c>
      <c r="E68" s="664">
        <f>IFERROR('Device Resistance Tables'!F55,NA())</f>
        <v>8428.7736255265536</v>
      </c>
      <c r="F68" s="690">
        <f>IFERROR(D68*($B$15/(Main!$N$31+D68)),NA())</f>
        <v>2.2683880527899127</v>
      </c>
      <c r="G68" s="690">
        <f>IFERROR($B$16*($B$15/(Main!$N$31+D68)),NA())</f>
        <v>2.7316119472100868</v>
      </c>
      <c r="H68" s="664">
        <f t="shared" si="10"/>
        <v>53.744174376801311</v>
      </c>
      <c r="I68" s="691">
        <f t="shared" si="2"/>
        <v>2.7316119472100869E-4</v>
      </c>
      <c r="J68" s="690">
        <f>IFERROR(($B$15/(Main!$N$31+D68))^2*(Main!$N$31+D68)*1000,NA())</f>
        <v>1.3658059736050434</v>
      </c>
      <c r="K68" s="274">
        <f t="shared" si="3"/>
        <v>-1.5000000000000038</v>
      </c>
      <c r="L68" s="274">
        <f t="shared" si="9"/>
        <v>1.4999999999999929</v>
      </c>
      <c r="M68" s="271">
        <f t="shared" si="6"/>
        <v>8.0440809815303105E-3</v>
      </c>
      <c r="N68" s="692"/>
      <c r="O68" s="569">
        <v>-5</v>
      </c>
      <c r="P68" s="697">
        <v>33146.199999999997</v>
      </c>
      <c r="Q68" s="697">
        <v>33892.199999999997</v>
      </c>
      <c r="R68" s="697">
        <v>34651.5</v>
      </c>
      <c r="S68" s="695">
        <f>IFERROR(Q68*($B$15/(Main!$N$31+Q68)),NA())</f>
        <v>3.8608454349519961</v>
      </c>
      <c r="T68" s="664">
        <f t="shared" si="7"/>
        <v>1549.5</v>
      </c>
      <c r="U68" s="696">
        <f>IFERROR(($B$15/(Main!$N$31+Q68))^2*(Main!$N$31+Q68)*1000,NA())</f>
        <v>0.56957728252400208</v>
      </c>
      <c r="V68" s="274">
        <f t="shared" si="4"/>
        <v>-2.2010964174647856</v>
      </c>
      <c r="W68" s="274">
        <f t="shared" si="5"/>
        <v>2.2403384849611503</v>
      </c>
      <c r="X68" s="271">
        <f t="shared" si="8"/>
        <v>3.884361717413487E-2</v>
      </c>
      <c r="Y68" s="436"/>
      <c r="Z68" s="12"/>
      <c r="AA68" s="12"/>
      <c r="AB68" s="12"/>
      <c r="AM68" s="224"/>
      <c r="AN68" s="224"/>
      <c r="AO68" s="224"/>
      <c r="AP68" s="224"/>
      <c r="AQ68" s="179"/>
      <c r="AR68" s="224"/>
      <c r="AS68" s="224"/>
      <c r="AT68" s="224"/>
    </row>
    <row r="69" spans="1:46" ht="15.75" x14ac:dyDescent="0.25">
      <c r="A69" s="505">
        <v>37</v>
      </c>
      <c r="B69" s="506">
        <v>-4</v>
      </c>
      <c r="C69" s="664">
        <f>IFERROR('Device Resistance Tables'!C56,NA())</f>
        <v>8232.885726373368</v>
      </c>
      <c r="D69" s="554">
        <f>IFERROR('Device Resistance Tables'!D56,NA())</f>
        <v>8358.2596206836224</v>
      </c>
      <c r="E69" s="664">
        <f>IFERROR('Device Resistance Tables'!F56,NA())</f>
        <v>8483.6335149938768</v>
      </c>
      <c r="F69" s="690">
        <f>IFERROR(D69*($B$15/(Main!$N$31+D69)),NA())</f>
        <v>2.2764302808057733</v>
      </c>
      <c r="G69" s="690">
        <f>IFERROR($B$16*($B$15/(Main!$N$31+D69)),NA())</f>
        <v>2.7235697191942263</v>
      </c>
      <c r="H69" s="664">
        <f t="shared" si="10"/>
        <v>54.049152184554259</v>
      </c>
      <c r="I69" s="691">
        <f t="shared" si="2"/>
        <v>2.7235697191942262E-4</v>
      </c>
      <c r="J69" s="690">
        <f>IFERROR(($B$15/(Main!$N$31+D69))^2*(Main!$N$31+D69)*1000,NA())</f>
        <v>1.3617848595971132</v>
      </c>
      <c r="K69" s="274">
        <f t="shared" si="3"/>
        <v>-1.5000000000000009</v>
      </c>
      <c r="L69" s="274">
        <f t="shared" si="9"/>
        <v>1.5000000000000009</v>
      </c>
      <c r="M69" s="271">
        <f t="shared" si="6"/>
        <v>8.0422280158605197E-3</v>
      </c>
      <c r="N69" s="692"/>
      <c r="O69" s="569">
        <v>-4</v>
      </c>
      <c r="P69" s="697">
        <v>31720.2</v>
      </c>
      <c r="Q69" s="697">
        <v>32419.7</v>
      </c>
      <c r="R69" s="697">
        <v>33131.300000000003</v>
      </c>
      <c r="S69" s="695">
        <f>IFERROR(Q69*($B$15/(Main!$N$31+Q69)),NA())</f>
        <v>3.8213023665891086</v>
      </c>
      <c r="T69" s="664">
        <f t="shared" si="7"/>
        <v>1472.4999999999964</v>
      </c>
      <c r="U69" s="696">
        <f>IFERROR(($B$15/(Main!$N$31+Q69))^2*(Main!$N$31+Q69)*1000,NA())</f>
        <v>0.58934881670544581</v>
      </c>
      <c r="V69" s="274">
        <f t="shared" si="4"/>
        <v>-2.157638719667363</v>
      </c>
      <c r="W69" s="274">
        <f t="shared" si="5"/>
        <v>2.1949617053828452</v>
      </c>
      <c r="X69" s="271">
        <f t="shared" si="8"/>
        <v>3.9543068362887457E-2</v>
      </c>
      <c r="Y69" s="436"/>
      <c r="Z69" s="12"/>
      <c r="AA69" s="12"/>
      <c r="AB69" s="12"/>
      <c r="AM69" s="224"/>
      <c r="AN69" s="224"/>
      <c r="AO69" s="224"/>
      <c r="AP69" s="224"/>
      <c r="AQ69" s="179"/>
      <c r="AR69" s="224"/>
      <c r="AS69" s="224"/>
      <c r="AT69" s="224"/>
    </row>
    <row r="70" spans="1:46" ht="15.75" x14ac:dyDescent="0.25">
      <c r="A70" s="505">
        <v>38</v>
      </c>
      <c r="B70" s="506">
        <v>-3</v>
      </c>
      <c r="C70" s="664">
        <f>IFERROR('Device Resistance Tables'!C57,NA())</f>
        <v>8286.4247886295852</v>
      </c>
      <c r="D70" s="554">
        <f>IFERROR('Device Resistance Tables'!D57,NA())</f>
        <v>8412.6139986087164</v>
      </c>
      <c r="E70" s="664">
        <f>IFERROR('Device Resistance Tables'!F57,NA())</f>
        <v>8538.8032085878458</v>
      </c>
      <c r="F70" s="690">
        <f>IFERROR(D70*($B$15/(Main!$N$31+D70)),NA())</f>
        <v>2.2844703091164531</v>
      </c>
      <c r="G70" s="690">
        <f>IFERROR($B$16*($B$15/(Main!$N$31+D70)),NA())</f>
        <v>2.7155296908835473</v>
      </c>
      <c r="H70" s="664">
        <f t="shared" si="10"/>
        <v>54.354377925094013</v>
      </c>
      <c r="I70" s="691">
        <f t="shared" si="2"/>
        <v>2.7155296908835475E-4</v>
      </c>
      <c r="J70" s="690">
        <f>IFERROR(($B$15/(Main!$N$31+D70))^2*(Main!$N$31+D70)*1000,NA())</f>
        <v>1.3577648454417737</v>
      </c>
      <c r="K70" s="274">
        <f t="shared" si="3"/>
        <v>-1.5000000000000053</v>
      </c>
      <c r="L70" s="274">
        <f t="shared" si="9"/>
        <v>1.4999999999999836</v>
      </c>
      <c r="M70" s="271">
        <f t="shared" si="6"/>
        <v>8.0400283106798476E-3</v>
      </c>
      <c r="N70" s="692"/>
      <c r="O70" s="569">
        <v>-3</v>
      </c>
      <c r="P70" s="697">
        <v>30364.1</v>
      </c>
      <c r="Q70" s="697">
        <v>31020</v>
      </c>
      <c r="R70" s="697">
        <v>31686.9</v>
      </c>
      <c r="S70" s="695">
        <f>IFERROR(Q70*($B$15/(Main!$N$31+Q70)),NA())</f>
        <v>3.781082398829839</v>
      </c>
      <c r="T70" s="664">
        <f t="shared" si="7"/>
        <v>1399.7000000000007</v>
      </c>
      <c r="U70" s="696">
        <f>IFERROR(($B$15/(Main!$N$31+Q70))^2*(Main!$N$31+Q70)*1000,NA())</f>
        <v>0.60945880058508028</v>
      </c>
      <c r="V70" s="274">
        <f t="shared" si="4"/>
        <v>-2.1144422952933639</v>
      </c>
      <c r="W70" s="274">
        <f t="shared" si="5"/>
        <v>2.1499032882011653</v>
      </c>
      <c r="X70" s="271">
        <f t="shared" si="8"/>
        <v>4.0219967759269615E-2</v>
      </c>
      <c r="Y70" s="436"/>
      <c r="Z70" s="12"/>
      <c r="AA70" s="12"/>
      <c r="AB70" s="12"/>
      <c r="AM70" s="224"/>
      <c r="AN70" s="224"/>
      <c r="AO70" s="224"/>
      <c r="AP70" s="224"/>
      <c r="AQ70" s="179"/>
      <c r="AR70" s="224"/>
      <c r="AS70" s="224"/>
      <c r="AT70" s="224"/>
    </row>
    <row r="71" spans="1:46" ht="15.75" x14ac:dyDescent="0.25">
      <c r="A71" s="505">
        <v>39</v>
      </c>
      <c r="B71" s="506">
        <v>-2</v>
      </c>
      <c r="C71" s="664">
        <f>IFERROR('Device Resistance Tables'!C58,NA())</f>
        <v>8340.2647510659881</v>
      </c>
      <c r="D71" s="554">
        <f>IFERROR('Device Resistance Tables'!D58,NA())</f>
        <v>8467.2738589502424</v>
      </c>
      <c r="E71" s="664">
        <f>IFERROR('Device Resistance Tables'!F58,NA())</f>
        <v>8594.2829668344948</v>
      </c>
      <c r="F71" s="690">
        <f>IFERROR(D71*($B$15/(Main!$N$31+D71)),NA())</f>
        <v>2.2925077961213378</v>
      </c>
      <c r="G71" s="690">
        <f>IFERROR($B$16*($B$15/(Main!$N$31+D71)),NA())</f>
        <v>2.7074922038786626</v>
      </c>
      <c r="H71" s="664">
        <f t="shared" si="10"/>
        <v>54.659860341525928</v>
      </c>
      <c r="I71" s="691">
        <f t="shared" si="2"/>
        <v>2.7074922038786625E-4</v>
      </c>
      <c r="J71" s="690">
        <f>IFERROR(($B$15/(Main!$N$31+D71))^2*(Main!$N$31+D71)*1000,NA())</f>
        <v>1.3537461019393311</v>
      </c>
      <c r="K71" s="274">
        <f t="shared" si="3"/>
        <v>-1.5000000000000073</v>
      </c>
      <c r="L71" s="274">
        <f t="shared" si="9"/>
        <v>1.4999999999999858</v>
      </c>
      <c r="M71" s="271">
        <f t="shared" si="6"/>
        <v>8.0374870048847136E-3</v>
      </c>
      <c r="N71" s="692"/>
      <c r="O71" s="569">
        <v>-2</v>
      </c>
      <c r="P71" s="697">
        <v>29074</v>
      </c>
      <c r="Q71" s="697">
        <v>29689</v>
      </c>
      <c r="R71" s="697">
        <v>30314</v>
      </c>
      <c r="S71" s="695">
        <f>IFERROR(Q71*($B$15/(Main!$N$31+Q71)),NA())</f>
        <v>3.7402050946105976</v>
      </c>
      <c r="T71" s="664">
        <f t="shared" si="7"/>
        <v>1331</v>
      </c>
      <c r="U71" s="696">
        <f>IFERROR(($B$15/(Main!$N$31+Q71))^2*(Main!$N$31+Q71)*1000,NA())</f>
        <v>0.62989745269470143</v>
      </c>
      <c r="V71" s="274">
        <f t="shared" si="4"/>
        <v>-2.071474283404628</v>
      </c>
      <c r="W71" s="274">
        <f t="shared" si="5"/>
        <v>2.105156792077874</v>
      </c>
      <c r="X71" s="271">
        <f t="shared" si="8"/>
        <v>4.0877304219241406E-2</v>
      </c>
      <c r="Y71" s="436"/>
      <c r="Z71" s="12"/>
      <c r="AA71" s="12"/>
      <c r="AB71" s="12"/>
      <c r="AM71" s="224"/>
      <c r="AN71" s="224"/>
      <c r="AO71" s="224"/>
      <c r="AP71" s="224"/>
      <c r="AQ71" s="179"/>
      <c r="AR71" s="224"/>
      <c r="AS71" s="224"/>
      <c r="AT71" s="224"/>
    </row>
    <row r="72" spans="1:46" ht="15.75" x14ac:dyDescent="0.25">
      <c r="A72" s="505">
        <v>40</v>
      </c>
      <c r="B72" s="506">
        <v>-1</v>
      </c>
      <c r="C72" s="664">
        <f>IFERROR('Device Resistance Tables'!C59,NA())</f>
        <v>8394.4058751202756</v>
      </c>
      <c r="D72" s="554">
        <f>IFERROR('Device Resistance Tables'!D59,NA())</f>
        <v>8522.2394671271832</v>
      </c>
      <c r="E72" s="664">
        <f>IFERROR('Device Resistance Tables'!F59,NA())</f>
        <v>8650.0730591340907</v>
      </c>
      <c r="F72" s="690">
        <f>IFERROR(D72*($B$15/(Main!$N$31+D72)),NA())</f>
        <v>2.3005424053209778</v>
      </c>
      <c r="G72" s="690">
        <f>IFERROR($B$16*($B$15/(Main!$N$31+D72)),NA())</f>
        <v>2.6994575946790218</v>
      </c>
      <c r="H72" s="664">
        <f t="shared" si="10"/>
        <v>54.965608176940805</v>
      </c>
      <c r="I72" s="691">
        <f t="shared" si="2"/>
        <v>2.699457594679022E-4</v>
      </c>
      <c r="J72" s="690">
        <f>IFERROR(($B$15/(Main!$N$31+D72))^2*(Main!$N$31+D72)*1000,NA())</f>
        <v>1.3497287973395109</v>
      </c>
      <c r="K72" s="274">
        <f t="shared" si="3"/>
        <v>-1.4999999999999978</v>
      </c>
      <c r="L72" s="274">
        <f t="shared" si="9"/>
        <v>1.4999999999999978</v>
      </c>
      <c r="M72" s="271">
        <f t="shared" si="6"/>
        <v>8.0346091996399416E-3</v>
      </c>
      <c r="N72" s="692"/>
      <c r="O72" s="569">
        <v>-1</v>
      </c>
      <c r="P72" s="697">
        <v>27846.5</v>
      </c>
      <c r="Q72" s="697">
        <v>28423.1</v>
      </c>
      <c r="R72" s="697">
        <v>29008.799999999999</v>
      </c>
      <c r="S72" s="695">
        <f>IFERROR(Q72*($B$15/(Main!$N$31+Q72)),NA())</f>
        <v>3.6986994802605722</v>
      </c>
      <c r="T72" s="664">
        <f t="shared" si="7"/>
        <v>1265.9000000000015</v>
      </c>
      <c r="U72" s="696">
        <f>IFERROR(($B$15/(Main!$N$31+Q72))^2*(Main!$N$31+Q72)*1000,NA())</f>
        <v>0.65065025986971381</v>
      </c>
      <c r="V72" s="274">
        <f t="shared" si="4"/>
        <v>-2.0286316411651035</v>
      </c>
      <c r="W72" s="274">
        <f t="shared" si="5"/>
        <v>2.0606478533305683</v>
      </c>
      <c r="X72" s="271">
        <f t="shared" si="8"/>
        <v>4.1505614350025422E-2</v>
      </c>
      <c r="Y72" s="436"/>
      <c r="Z72" s="12"/>
      <c r="AA72" s="12"/>
      <c r="AB72" s="12"/>
      <c r="AM72" s="224"/>
      <c r="AN72" s="224"/>
      <c r="AO72" s="224"/>
      <c r="AP72" s="224"/>
      <c r="AQ72" s="179"/>
      <c r="AR72" s="224"/>
      <c r="AS72" s="224"/>
      <c r="AT72" s="224"/>
    </row>
    <row r="73" spans="1:46" ht="15.75" x14ac:dyDescent="0.25">
      <c r="A73" s="505">
        <v>41</v>
      </c>
      <c r="B73" s="506">
        <v>0</v>
      </c>
      <c r="C73" s="664">
        <f>IFERROR('Device Resistance Tables'!C60,NA())</f>
        <v>8491.7359863285874</v>
      </c>
      <c r="D73" s="554">
        <f>IFERROR('Device Resistance Tables'!D60,NA())</f>
        <v>8577.5110973016035</v>
      </c>
      <c r="E73" s="664">
        <f>IFERROR('Device Resistance Tables'!F60,NA())</f>
        <v>8663.2862082746196</v>
      </c>
      <c r="F73" s="690">
        <f>IFERROR(D73*($B$15/(Main!$N$31+D73)),NA())</f>
        <v>2.3085738052788707</v>
      </c>
      <c r="G73" s="690">
        <f>IFERROR($B$16*($B$15/(Main!$N$31+D73)),NA())</f>
        <v>2.6914261947211289</v>
      </c>
      <c r="H73" s="664">
        <f t="shared" si="10"/>
        <v>55.271630174420352</v>
      </c>
      <c r="I73" s="691">
        <f t="shared" si="2"/>
        <v>2.6914261947211287E-4</v>
      </c>
      <c r="J73" s="690">
        <f>IFERROR(($B$15/(Main!$N$31+D73))^2*(Main!$N$31+D73)*1000,NA())</f>
        <v>1.3457130973605644</v>
      </c>
      <c r="K73" s="274">
        <f t="shared" si="3"/>
        <v>-1.0000000000000011</v>
      </c>
      <c r="L73" s="274">
        <f t="shared" si="9"/>
        <v>1.0000000000000011</v>
      </c>
      <c r="M73" s="271">
        <f t="shared" si="6"/>
        <v>8.0313999578929263E-3</v>
      </c>
      <c r="N73" s="692"/>
      <c r="O73" s="569">
        <v>0</v>
      </c>
      <c r="P73" s="697">
        <v>26678</v>
      </c>
      <c r="Q73" s="697">
        <v>27218.6</v>
      </c>
      <c r="R73" s="697">
        <v>27767.5</v>
      </c>
      <c r="S73" s="695">
        <f>IFERROR(Q73*($B$15/(Main!$N$31+Q73)),NA())</f>
        <v>3.6565856856517973</v>
      </c>
      <c r="T73" s="664">
        <f t="shared" si="7"/>
        <v>1204.5</v>
      </c>
      <c r="U73" s="696">
        <f>IFERROR(($B$15/(Main!$N$31+Q73))^2*(Main!$N$31+Q73)*1000,NA())</f>
        <v>0.67170715717410101</v>
      </c>
      <c r="V73" s="274">
        <f t="shared" si="4"/>
        <v>-1.9861418294842443</v>
      </c>
      <c r="W73" s="274">
        <f t="shared" si="5"/>
        <v>2.0166356829521046</v>
      </c>
      <c r="X73" s="271">
        <f t="shared" si="8"/>
        <v>4.2113794608774846E-2</v>
      </c>
      <c r="Y73" s="436"/>
      <c r="Z73" s="12"/>
      <c r="AA73" s="12"/>
      <c r="AB73" s="12"/>
      <c r="AM73" s="224"/>
      <c r="AN73" s="224"/>
      <c r="AO73" s="224"/>
      <c r="AP73" s="224"/>
      <c r="AQ73" s="179"/>
      <c r="AR73" s="224"/>
      <c r="AS73" s="224"/>
      <c r="AT73" s="224"/>
    </row>
    <row r="74" spans="1:46" ht="15.75" x14ac:dyDescent="0.25">
      <c r="A74" s="505">
        <v>42</v>
      </c>
      <c r="B74" s="506">
        <v>1</v>
      </c>
      <c r="C74" s="664">
        <f>IFERROR('Device Resistance Tables'!C61,NA())</f>
        <v>8546.7581420548868</v>
      </c>
      <c r="D74" s="554">
        <f>IFERROR('Device Resistance Tables'!D61,NA())</f>
        <v>8633.0890323786734</v>
      </c>
      <c r="E74" s="664">
        <f>IFERROR('Device Resistance Tables'!F61,NA())</f>
        <v>8719.4199227024601</v>
      </c>
      <c r="F74" s="690">
        <f>IFERROR(D74*($B$15/(Main!$N$31+D74)),NA())</f>
        <v>2.3166016695827989</v>
      </c>
      <c r="G74" s="690">
        <f>IFERROR($B$16*($B$15/(Main!$N$31+D74)),NA())</f>
        <v>2.6833983304172015</v>
      </c>
      <c r="H74" s="664">
        <f t="shared" si="10"/>
        <v>55.577935077069924</v>
      </c>
      <c r="I74" s="691">
        <f t="shared" si="2"/>
        <v>2.6833983304172017E-4</v>
      </c>
      <c r="J74" s="690">
        <f>IFERROR(($B$15/(Main!$N$31+D74))^2*(Main!$N$31+D74)*1000,NA())</f>
        <v>1.341699165208601</v>
      </c>
      <c r="K74" s="274">
        <f t="shared" si="3"/>
        <v>-0.99999999999999911</v>
      </c>
      <c r="L74" s="274">
        <f t="shared" si="9"/>
        <v>0.99999999999999911</v>
      </c>
      <c r="M74" s="271">
        <f t="shared" si="6"/>
        <v>8.0278643039282116E-3</v>
      </c>
      <c r="N74" s="692"/>
      <c r="O74" s="569">
        <v>1</v>
      </c>
      <c r="P74" s="697">
        <v>25569</v>
      </c>
      <c r="Q74" s="697">
        <v>26076</v>
      </c>
      <c r="R74" s="697">
        <v>26590.400000000001</v>
      </c>
      <c r="S74" s="695">
        <f>IFERROR(Q74*($B$15/(Main!$N$31+Q74)),NA())</f>
        <v>3.6140370329304803</v>
      </c>
      <c r="T74" s="664">
        <f t="shared" si="7"/>
        <v>1142.5999999999985</v>
      </c>
      <c r="U74" s="696">
        <f>IFERROR(($B$15/(Main!$N$31+Q74))^2*(Main!$N$31+Q74)*1000,NA())</f>
        <v>0.69298148353476008</v>
      </c>
      <c r="V74" s="274">
        <f t="shared" si="4"/>
        <v>-1.9443166129774505</v>
      </c>
      <c r="W74" s="274">
        <f t="shared" si="5"/>
        <v>1.9726951986501053</v>
      </c>
      <c r="X74" s="271">
        <f t="shared" si="8"/>
        <v>4.2548652721317026E-2</v>
      </c>
      <c r="Y74" s="436"/>
      <c r="Z74" s="12"/>
      <c r="AA74" s="12"/>
      <c r="AB74" s="12"/>
      <c r="AM74" s="224"/>
      <c r="AN74" s="224"/>
      <c r="AO74" s="224"/>
      <c r="AP74" s="224"/>
      <c r="AQ74" s="179"/>
      <c r="AR74" s="224"/>
      <c r="AS74" s="224"/>
      <c r="AT74" s="224"/>
    </row>
    <row r="75" spans="1:46" ht="15.75" x14ac:dyDescent="0.25">
      <c r="A75" s="505">
        <v>43</v>
      </c>
      <c r="B75" s="506">
        <v>2</v>
      </c>
      <c r="C75" s="664">
        <f>IFERROR('Device Resistance Tables'!C62,NA())</f>
        <v>8602.0838283665817</v>
      </c>
      <c r="D75" s="554">
        <f>IFERROR('Device Resistance Tables'!D62,NA())</f>
        <v>8688.9735640066483</v>
      </c>
      <c r="E75" s="664">
        <f>IFERROR('Device Resistance Tables'!F62,NA())</f>
        <v>8775.8632996467149</v>
      </c>
      <c r="F75" s="690">
        <f>IFERROR(D75*($B$15/(Main!$N$31+D75)),NA())</f>
        <v>2.3246256768057241</v>
      </c>
      <c r="G75" s="690">
        <f>IFERROR($B$16*($B$15/(Main!$N$31+D75)),NA())</f>
        <v>2.6753743231942759</v>
      </c>
      <c r="H75" s="664">
        <f t="shared" si="10"/>
        <v>55.884531627974866</v>
      </c>
      <c r="I75" s="691">
        <f t="shared" si="2"/>
        <v>2.6753743231942758E-4</v>
      </c>
      <c r="J75" s="690">
        <f>IFERROR(($B$15/(Main!$N$31+D75))^2*(Main!$N$31+D75)*1000,NA())</f>
        <v>1.3376871615971382</v>
      </c>
      <c r="K75" s="274">
        <f t="shared" si="3"/>
        <v>-1.000000000000002</v>
      </c>
      <c r="L75" s="274">
        <f t="shared" si="9"/>
        <v>1.000000000000002</v>
      </c>
      <c r="M75" s="271">
        <f t="shared" si="6"/>
        <v>8.024007222925178E-3</v>
      </c>
      <c r="N75" s="692"/>
      <c r="O75" s="569">
        <v>2</v>
      </c>
      <c r="P75" s="697">
        <v>24512.3</v>
      </c>
      <c r="Q75" s="697">
        <v>24987.7</v>
      </c>
      <c r="R75" s="697">
        <v>25469.8</v>
      </c>
      <c r="S75" s="695">
        <f>IFERROR(Q75*($B$15/(Main!$N$31+Q75)),NA())</f>
        <v>3.5709263541187339</v>
      </c>
      <c r="T75" s="664">
        <f t="shared" si="7"/>
        <v>1088.2999999999993</v>
      </c>
      <c r="U75" s="696">
        <f>IFERROR(($B$15/(Main!$N$31+Q75))^2*(Main!$N$31+Q75)*1000,NA())</f>
        <v>0.71453682294063359</v>
      </c>
      <c r="V75" s="274">
        <f t="shared" si="4"/>
        <v>-1.9025360477354918</v>
      </c>
      <c r="W75" s="274">
        <f t="shared" si="5"/>
        <v>1.9293492398259886</v>
      </c>
      <c r="X75" s="271">
        <f t="shared" si="8"/>
        <v>4.311067881174635E-2</v>
      </c>
      <c r="Y75" s="436"/>
      <c r="Z75" s="12"/>
      <c r="AA75" s="12"/>
      <c r="AB75" s="12"/>
      <c r="AM75" s="224"/>
      <c r="AN75" s="224"/>
      <c r="AO75" s="224"/>
      <c r="AP75" s="224"/>
      <c r="AQ75" s="179"/>
      <c r="AR75" s="224"/>
      <c r="AS75" s="224"/>
      <c r="AT75" s="224"/>
    </row>
    <row r="76" spans="1:46" ht="15.75" x14ac:dyDescent="0.25">
      <c r="A76" s="505">
        <v>44</v>
      </c>
      <c r="B76" s="506">
        <v>3</v>
      </c>
      <c r="C76" s="664">
        <f>IFERROR('Device Resistance Tables'!C63,NA())</f>
        <v>8657.7133426511064</v>
      </c>
      <c r="D76" s="554">
        <f>IFERROR('Device Resistance Tables'!D63,NA())</f>
        <v>8745.1649925768743</v>
      </c>
      <c r="E76" s="664">
        <f>IFERROR('Device Resistance Tables'!F63,NA())</f>
        <v>8832.6166425026422</v>
      </c>
      <c r="F76" s="690">
        <f>IFERROR(D76*($B$15/(Main!$N$31+D76)),NA())</f>
        <v>2.3326455104662935</v>
      </c>
      <c r="G76" s="690">
        <f>IFERROR($B$16*($B$15/(Main!$N$31+D76)),NA())</f>
        <v>2.6673544895337074</v>
      </c>
      <c r="H76" s="664">
        <f t="shared" si="10"/>
        <v>56.19142857022598</v>
      </c>
      <c r="I76" s="691">
        <f t="shared" si="2"/>
        <v>2.6673544895337072E-4</v>
      </c>
      <c r="J76" s="690">
        <f>IFERROR(($B$15/(Main!$N$31+D76))^2*(Main!$N$31+D76)*1000,NA())</f>
        <v>1.3336772447668539</v>
      </c>
      <c r="K76" s="274">
        <f t="shared" si="3"/>
        <v>-0.99999999999999067</v>
      </c>
      <c r="L76" s="274">
        <f t="shared" si="9"/>
        <v>0.99999999999999067</v>
      </c>
      <c r="M76" s="271">
        <f t="shared" si="6"/>
        <v>8.0198336605694642E-3</v>
      </c>
      <c r="N76" s="692"/>
      <c r="O76" s="569">
        <v>3</v>
      </c>
      <c r="P76" s="697">
        <v>23505.200000000001</v>
      </c>
      <c r="Q76" s="697">
        <v>23950.9</v>
      </c>
      <c r="R76" s="697">
        <v>24402.6</v>
      </c>
      <c r="S76" s="695">
        <f>IFERROR(Q76*($B$15/(Main!$N$31+Q76)),NA())</f>
        <v>3.527284990972257</v>
      </c>
      <c r="T76" s="664">
        <f t="shared" si="7"/>
        <v>1036.7999999999993</v>
      </c>
      <c r="U76" s="696">
        <f>IFERROR(($B$15/(Main!$N$31+Q76))^2*(Main!$N$31+Q76)*1000,NA())</f>
        <v>0.73635750451387139</v>
      </c>
      <c r="V76" s="274">
        <f t="shared" si="4"/>
        <v>-1.8608904049534702</v>
      </c>
      <c r="W76" s="274">
        <f t="shared" si="5"/>
        <v>1.8859416556371453</v>
      </c>
      <c r="X76" s="271">
        <f t="shared" si="8"/>
        <v>4.364136314647693E-2</v>
      </c>
      <c r="Y76" s="436"/>
      <c r="Z76" s="12"/>
      <c r="AA76" s="12"/>
      <c r="AB76" s="12"/>
      <c r="AM76" s="224"/>
      <c r="AN76" s="224"/>
      <c r="AO76" s="224"/>
      <c r="AP76" s="224"/>
      <c r="AQ76" s="179"/>
      <c r="AR76" s="224"/>
      <c r="AS76" s="224"/>
      <c r="AT76" s="224"/>
    </row>
    <row r="77" spans="1:46" ht="15.75" x14ac:dyDescent="0.25">
      <c r="A77" s="505">
        <v>45</v>
      </c>
      <c r="B77" s="506">
        <v>4</v>
      </c>
      <c r="C77" s="664">
        <f>IFERROR('Device Resistance Tables'!C64,NA())</f>
        <v>8713.6469909515599</v>
      </c>
      <c r="D77" s="554">
        <f>IFERROR('Device Resistance Tables'!D64,NA())</f>
        <v>8801.6636272237974</v>
      </c>
      <c r="E77" s="664">
        <f>IFERROR('Device Resistance Tables'!F64,NA())</f>
        <v>8889.680263496035</v>
      </c>
      <c r="F77" s="690">
        <f>IFERROR(D77*($B$15/(Main!$N$31+D77)),NA())</f>
        <v>2.3406608589889522</v>
      </c>
      <c r="G77" s="690">
        <f>IFERROR($B$16*($B$15/(Main!$N$31+D77)),NA())</f>
        <v>2.6593391410110487</v>
      </c>
      <c r="H77" s="664">
        <f t="shared" si="10"/>
        <v>56.498634646923165</v>
      </c>
      <c r="I77" s="691">
        <f t="shared" si="2"/>
        <v>2.6593391410110486E-4</v>
      </c>
      <c r="J77" s="690">
        <f>IFERROR(($B$15/(Main!$N$31+D77))^2*(Main!$N$31+D77)*1000,NA())</f>
        <v>1.3296695705055244</v>
      </c>
      <c r="K77" s="274">
        <f t="shared" si="3"/>
        <v>-0.99999999999999478</v>
      </c>
      <c r="L77" s="274">
        <f t="shared" si="9"/>
        <v>0.99999999999999478</v>
      </c>
      <c r="M77" s="271">
        <f t="shared" si="6"/>
        <v>8.0153485226586163E-3</v>
      </c>
      <c r="N77" s="692"/>
      <c r="O77" s="569">
        <v>4</v>
      </c>
      <c r="P77" s="697">
        <v>22545</v>
      </c>
      <c r="Q77" s="697">
        <v>22962.9</v>
      </c>
      <c r="R77" s="697">
        <v>23386.1</v>
      </c>
      <c r="S77" s="695">
        <f>IFERROR(Q77*($B$15/(Main!$N$31+Q77)),NA())</f>
        <v>3.4831431700487521</v>
      </c>
      <c r="T77" s="664">
        <f t="shared" si="7"/>
        <v>988</v>
      </c>
      <c r="U77" s="696">
        <f>IFERROR(($B$15/(Main!$N$31+Q77))^2*(Main!$N$31+Q77)*1000,NA())</f>
        <v>0.75842841497562419</v>
      </c>
      <c r="V77" s="274">
        <f t="shared" si="4"/>
        <v>-1.8198920868008894</v>
      </c>
      <c r="W77" s="274">
        <f t="shared" si="5"/>
        <v>1.8429727952479742</v>
      </c>
      <c r="X77" s="271">
        <f t="shared" si="8"/>
        <v>4.4141820923504937E-2</v>
      </c>
      <c r="Y77" s="436"/>
      <c r="Z77" s="12"/>
      <c r="AA77" s="12"/>
      <c r="AB77" s="12"/>
      <c r="AM77" s="224"/>
      <c r="AN77" s="224"/>
      <c r="AO77" s="224"/>
      <c r="AP77" s="224"/>
      <c r="AQ77" s="179"/>
      <c r="AR77" s="224"/>
      <c r="AS77" s="224"/>
      <c r="AT77" s="224"/>
    </row>
    <row r="78" spans="1:46" ht="15.75" x14ac:dyDescent="0.25">
      <c r="A78" s="505">
        <v>46</v>
      </c>
      <c r="B78" s="506">
        <v>5</v>
      </c>
      <c r="C78" s="664">
        <f>IFERROR('Device Resistance Tables'!C65,NA())</f>
        <v>8769.8850879667007</v>
      </c>
      <c r="D78" s="554">
        <f>IFERROR('Device Resistance Tables'!D65,NA())</f>
        <v>8858.469785824951</v>
      </c>
      <c r="E78" s="664">
        <f>IFERROR('Device Resistance Tables'!F65,NA())</f>
        <v>8947.0544836832014</v>
      </c>
      <c r="F78" s="690">
        <f>IFERROR(D78*($B$15/(Main!$N$31+D78)),NA())</f>
        <v>2.3486714156637083</v>
      </c>
      <c r="G78" s="690">
        <f>IFERROR($B$16*($B$15/(Main!$N$31+D78)),NA())</f>
        <v>2.6513285843362921</v>
      </c>
      <c r="H78" s="664">
        <f t="shared" si="10"/>
        <v>56.806158601153584</v>
      </c>
      <c r="I78" s="691">
        <f t="shared" si="2"/>
        <v>2.651328584336292E-4</v>
      </c>
      <c r="J78" s="690">
        <f>IFERROR(($B$15/(Main!$N$31+D78))^2*(Main!$N$31+D78)*1000,NA())</f>
        <v>1.3256642921681459</v>
      </c>
      <c r="K78" s="274">
        <f t="shared" si="3"/>
        <v>-1.0000000000000098</v>
      </c>
      <c r="L78" s="274">
        <f t="shared" si="9"/>
        <v>1.0000000000000098</v>
      </c>
      <c r="M78" s="271">
        <f t="shared" si="6"/>
        <v>8.0105566747561419E-3</v>
      </c>
      <c r="N78" s="692"/>
      <c r="O78" s="569">
        <v>5</v>
      </c>
      <c r="P78" s="697">
        <v>21629.4</v>
      </c>
      <c r="Q78" s="697">
        <v>22021.1</v>
      </c>
      <c r="R78" s="697">
        <v>22417.5</v>
      </c>
      <c r="S78" s="695">
        <f>IFERROR(Q78*($B$15/(Main!$N$31+Q78)),NA())</f>
        <v>3.4385295945485943</v>
      </c>
      <c r="T78" s="664">
        <f t="shared" si="7"/>
        <v>941.80000000000291</v>
      </c>
      <c r="U78" s="696">
        <f>IFERROR(($B$15/(Main!$N$31+Q78))^2*(Main!$N$31+Q78)*1000,NA())</f>
        <v>0.78073520272570274</v>
      </c>
      <c r="V78" s="274">
        <f t="shared" si="4"/>
        <v>-1.7787485638773592</v>
      </c>
      <c r="W78" s="274">
        <f t="shared" si="5"/>
        <v>1.8000917302042199</v>
      </c>
      <c r="X78" s="271">
        <f t="shared" si="8"/>
        <v>4.4613575500157765E-2</v>
      </c>
      <c r="Y78" s="436"/>
      <c r="Z78" s="12"/>
      <c r="AA78" s="12"/>
      <c r="AB78" s="12"/>
      <c r="AM78" s="224"/>
      <c r="AN78" s="224"/>
      <c r="AO78" s="224"/>
      <c r="AP78" s="224"/>
      <c r="AQ78" s="179"/>
      <c r="AR78" s="224"/>
      <c r="AS78" s="224"/>
      <c r="AT78" s="224"/>
    </row>
    <row r="79" spans="1:46" ht="15.75" x14ac:dyDescent="0.25">
      <c r="A79" s="505">
        <v>47</v>
      </c>
      <c r="B79" s="506">
        <v>6</v>
      </c>
      <c r="C79" s="664">
        <f>IFERROR('Device Resistance Tables'!C66,NA())</f>
        <v>8826.4279570509461</v>
      </c>
      <c r="D79" s="554">
        <f>IFERROR('Device Resistance Tables'!D66,NA())</f>
        <v>8915.5837950009554</v>
      </c>
      <c r="E79" s="664">
        <f>IFERROR('Device Resistance Tables'!F66,NA())</f>
        <v>9004.7396329509647</v>
      </c>
      <c r="F79" s="690">
        <f>IFERROR(D79*($B$15/(Main!$N$31+D79)),NA())</f>
        <v>2.356676878605561</v>
      </c>
      <c r="G79" s="690">
        <f>IFERROR($B$16*($B$15/(Main!$N$31+D79)),NA())</f>
        <v>2.6433231213944395</v>
      </c>
      <c r="H79" s="664">
        <f t="shared" si="10"/>
        <v>57.114009176004402</v>
      </c>
      <c r="I79" s="691">
        <f t="shared" si="2"/>
        <v>2.6433231213944395E-4</v>
      </c>
      <c r="J79" s="690">
        <f>IFERROR(($B$15/(Main!$N$31+D79))^2*(Main!$N$31+D79)*1000,NA())</f>
        <v>1.32166156069722</v>
      </c>
      <c r="K79" s="274">
        <f t="shared" si="3"/>
        <v>-0.99999999999999711</v>
      </c>
      <c r="L79" s="274">
        <f t="shared" si="9"/>
        <v>0.99999999999999711</v>
      </c>
      <c r="M79" s="271">
        <f t="shared" si="6"/>
        <v>8.0054629418526702E-3</v>
      </c>
      <c r="N79" s="692"/>
      <c r="O79" s="569">
        <v>6</v>
      </c>
      <c r="P79" s="697">
        <v>20756</v>
      </c>
      <c r="Q79" s="697">
        <v>21123</v>
      </c>
      <c r="R79" s="697">
        <v>21494.400000000001</v>
      </c>
      <c r="S79" s="695">
        <f>IFERROR(Q79*($B$15/(Main!$N$31+Q79)),NA())</f>
        <v>3.3934710664139063</v>
      </c>
      <c r="T79" s="664">
        <f t="shared" si="7"/>
        <v>898.09999999999854</v>
      </c>
      <c r="U79" s="696">
        <f>IFERROR(($B$15/(Main!$N$31+Q79))^2*(Main!$N$31+Q79)*1000,NA())</f>
        <v>0.80326446679304697</v>
      </c>
      <c r="V79" s="274">
        <f t="shared" si="4"/>
        <v>-1.7374425981157979</v>
      </c>
      <c r="W79" s="274">
        <f t="shared" si="5"/>
        <v>1.7582729725891275</v>
      </c>
      <c r="X79" s="271">
        <f t="shared" si="8"/>
        <v>4.5058528134688025E-2</v>
      </c>
      <c r="Y79" s="436"/>
      <c r="Z79" s="12"/>
      <c r="AA79" s="12"/>
      <c r="AB79" s="12"/>
      <c r="AM79" s="224"/>
      <c r="AN79" s="224"/>
      <c r="AO79" s="224"/>
      <c r="AP79" s="224"/>
      <c r="AQ79" s="179"/>
      <c r="AR79" s="224"/>
      <c r="AS79" s="224"/>
      <c r="AT79" s="224"/>
    </row>
    <row r="80" spans="1:46" ht="15.75" x14ac:dyDescent="0.25">
      <c r="A80" s="505">
        <v>48</v>
      </c>
      <c r="B80" s="506">
        <v>7</v>
      </c>
      <c r="C80" s="664">
        <f>IFERROR('Device Resistance Tables'!C67,NA())</f>
        <v>8883.2759302143786</v>
      </c>
      <c r="D80" s="554">
        <f>IFERROR('Device Resistance Tables'!D67,NA())</f>
        <v>8973.0059901155346</v>
      </c>
      <c r="E80" s="664">
        <f>IFERROR('Device Resistance Tables'!F67,NA())</f>
        <v>9062.7360500166906</v>
      </c>
      <c r="F80" s="690">
        <f>IFERROR(D80*($B$15/(Main!$N$31+D80)),NA())</f>
        <v>2.3646769507136218</v>
      </c>
      <c r="G80" s="690">
        <f>IFERROR($B$16*($B$15/(Main!$N$31+D80)),NA())</f>
        <v>2.6353230492863791</v>
      </c>
      <c r="H80" s="664">
        <f t="shared" si="10"/>
        <v>57.422195114579154</v>
      </c>
      <c r="I80" s="691">
        <f t="shared" si="2"/>
        <v>2.6353230492863792E-4</v>
      </c>
      <c r="J80" s="690">
        <f>IFERROR(($B$15/(Main!$N$31+D80))^2*(Main!$N$31+D80)*1000,NA())</f>
        <v>1.3176615246431898</v>
      </c>
      <c r="K80" s="274">
        <f t="shared" si="3"/>
        <v>-1.0000000000000071</v>
      </c>
      <c r="L80" s="274">
        <f t="shared" si="9"/>
        <v>1.0000000000000071</v>
      </c>
      <c r="M80" s="271">
        <f t="shared" si="6"/>
        <v>8.0000721080608628E-3</v>
      </c>
      <c r="N80" s="692"/>
      <c r="O80" s="569">
        <v>7</v>
      </c>
      <c r="P80" s="697">
        <v>19922.7</v>
      </c>
      <c r="Q80" s="697">
        <v>20266.599999999999</v>
      </c>
      <c r="R80" s="697">
        <v>20614.3</v>
      </c>
      <c r="S80" s="695">
        <f>IFERROR(Q80*($B$15/(Main!$N$31+Q80)),NA())</f>
        <v>3.3480139824096526</v>
      </c>
      <c r="T80" s="664">
        <f t="shared" si="7"/>
        <v>856.40000000000146</v>
      </c>
      <c r="U80" s="696">
        <f>IFERROR(($B$15/(Main!$N$31+Q80))^2*(Main!$N$31+Q80)*1000,NA())</f>
        <v>0.82599300879517357</v>
      </c>
      <c r="V80" s="274">
        <f t="shared" si="4"/>
        <v>-1.6968805818440087</v>
      </c>
      <c r="W80" s="274">
        <f t="shared" si="5"/>
        <v>1.7156306435218573</v>
      </c>
      <c r="X80" s="271">
        <f t="shared" si="8"/>
        <v>4.5457084004253634E-2</v>
      </c>
      <c r="Y80" s="436"/>
      <c r="Z80" s="12"/>
      <c r="AA80" s="12"/>
      <c r="AB80" s="12"/>
      <c r="AM80" s="224"/>
      <c r="AN80" s="224"/>
      <c r="AO80" s="224"/>
      <c r="AP80" s="224"/>
      <c r="AQ80" s="179"/>
      <c r="AR80" s="224"/>
      <c r="AS80" s="224"/>
      <c r="AT80" s="224"/>
    </row>
    <row r="81" spans="1:46" ht="15.75" x14ac:dyDescent="0.25">
      <c r="A81" s="505">
        <v>49</v>
      </c>
      <c r="B81" s="506">
        <v>8</v>
      </c>
      <c r="C81" s="664">
        <f>IFERROR('Device Resistance Tables'!C68,NA())</f>
        <v>8940.4293481227451</v>
      </c>
      <c r="D81" s="554">
        <f>IFERROR('Device Resistance Tables'!D68,NA())</f>
        <v>9030.7367152754996</v>
      </c>
      <c r="E81" s="664">
        <f>IFERROR('Device Resistance Tables'!F68,NA())</f>
        <v>9121.0440824282541</v>
      </c>
      <c r="F81" s="690">
        <f>IFERROR(D81*($B$15/(Main!$N$31+D81)),NA())</f>
        <v>2.372671339629945</v>
      </c>
      <c r="G81" s="690">
        <f>IFERROR($B$16*($B$15/(Main!$N$31+D81)),NA())</f>
        <v>2.627328660370055</v>
      </c>
      <c r="H81" s="664">
        <f t="shared" si="10"/>
        <v>57.730725159965004</v>
      </c>
      <c r="I81" s="691">
        <f t="shared" si="2"/>
        <v>2.6273286603700551E-4</v>
      </c>
      <c r="J81" s="690">
        <f>IFERROR(($B$15/(Main!$N$31+D81))^2*(Main!$N$31+D81)*1000,NA())</f>
        <v>1.3136643301850277</v>
      </c>
      <c r="K81" s="274">
        <f t="shared" si="3"/>
        <v>-0.99999999999999478</v>
      </c>
      <c r="L81" s="274">
        <f t="shared" si="9"/>
        <v>0.99999999999999478</v>
      </c>
      <c r="M81" s="271">
        <f t="shared" si="6"/>
        <v>7.9943889163232029E-3</v>
      </c>
      <c r="N81" s="692"/>
      <c r="O81" s="569">
        <v>8</v>
      </c>
      <c r="P81" s="697">
        <v>19127.3</v>
      </c>
      <c r="Q81" s="697">
        <v>19449.5</v>
      </c>
      <c r="R81" s="697">
        <v>19775.099999999999</v>
      </c>
      <c r="S81" s="695">
        <f>IFERROR(Q81*($B$15/(Main!$N$31+Q81)),NA())</f>
        <v>3.3021783052343845</v>
      </c>
      <c r="T81" s="664">
        <f t="shared" si="7"/>
        <v>817.09999999999854</v>
      </c>
      <c r="U81" s="696">
        <f>IFERROR(($B$15/(Main!$N$31+Q81))^2*(Main!$N$31+Q81)*1000,NA())</f>
        <v>0.84891084738280798</v>
      </c>
      <c r="V81" s="274">
        <f t="shared" si="4"/>
        <v>-1.6565978559860188</v>
      </c>
      <c r="W81" s="274">
        <f t="shared" si="5"/>
        <v>1.6740790251677347</v>
      </c>
      <c r="X81" s="271">
        <f t="shared" si="8"/>
        <v>4.5835677175268152E-2</v>
      </c>
      <c r="Y81" s="436"/>
      <c r="Z81" s="12"/>
      <c r="AA81" s="12"/>
      <c r="AB81" s="12"/>
      <c r="AM81" s="224"/>
      <c r="AN81" s="224"/>
      <c r="AO81" s="224"/>
      <c r="AP81" s="224"/>
      <c r="AQ81" s="179"/>
      <c r="AR81" s="224"/>
      <c r="AS81" s="224"/>
      <c r="AT81" s="224"/>
    </row>
    <row r="82" spans="1:46" ht="15.75" x14ac:dyDescent="0.25">
      <c r="A82" s="505">
        <v>50</v>
      </c>
      <c r="B82" s="506">
        <v>9</v>
      </c>
      <c r="C82" s="664">
        <f>IFERROR('Device Resistance Tables'!C69,NA())</f>
        <v>8997.8885600974445</v>
      </c>
      <c r="D82" s="554">
        <f>IFERROR('Device Resistance Tables'!D69,NA())</f>
        <v>9088.7763233307523</v>
      </c>
      <c r="E82" s="664">
        <f>IFERROR('Device Resistance Tables'!F69,NA())</f>
        <v>9179.6640865640602</v>
      </c>
      <c r="F82" s="690">
        <f>IFERROR(D82*($B$15/(Main!$N$31+D82)),NA())</f>
        <v>2.3806597576980972</v>
      </c>
      <c r="G82" s="690">
        <f>IFERROR($B$16*($B$15/(Main!$N$31+D82)),NA())</f>
        <v>2.6193402423019032</v>
      </c>
      <c r="H82" s="664">
        <f t="shared" si="10"/>
        <v>58.039608055252756</v>
      </c>
      <c r="I82" s="691">
        <f t="shared" si="2"/>
        <v>2.619340242301903E-4</v>
      </c>
      <c r="J82" s="690">
        <f>IFERROR(($B$15/(Main!$N$31+D82))^2*(Main!$N$31+D82)*1000,NA())</f>
        <v>1.3096701211509516</v>
      </c>
      <c r="K82" s="274">
        <f t="shared" si="3"/>
        <v>-1.0000000000000036</v>
      </c>
      <c r="L82" s="274">
        <f t="shared" si="9"/>
        <v>1.0000000000000036</v>
      </c>
      <c r="M82" s="271">
        <f t="shared" si="6"/>
        <v>7.9884180681522032E-3</v>
      </c>
      <c r="N82" s="692"/>
      <c r="O82" s="569">
        <v>9</v>
      </c>
      <c r="P82" s="697">
        <v>18368</v>
      </c>
      <c r="Q82" s="697">
        <v>18669.8</v>
      </c>
      <c r="R82" s="697">
        <v>18974.5</v>
      </c>
      <c r="S82" s="695">
        <f>IFERROR(Q82*($B$15/(Main!$N$31+Q82)),NA())</f>
        <v>3.256004576243992</v>
      </c>
      <c r="T82" s="664">
        <f t="shared" si="7"/>
        <v>779.70000000000073</v>
      </c>
      <c r="U82" s="696">
        <f>IFERROR(($B$15/(Main!$N$31+Q82))^2*(Main!$N$31+Q82)*1000,NA())</f>
        <v>0.87199771187800401</v>
      </c>
      <c r="V82" s="274">
        <f t="shared" si="4"/>
        <v>-1.6165143708020402</v>
      </c>
      <c r="W82" s="274">
        <f t="shared" si="5"/>
        <v>1.6320474777448111</v>
      </c>
      <c r="X82" s="271">
        <f t="shared" si="8"/>
        <v>4.6173728990392515E-2</v>
      </c>
      <c r="Y82" s="436"/>
      <c r="Z82" s="12"/>
      <c r="AA82" s="12"/>
      <c r="AB82" s="12"/>
      <c r="AM82" s="224"/>
      <c r="AN82" s="224"/>
      <c r="AO82" s="224"/>
      <c r="AP82" s="224"/>
      <c r="AQ82" s="179"/>
      <c r="AR82" s="224"/>
      <c r="AS82" s="224"/>
      <c r="AT82" s="224"/>
    </row>
    <row r="83" spans="1:46" ht="15.75" x14ac:dyDescent="0.25">
      <c r="A83" s="505">
        <v>51</v>
      </c>
      <c r="B83" s="506">
        <v>10</v>
      </c>
      <c r="C83" s="664">
        <f>IFERROR('Device Resistance Tables'!C70,NA())</f>
        <v>9055.6539241155424</v>
      </c>
      <c r="D83" s="554">
        <f>IFERROR('Device Resistance Tables'!D70,NA())</f>
        <v>9147.1251758742856</v>
      </c>
      <c r="E83" s="664">
        <f>IFERROR('Device Resistance Tables'!F70,NA())</f>
        <v>9238.5964276330287</v>
      </c>
      <c r="F83" s="690">
        <f>IFERROR(D83*($B$15/(Main!$N$31+D83)),NA())</f>
        <v>2.3886419219214758</v>
      </c>
      <c r="G83" s="690">
        <f>IFERROR($B$16*($B$15/(Main!$N$31+D83)),NA())</f>
        <v>2.6113580780785242</v>
      </c>
      <c r="H83" s="664">
        <f t="shared" si="10"/>
        <v>58.348852543533212</v>
      </c>
      <c r="I83" s="691">
        <f t="shared" si="2"/>
        <v>2.6113580780785242E-4</v>
      </c>
      <c r="J83" s="690">
        <f>IFERROR(($B$15/(Main!$N$31+D83))^2*(Main!$N$31+D83)*1000,NA())</f>
        <v>1.3056790390392621</v>
      </c>
      <c r="K83" s="274">
        <f t="shared" si="3"/>
        <v>-1.0000000000000033</v>
      </c>
      <c r="L83" s="274">
        <f t="shared" si="9"/>
        <v>1.0000000000000033</v>
      </c>
      <c r="M83" s="271">
        <f t="shared" si="6"/>
        <v>7.9821642233786072E-3</v>
      </c>
      <c r="N83" s="692"/>
      <c r="O83" s="569">
        <v>10</v>
      </c>
      <c r="P83" s="697">
        <v>17643</v>
      </c>
      <c r="Q83" s="697">
        <v>17925.5</v>
      </c>
      <c r="R83" s="697">
        <v>18210.7</v>
      </c>
      <c r="S83" s="695">
        <f>IFERROR(Q83*($B$15/(Main!$N$31+Q83)),NA())</f>
        <v>3.2095217632629676</v>
      </c>
      <c r="T83" s="664">
        <f t="shared" si="7"/>
        <v>744.29999999999927</v>
      </c>
      <c r="U83" s="696">
        <f>IFERROR(($B$15/(Main!$N$31+Q83))^2*(Main!$N$31+Q83)*1000,NA())</f>
        <v>0.89523911836851611</v>
      </c>
      <c r="V83" s="274">
        <f t="shared" si="4"/>
        <v>-1.5759671975677108</v>
      </c>
      <c r="W83" s="274">
        <f t="shared" si="5"/>
        <v>1.5910295389249991</v>
      </c>
      <c r="X83" s="271">
        <f t="shared" si="8"/>
        <v>4.6482812981024413E-2</v>
      </c>
      <c r="Y83" s="436"/>
      <c r="Z83" s="12"/>
      <c r="AA83" s="12"/>
      <c r="AB83" s="12"/>
      <c r="AM83" s="224"/>
      <c r="AN83" s="224"/>
      <c r="AO83" s="224"/>
      <c r="AP83" s="224"/>
      <c r="AQ83" s="179"/>
      <c r="AR83" s="224"/>
      <c r="AS83" s="224"/>
      <c r="AT83" s="224"/>
    </row>
    <row r="84" spans="1:46" ht="15.75" x14ac:dyDescent="0.25">
      <c r="A84" s="505">
        <v>52</v>
      </c>
      <c r="B84" s="506">
        <v>11</v>
      </c>
      <c r="C84" s="664">
        <f>IFERROR('Device Resistance Tables'!C71,NA())</f>
        <v>9113.725806809769</v>
      </c>
      <c r="D84" s="554">
        <f>IFERROR('Device Resistance Tables'!D71,NA())</f>
        <v>9205.7836432421918</v>
      </c>
      <c r="E84" s="664">
        <f>IFERROR('Device Resistance Tables'!F71,NA())</f>
        <v>9297.8414796746147</v>
      </c>
      <c r="F84" s="690">
        <f>IFERROR(D84*($B$15/(Main!$N$31+D84)),NA())</f>
        <v>2.3966175539214118</v>
      </c>
      <c r="G84" s="690">
        <f>IFERROR($B$16*($B$15/(Main!$N$31+D84)),NA())</f>
        <v>2.6033824460785886</v>
      </c>
      <c r="H84" s="664">
        <f t="shared" si="10"/>
        <v>58.658467367906269</v>
      </c>
      <c r="I84" s="691">
        <f t="shared" si="2"/>
        <v>2.6033824460785886E-4</v>
      </c>
      <c r="J84" s="690">
        <f>IFERROR(($B$15/(Main!$N$31+D84))^2*(Main!$N$31+D84)*1000,NA())</f>
        <v>1.3016912230392941</v>
      </c>
      <c r="K84" s="274">
        <f t="shared" si="3"/>
        <v>-1.00000000000001</v>
      </c>
      <c r="L84" s="274">
        <f t="shared" si="9"/>
        <v>1.00000000000001</v>
      </c>
      <c r="M84" s="271">
        <f t="shared" si="6"/>
        <v>7.9756319999360059E-3</v>
      </c>
      <c r="N84" s="692"/>
      <c r="O84" s="569">
        <v>11</v>
      </c>
      <c r="P84" s="697">
        <v>16949.400000000001</v>
      </c>
      <c r="Q84" s="697">
        <v>17213.900000000001</v>
      </c>
      <c r="R84" s="697">
        <v>17480.7</v>
      </c>
      <c r="S84" s="695">
        <f>IFERROR(Q84*($B$15/(Main!$N$31+Q84)),NA())</f>
        <v>3.1627036183714941</v>
      </c>
      <c r="T84" s="664">
        <f t="shared" si="7"/>
        <v>711.59999999999854</v>
      </c>
      <c r="U84" s="696">
        <f>IFERROR(($B$15/(Main!$N$31+Q84))^2*(Main!$N$31+Q84)*1000,NA())</f>
        <v>0.91864819081425309</v>
      </c>
      <c r="V84" s="274">
        <f t="shared" si="4"/>
        <v>-1.5365489517192501</v>
      </c>
      <c r="W84" s="274">
        <f t="shared" si="5"/>
        <v>1.5499102469515871</v>
      </c>
      <c r="X84" s="271">
        <f t="shared" si="8"/>
        <v>4.6818144891473512E-2</v>
      </c>
      <c r="Y84" s="436"/>
      <c r="Z84" s="12"/>
      <c r="AA84" s="12"/>
      <c r="AB84" s="12"/>
      <c r="AM84" s="224"/>
      <c r="AN84" s="224"/>
      <c r="AO84" s="224"/>
      <c r="AP84" s="224"/>
      <c r="AQ84" s="179"/>
      <c r="AR84" s="224"/>
      <c r="AS84" s="224"/>
      <c r="AT84" s="224"/>
    </row>
    <row r="85" spans="1:46" ht="15.75" x14ac:dyDescent="0.25">
      <c r="A85" s="505">
        <v>53</v>
      </c>
      <c r="B85" s="506">
        <v>12</v>
      </c>
      <c r="C85" s="664">
        <f>IFERROR('Device Resistance Tables'!C72,NA())</f>
        <v>9172.1045834685119</v>
      </c>
      <c r="D85" s="554">
        <f>IFERROR('Device Resistance Tables'!D72,NA())</f>
        <v>9264.7521045136491</v>
      </c>
      <c r="E85" s="664">
        <f>IFERROR('Device Resistance Tables'!F72,NA())</f>
        <v>9357.3996255587863</v>
      </c>
      <c r="F85" s="690">
        <f>IFERROR(D85*($B$15/(Main!$N$31+D85)),NA())</f>
        <v>2.4045863798950617</v>
      </c>
      <c r="G85" s="690">
        <f>IFERROR($B$16*($B$15/(Main!$N$31+D85)),NA())</f>
        <v>2.5954136201049387</v>
      </c>
      <c r="H85" s="664">
        <f t="shared" si="10"/>
        <v>58.968461271457272</v>
      </c>
      <c r="I85" s="691">
        <f t="shared" si="2"/>
        <v>2.5954136201049386E-4</v>
      </c>
      <c r="J85" s="690">
        <f>IFERROR(($B$15/(Main!$N$31+D85))^2*(Main!$N$31+D85)*1000,NA())</f>
        <v>1.2977068100524694</v>
      </c>
      <c r="K85" s="274">
        <f t="shared" si="3"/>
        <v>-1.0000000000000075</v>
      </c>
      <c r="L85" s="274">
        <f t="shared" si="9"/>
        <v>1.0000000000000075</v>
      </c>
      <c r="M85" s="271">
        <f t="shared" si="6"/>
        <v>7.9688259736498956E-3</v>
      </c>
      <c r="N85" s="692"/>
      <c r="O85" s="569">
        <v>12</v>
      </c>
      <c r="P85" s="697">
        <v>16287</v>
      </c>
      <c r="Q85" s="697">
        <v>16534.400000000001</v>
      </c>
      <c r="R85" s="697">
        <v>16784</v>
      </c>
      <c r="S85" s="695">
        <f>IFERROR(Q85*($B$15/(Main!$N$31+Q85)),NA())</f>
        <v>3.1156536420646406</v>
      </c>
      <c r="T85" s="664">
        <f t="shared" si="7"/>
        <v>679.5</v>
      </c>
      <c r="U85" s="696">
        <f>IFERROR(($B$15/(Main!$N$31+Q85))^2*(Main!$N$31+Q85)*1000,NA())</f>
        <v>0.9421731789676796</v>
      </c>
      <c r="V85" s="274">
        <f t="shared" si="4"/>
        <v>-1.4962744339074985</v>
      </c>
      <c r="W85" s="274">
        <f t="shared" si="5"/>
        <v>1.509580027095017</v>
      </c>
      <c r="X85" s="271">
        <f t="shared" si="8"/>
        <v>4.704997630685348E-2</v>
      </c>
      <c r="Y85" s="436"/>
      <c r="Z85" s="12"/>
      <c r="AA85" s="12"/>
      <c r="AB85" s="12"/>
      <c r="AM85" s="224"/>
      <c r="AN85" s="224"/>
      <c r="AO85" s="224"/>
      <c r="AP85" s="224"/>
      <c r="AQ85" s="179"/>
      <c r="AR85" s="224"/>
      <c r="AS85" s="224"/>
      <c r="AT85" s="224"/>
    </row>
    <row r="86" spans="1:46" ht="15.75" x14ac:dyDescent="0.25">
      <c r="A86" s="505">
        <v>54</v>
      </c>
      <c r="B86" s="506">
        <v>13</v>
      </c>
      <c r="C86" s="664">
        <f>IFERROR('Device Resistance Tables'!C73,NA())</f>
        <v>9230.7906380358163</v>
      </c>
      <c r="D86" s="554">
        <f>IFERROR('Device Resistance Tables'!D73,NA())</f>
        <v>9324.0309475109261</v>
      </c>
      <c r="E86" s="664">
        <f>IFERROR('Device Resistance Tables'!F73,NA())</f>
        <v>9417.271256986036</v>
      </c>
      <c r="F86" s="690">
        <f>IFERROR(D86*($B$15/(Main!$N$31+D86)),NA())</f>
        <v>2.4125481305731218</v>
      </c>
      <c r="G86" s="690">
        <f>IFERROR($B$16*($B$15/(Main!$N$31+D86)),NA())</f>
        <v>2.5874518694268791</v>
      </c>
      <c r="H86" s="664">
        <f t="shared" si="10"/>
        <v>59.278842997277025</v>
      </c>
      <c r="I86" s="691">
        <f t="shared" si="2"/>
        <v>2.587451869426879E-4</v>
      </c>
      <c r="J86" s="690">
        <f>IFERROR(($B$15/(Main!$N$31+D86))^2*(Main!$N$31+D86)*1000,NA())</f>
        <v>1.2937259347134396</v>
      </c>
      <c r="K86" s="274">
        <f t="shared" si="3"/>
        <v>-1.000000000000006</v>
      </c>
      <c r="L86" s="274">
        <f t="shared" si="9"/>
        <v>1.000000000000006</v>
      </c>
      <c r="M86" s="271">
        <f t="shared" si="6"/>
        <v>7.9617506780600422E-3</v>
      </c>
      <c r="N86" s="692"/>
      <c r="O86" s="569">
        <v>13</v>
      </c>
      <c r="P86" s="697">
        <v>15654.1</v>
      </c>
      <c r="Q86" s="697">
        <v>15885.6</v>
      </c>
      <c r="R86" s="697">
        <v>16118.9</v>
      </c>
      <c r="S86" s="695">
        <f>IFERROR(Q86*($B$15/(Main!$N$31+Q86)),NA())</f>
        <v>3.0684241431529502</v>
      </c>
      <c r="T86" s="664">
        <f t="shared" si="7"/>
        <v>648.80000000000109</v>
      </c>
      <c r="U86" s="696">
        <f>IFERROR(($B$15/(Main!$N$31+Q86))^2*(Main!$N$31+Q86)*1000,NA())</f>
        <v>0.96578792842352523</v>
      </c>
      <c r="V86" s="274">
        <f t="shared" si="4"/>
        <v>-1.457294656796092</v>
      </c>
      <c r="W86" s="274">
        <f t="shared" si="5"/>
        <v>1.4686256735659922</v>
      </c>
      <c r="X86" s="271">
        <f t="shared" si="8"/>
        <v>4.7229498911690371E-2</v>
      </c>
      <c r="Y86" s="436"/>
      <c r="Z86" s="12"/>
      <c r="AA86" s="12"/>
      <c r="AB86" s="12"/>
      <c r="AM86" s="224"/>
      <c r="AN86" s="224"/>
      <c r="AO86" s="224"/>
      <c r="AP86" s="224"/>
      <c r="AQ86" s="179"/>
      <c r="AR86" s="224"/>
      <c r="AS86" s="224"/>
      <c r="AT86" s="224"/>
    </row>
    <row r="87" spans="1:46" ht="15.75" x14ac:dyDescent="0.25">
      <c r="A87" s="505">
        <v>55</v>
      </c>
      <c r="B87" s="506">
        <v>14</v>
      </c>
      <c r="C87" s="664">
        <f>IFERROR('Device Resistance Tables'!C74,NA())</f>
        <v>9289.784363111401</v>
      </c>
      <c r="D87" s="554">
        <f>IFERROR('Device Resistance Tables'!D74,NA())</f>
        <v>9383.6205687993952</v>
      </c>
      <c r="E87" s="664">
        <f>IFERROR('Device Resistance Tables'!F74,NA())</f>
        <v>9477.4567744873893</v>
      </c>
      <c r="F87" s="690">
        <f>IFERROR(D87*($B$15/(Main!$N$31+D87)),NA())</f>
        <v>2.4205025411773757</v>
      </c>
      <c r="G87" s="690">
        <f>IFERROR($B$16*($B$15/(Main!$N$31+D87)),NA())</f>
        <v>2.5794974588226252</v>
      </c>
      <c r="H87" s="664">
        <f t="shared" si="10"/>
        <v>59.589621288469061</v>
      </c>
      <c r="I87" s="691">
        <f t="shared" si="2"/>
        <v>2.5794974588226252E-4</v>
      </c>
      <c r="J87" s="690">
        <f>IFERROR(($B$15/(Main!$N$31+D87))^2*(Main!$N$31+D87)*1000,NA())</f>
        <v>1.2897487294113126</v>
      </c>
      <c r="K87" s="274">
        <f t="shared" si="3"/>
        <v>-1.000000000000002</v>
      </c>
      <c r="L87" s="274">
        <f t="shared" si="9"/>
        <v>1.000000000000002</v>
      </c>
      <c r="M87" s="271">
        <f t="shared" si="6"/>
        <v>7.9544106042539475E-3</v>
      </c>
      <c r="N87" s="692"/>
      <c r="O87" s="569">
        <v>14</v>
      </c>
      <c r="P87" s="697">
        <v>15049.3</v>
      </c>
      <c r="Q87" s="697">
        <v>15265.8</v>
      </c>
      <c r="R87" s="697">
        <v>15483.8</v>
      </c>
      <c r="S87" s="695">
        <f>IFERROR(Q87*($B$15/(Main!$N$31+Q87)),NA())</f>
        <v>3.0210402995353398</v>
      </c>
      <c r="T87" s="664">
        <f t="shared" si="7"/>
        <v>619.80000000000109</v>
      </c>
      <c r="U87" s="696">
        <f>IFERROR(($B$15/(Main!$N$31+Q87))^2*(Main!$N$31+Q87)*1000,NA())</f>
        <v>0.98947985023232976</v>
      </c>
      <c r="V87" s="274">
        <f t="shared" si="4"/>
        <v>-1.4182027800704844</v>
      </c>
      <c r="W87" s="274">
        <f t="shared" si="5"/>
        <v>1.4280286653827512</v>
      </c>
      <c r="X87" s="271">
        <f t="shared" si="8"/>
        <v>4.7383843617610388E-2</v>
      </c>
      <c r="Y87" s="436"/>
      <c r="Z87" s="12"/>
      <c r="AA87" s="12"/>
      <c r="AB87" s="12"/>
      <c r="AM87" s="224"/>
      <c r="AN87" s="224"/>
      <c r="AO87" s="224"/>
      <c r="AP87" s="224"/>
      <c r="AQ87" s="179"/>
      <c r="AR87" s="224"/>
      <c r="AS87" s="224"/>
      <c r="AT87" s="224"/>
    </row>
    <row r="88" spans="1:46" ht="15.75" x14ac:dyDescent="0.25">
      <c r="A88" s="505">
        <v>56</v>
      </c>
      <c r="B88" s="506">
        <v>15</v>
      </c>
      <c r="C88" s="664">
        <f>IFERROR('Device Resistance Tables'!C75,NA())</f>
        <v>9349.0861599506352</v>
      </c>
      <c r="D88" s="554">
        <f>IFERROR('Device Resistance Tables'!D75,NA())</f>
        <v>9443.5213736875103</v>
      </c>
      <c r="E88" s="664">
        <f>IFERROR('Device Resistance Tables'!F75,NA())</f>
        <v>9537.9565874243854</v>
      </c>
      <c r="F88" s="690">
        <f>IFERROR(D88*($B$15/(Main!$N$31+D88)),NA())</f>
        <v>2.4284493513780947</v>
      </c>
      <c r="G88" s="690">
        <f>IFERROR($B$16*($B$15/(Main!$N$31+D88)),NA())</f>
        <v>2.5715506486219057</v>
      </c>
      <c r="H88" s="664">
        <f t="shared" si="10"/>
        <v>59.90080488811509</v>
      </c>
      <c r="I88" s="691">
        <f t="shared" si="2"/>
        <v>2.5715506486219056E-4</v>
      </c>
      <c r="J88" s="690">
        <f>IFERROR(($B$15/(Main!$N$31+D88))^2*(Main!$N$31+D88)*1000,NA())</f>
        <v>1.2857753243109526</v>
      </c>
      <c r="K88" s="274">
        <f t="shared" si="3"/>
        <v>-0.99999999999999989</v>
      </c>
      <c r="L88" s="274">
        <f t="shared" si="9"/>
        <v>0.99999999999999989</v>
      </c>
      <c r="M88" s="271">
        <f t="shared" si="6"/>
        <v>7.9468102007189678E-3</v>
      </c>
      <c r="N88" s="692"/>
      <c r="O88" s="569">
        <v>15</v>
      </c>
      <c r="P88" s="697">
        <v>14471.2</v>
      </c>
      <c r="Q88" s="697">
        <v>14673.5</v>
      </c>
      <c r="R88" s="697">
        <v>14877.2</v>
      </c>
      <c r="S88" s="695">
        <f>IFERROR(Q88*($B$15/(Main!$N$31+Q88)),NA())</f>
        <v>2.9735343587249479</v>
      </c>
      <c r="T88" s="664">
        <f t="shared" si="7"/>
        <v>592.29999999999927</v>
      </c>
      <c r="U88" s="696">
        <f>IFERROR(($B$15/(Main!$N$31+Q88))^2*(Main!$N$31+Q88)*1000,NA())</f>
        <v>1.0132328206375261</v>
      </c>
      <c r="V88" s="274">
        <f t="shared" si="4"/>
        <v>-1.3786758442089431</v>
      </c>
      <c r="W88" s="274">
        <f t="shared" si="5"/>
        <v>1.3882168535114372</v>
      </c>
      <c r="X88" s="271">
        <f t="shared" si="8"/>
        <v>4.7505940810391944E-2</v>
      </c>
      <c r="Y88" s="436"/>
      <c r="Z88" s="12"/>
      <c r="AA88" s="12"/>
      <c r="AB88" s="12"/>
      <c r="AM88" s="224"/>
      <c r="AN88" s="224"/>
      <c r="AO88" s="224"/>
      <c r="AP88" s="224"/>
      <c r="AQ88" s="179"/>
      <c r="AR88" s="224"/>
      <c r="AS88" s="224"/>
      <c r="AT88" s="224"/>
    </row>
    <row r="89" spans="1:46" ht="15.75" x14ac:dyDescent="0.25">
      <c r="A89" s="505">
        <v>57</v>
      </c>
      <c r="B89" s="506">
        <v>16</v>
      </c>
      <c r="C89" s="664">
        <f>IFERROR('Device Resistance Tables'!C76,NA())</f>
        <v>9408.6964384645507</v>
      </c>
      <c r="D89" s="554">
        <f>IFERROR('Device Resistance Tables'!D76,NA())</f>
        <v>9503.7337762268198</v>
      </c>
      <c r="E89" s="664">
        <f>IFERROR('Device Resistance Tables'!F76,NA())</f>
        <v>9598.7711139890889</v>
      </c>
      <c r="F89" s="690">
        <f>IFERROR(D89*($B$15/(Main!$N$31+D89)),NA())</f>
        <v>2.4363883052513149</v>
      </c>
      <c r="G89" s="690">
        <f>IFERROR($B$16*($B$15/(Main!$N$31+D89)),NA())</f>
        <v>2.5636116947486842</v>
      </c>
      <c r="H89" s="664">
        <f t="shared" si="10"/>
        <v>60.212402539309551</v>
      </c>
      <c r="I89" s="691">
        <f t="shared" si="2"/>
        <v>2.5636116947486842E-4</v>
      </c>
      <c r="J89" s="690">
        <f>IFERROR(($B$15/(Main!$N$31+D89))^2*(Main!$N$31+D89)*1000,NA())</f>
        <v>1.2818058473743419</v>
      </c>
      <c r="K89" s="274">
        <f t="shared" si="3"/>
        <v>-1.0000000000000093</v>
      </c>
      <c r="L89" s="274">
        <f t="shared" si="9"/>
        <v>1.0000000000000093</v>
      </c>
      <c r="M89" s="271">
        <f t="shared" si="6"/>
        <v>7.9389538732201892E-3</v>
      </c>
      <c r="N89" s="692"/>
      <c r="O89" s="569">
        <v>16</v>
      </c>
      <c r="P89" s="697">
        <v>13918.4</v>
      </c>
      <c r="Q89" s="697">
        <v>14107.5</v>
      </c>
      <c r="R89" s="697">
        <v>14297.7</v>
      </c>
      <c r="S89" s="695">
        <f>IFERROR(Q89*($B$15/(Main!$N$31+Q89)),NA())</f>
        <v>2.9259566524940372</v>
      </c>
      <c r="T89" s="664">
        <f t="shared" si="7"/>
        <v>566</v>
      </c>
      <c r="U89" s="696">
        <f>IFERROR(($B$15/(Main!$N$31+Q89))^2*(Main!$N$31+Q89)*1000,NA())</f>
        <v>1.0370216737529814</v>
      </c>
      <c r="V89" s="274">
        <f t="shared" si="4"/>
        <v>-1.3404217614743956</v>
      </c>
      <c r="W89" s="274">
        <f t="shared" si="5"/>
        <v>1.348219032429564</v>
      </c>
      <c r="X89" s="271">
        <f t="shared" si="8"/>
        <v>4.7577706230910621E-2</v>
      </c>
      <c r="Y89" s="436"/>
      <c r="Z89" s="12"/>
      <c r="AA89" s="12"/>
      <c r="AB89" s="12"/>
      <c r="AM89" s="224"/>
      <c r="AN89" s="224"/>
      <c r="AO89" s="224"/>
      <c r="AP89" s="224"/>
      <c r="AQ89" s="179"/>
      <c r="AR89" s="224"/>
      <c r="AS89" s="224"/>
      <c r="AT89" s="224"/>
    </row>
    <row r="90" spans="1:46" ht="15.75" x14ac:dyDescent="0.25">
      <c r="A90" s="505">
        <v>58</v>
      </c>
      <c r="B90" s="506">
        <v>17</v>
      </c>
      <c r="C90" s="664">
        <f>IFERROR('Device Resistance Tables'!C77,NA())</f>
        <v>9468.6156172198444</v>
      </c>
      <c r="D90" s="554">
        <f>IFERROR('Device Resistance Tables'!D77,NA())</f>
        <v>9564.2581992119649</v>
      </c>
      <c r="E90" s="664">
        <f>IFERROR('Device Resistance Tables'!F77,NA())</f>
        <v>9659.9007812040854</v>
      </c>
      <c r="F90" s="690">
        <f>IFERROR(D90*($B$15/(Main!$N$31+D90)),NA())</f>
        <v>2.4443191512360039</v>
      </c>
      <c r="G90" s="690">
        <f>IFERROR($B$16*($B$15/(Main!$N$31+D90)),NA())</f>
        <v>2.5556808487639953</v>
      </c>
      <c r="H90" s="664">
        <f t="shared" si="10"/>
        <v>60.524422985145065</v>
      </c>
      <c r="I90" s="691">
        <f t="shared" si="2"/>
        <v>2.5556808487639955E-4</v>
      </c>
      <c r="J90" s="690">
        <f>IFERROR(($B$15/(Main!$N$31+D90))^2*(Main!$N$31+D90)*1000,NA())</f>
        <v>1.2778404243819979</v>
      </c>
      <c r="K90" s="274">
        <f t="shared" si="3"/>
        <v>-1.0000000000000093</v>
      </c>
      <c r="L90" s="274">
        <f t="shared" si="9"/>
        <v>1.0000000000000093</v>
      </c>
      <c r="M90" s="271">
        <f t="shared" si="6"/>
        <v>7.9308459846889612E-3</v>
      </c>
      <c r="N90" s="692"/>
      <c r="O90" s="569">
        <v>17</v>
      </c>
      <c r="P90" s="697">
        <v>13389.8</v>
      </c>
      <c r="Q90" s="697">
        <v>13566.4</v>
      </c>
      <c r="R90" s="697">
        <v>13743.9</v>
      </c>
      <c r="S90" s="695">
        <f>IFERROR(Q90*($B$15/(Main!$N$31+Q90)),NA())</f>
        <v>2.8783352569760332</v>
      </c>
      <c r="T90" s="664">
        <f t="shared" si="7"/>
        <v>541.10000000000036</v>
      </c>
      <c r="U90" s="696">
        <f>IFERROR(($B$15/(Main!$N$31+Q90))^2*(Main!$N$31+Q90)*1000,NA())</f>
        <v>1.060832371511983</v>
      </c>
      <c r="V90" s="274">
        <f t="shared" si="4"/>
        <v>-1.3017454888548206</v>
      </c>
      <c r="W90" s="274">
        <f t="shared" si="5"/>
        <v>1.3083795258874868</v>
      </c>
      <c r="X90" s="271">
        <f t="shared" si="8"/>
        <v>4.7621395518004039E-2</v>
      </c>
      <c r="Y90" s="436"/>
      <c r="Z90" s="12"/>
      <c r="AA90" s="12"/>
      <c r="AB90" s="12"/>
      <c r="AM90" s="224"/>
      <c r="AN90" s="224"/>
      <c r="AO90" s="224"/>
      <c r="AP90" s="224"/>
      <c r="AQ90" s="179"/>
      <c r="AR90" s="224"/>
      <c r="AS90" s="224"/>
      <c r="AT90" s="224"/>
    </row>
    <row r="91" spans="1:46" ht="15.75" x14ac:dyDescent="0.25">
      <c r="A91" s="505">
        <v>59</v>
      </c>
      <c r="B91" s="506">
        <v>18</v>
      </c>
      <c r="C91" s="664">
        <f>IFERROR('Device Resistance Tables'!C78,NA())</f>
        <v>9528.8441234388756</v>
      </c>
      <c r="D91" s="554">
        <f>IFERROR('Device Resistance Tables'!D78,NA())</f>
        <v>9625.0950741806828</v>
      </c>
      <c r="E91" s="664">
        <f>IFERROR('Device Resistance Tables'!F78,NA())</f>
        <v>9721.34602492249</v>
      </c>
      <c r="F91" s="690">
        <f>IFERROR(D91*($B$15/(Main!$N$31+D91)),NA())</f>
        <v>2.4522416420911317</v>
      </c>
      <c r="G91" s="690">
        <f>IFERROR($B$16*($B$15/(Main!$N$31+D91)),NA())</f>
        <v>2.5477583579088687</v>
      </c>
      <c r="H91" s="664">
        <f t="shared" si="10"/>
        <v>60.836874968717893</v>
      </c>
      <c r="I91" s="691">
        <f t="shared" si="2"/>
        <v>2.5477583579088686E-4</v>
      </c>
      <c r="J91" s="690">
        <f>IFERROR(($B$15/(Main!$N$31+D91))^2*(Main!$N$31+D91)*1000,NA())</f>
        <v>1.2738791789544341</v>
      </c>
      <c r="K91" s="274">
        <f t="shared" si="3"/>
        <v>-1.0000000000000036</v>
      </c>
      <c r="L91" s="274">
        <f t="shared" si="9"/>
        <v>1.0000000000000036</v>
      </c>
      <c r="M91" s="271">
        <f t="shared" si="6"/>
        <v>7.9224908551278617E-3</v>
      </c>
      <c r="N91" s="692"/>
      <c r="O91" s="569">
        <v>18</v>
      </c>
      <c r="P91" s="697">
        <v>12884.1</v>
      </c>
      <c r="Q91" s="697">
        <v>13048.9</v>
      </c>
      <c r="R91" s="697">
        <v>13214.5</v>
      </c>
      <c r="S91" s="695">
        <f>IFERROR(Q91*($B$15/(Main!$N$31+Q91)),NA())</f>
        <v>2.8306990789148285</v>
      </c>
      <c r="T91" s="664">
        <f t="shared" si="7"/>
        <v>517.5</v>
      </c>
      <c r="U91" s="696">
        <f>IFERROR(($B$15/(Main!$N$31+Q91))^2*(Main!$N$31+Q91)*1000,NA())</f>
        <v>1.0846504605425855</v>
      </c>
      <c r="V91" s="274">
        <f t="shared" si="4"/>
        <v>-1.2629417038984074</v>
      </c>
      <c r="W91" s="274">
        <f t="shared" si="5"/>
        <v>1.2690724888687963</v>
      </c>
      <c r="X91" s="271">
        <f t="shared" si="8"/>
        <v>4.7636178061204681E-2</v>
      </c>
      <c r="Y91" s="436"/>
      <c r="Z91" s="12"/>
      <c r="AA91" s="12"/>
      <c r="AB91" s="12"/>
      <c r="AM91" s="224"/>
      <c r="AN91" s="224"/>
      <c r="AO91" s="224"/>
      <c r="AP91" s="224"/>
      <c r="AQ91" s="179"/>
      <c r="AR91" s="224"/>
      <c r="AS91" s="224"/>
      <c r="AT91" s="224"/>
    </row>
    <row r="92" spans="1:46" ht="15.75" x14ac:dyDescent="0.25">
      <c r="A92" s="505">
        <v>60</v>
      </c>
      <c r="B92" s="506">
        <v>19</v>
      </c>
      <c r="C92" s="664">
        <f>IFERROR('Device Resistance Tables'!C79,NA())</f>
        <v>9589.3823929996615</v>
      </c>
      <c r="D92" s="554">
        <f>IFERROR('Device Resistance Tables'!D79,NA())</f>
        <v>9686.2448414137998</v>
      </c>
      <c r="E92" s="664">
        <f>IFERROR('Device Resistance Tables'!F79,NA())</f>
        <v>9783.1072898279381</v>
      </c>
      <c r="F92" s="690">
        <f>IFERROR(D92*($B$15/(Main!$N$31+D92)),NA())</f>
        <v>2.4601555348526709</v>
      </c>
      <c r="G92" s="690">
        <f>IFERROR($B$16*($B$15/(Main!$N$31+D92)),NA())</f>
        <v>2.5398444651473291</v>
      </c>
      <c r="H92" s="664">
        <f t="shared" si="10"/>
        <v>61.149767233117018</v>
      </c>
      <c r="I92" s="691">
        <f t="shared" si="2"/>
        <v>2.5398444651473292E-4</v>
      </c>
      <c r="J92" s="690">
        <f>IFERROR(($B$15/(Main!$N$31+D92))^2*(Main!$N$31+D92)*1000,NA())</f>
        <v>1.2699222325736645</v>
      </c>
      <c r="K92" s="274">
        <f t="shared" si="3"/>
        <v>-1.0000000000000029</v>
      </c>
      <c r="L92" s="274">
        <f t="shared" si="9"/>
        <v>1.0000000000000029</v>
      </c>
      <c r="M92" s="271">
        <f t="shared" si="6"/>
        <v>7.9138927615391985E-3</v>
      </c>
      <c r="N92" s="692"/>
      <c r="O92" s="569">
        <v>19</v>
      </c>
      <c r="P92" s="697">
        <v>12400.2</v>
      </c>
      <c r="Q92" s="697">
        <v>12554</v>
      </c>
      <c r="R92" s="697">
        <v>12708.4</v>
      </c>
      <c r="S92" s="695">
        <f>IFERROR(Q92*($B$15/(Main!$N$31+Q92)),NA())</f>
        <v>2.7830983417575599</v>
      </c>
      <c r="T92" s="664">
        <f t="shared" si="7"/>
        <v>494.89999999999964</v>
      </c>
      <c r="U92" s="696">
        <f>IFERROR(($B$15/(Main!$N$31+Q92))^2*(Main!$N$31+Q92)*1000,NA())</f>
        <v>1.1084508291212203</v>
      </c>
      <c r="V92" s="274">
        <f t="shared" si="4"/>
        <v>-1.2251075354468637</v>
      </c>
      <c r="W92" s="274">
        <f t="shared" si="5"/>
        <v>1.2298868886410677</v>
      </c>
      <c r="X92" s="271">
        <f t="shared" si="8"/>
        <v>4.7600737157268647E-2</v>
      </c>
      <c r="Y92" s="436"/>
      <c r="Z92" s="12"/>
      <c r="AA92" s="12"/>
      <c r="AB92" s="12"/>
      <c r="AM92" s="224"/>
      <c r="AN92" s="224"/>
      <c r="AO92" s="224"/>
      <c r="AP92" s="224"/>
      <c r="AQ92" s="179"/>
      <c r="AR92" s="224"/>
      <c r="AS92" s="224"/>
      <c r="AT92" s="224"/>
    </row>
    <row r="93" spans="1:46" ht="15.75" x14ac:dyDescent="0.25">
      <c r="A93" s="505">
        <v>61</v>
      </c>
      <c r="B93" s="506">
        <v>20</v>
      </c>
      <c r="C93" s="664">
        <f>IFERROR('Device Resistance Tables'!C80,NA())</f>
        <v>9650.2308704358802</v>
      </c>
      <c r="D93" s="554">
        <f>IFERROR('Device Resistance Tables'!D80,NA())</f>
        <v>9747.707949935233</v>
      </c>
      <c r="E93" s="664">
        <f>IFERROR('Device Resistance Tables'!F80,NA())</f>
        <v>9845.1850294345859</v>
      </c>
      <c r="F93" s="690">
        <f>IFERROR(D93*($B$15/(Main!$N$31+D93)),NA())</f>
        <v>2.4680605907905386</v>
      </c>
      <c r="G93" s="690">
        <f>IFERROR($B$16*($B$15/(Main!$N$31+D93)),NA())</f>
        <v>2.5319394092094618</v>
      </c>
      <c r="H93" s="664">
        <f t="shared" si="10"/>
        <v>61.463108521433242</v>
      </c>
      <c r="I93" s="691">
        <f t="shared" si="2"/>
        <v>2.5319394092094616E-4</v>
      </c>
      <c r="J93" s="690">
        <f>IFERROR(($B$15/(Main!$N$31+D93))^2*(Main!$N$31+D93)*1000,NA())</f>
        <v>1.2659697046047307</v>
      </c>
      <c r="K93" s="274">
        <f t="shared" si="3"/>
        <v>-1.0000000000000053</v>
      </c>
      <c r="L93" s="274">
        <f t="shared" si="9"/>
        <v>1.0000000000000053</v>
      </c>
      <c r="M93" s="271">
        <f t="shared" si="6"/>
        <v>7.9050559378677221E-3</v>
      </c>
      <c r="N93" s="692"/>
      <c r="O93" s="569">
        <v>20</v>
      </c>
      <c r="P93" s="697">
        <v>11937.1</v>
      </c>
      <c r="Q93" s="697">
        <v>12080.5</v>
      </c>
      <c r="R93" s="697">
        <v>12224.4</v>
      </c>
      <c r="S93" s="695">
        <f>IFERROR(Q93*($B$15/(Main!$N$31+Q93)),NA())</f>
        <v>2.7355585244899343</v>
      </c>
      <c r="T93" s="664">
        <f t="shared" si="7"/>
        <v>473.5</v>
      </c>
      <c r="U93" s="696">
        <f>IFERROR(($B$15/(Main!$N$31+Q93))^2*(Main!$N$31+Q93)*1000,NA())</f>
        <v>1.1322207377550326</v>
      </c>
      <c r="V93" s="274">
        <f t="shared" si="4"/>
        <v>-1.1870369603907094</v>
      </c>
      <c r="W93" s="274">
        <f t="shared" si="5"/>
        <v>1.1911758619262418</v>
      </c>
      <c r="X93" s="271">
        <f t="shared" si="8"/>
        <v>4.7539817267625573E-2</v>
      </c>
      <c r="Y93" s="436"/>
      <c r="Z93" s="12"/>
      <c r="AA93" s="12"/>
      <c r="AB93" s="12"/>
      <c r="AM93" s="224"/>
      <c r="AN93" s="224"/>
      <c r="AO93" s="224"/>
      <c r="AP93" s="224"/>
      <c r="AQ93" s="179"/>
      <c r="AR93" s="224"/>
      <c r="AS93" s="224"/>
      <c r="AT93" s="224"/>
    </row>
    <row r="94" spans="1:46" ht="15.75" x14ac:dyDescent="0.25">
      <c r="A94" s="505">
        <v>62</v>
      </c>
      <c r="B94" s="506">
        <v>21</v>
      </c>
      <c r="C94" s="664">
        <f>IFERROR('Device Resistance Tables'!C81,NA())</f>
        <v>9711.3900089368744</v>
      </c>
      <c r="D94" s="554">
        <f>IFERROR('Device Resistance Tables'!D81,NA())</f>
        <v>9809.4848575119941</v>
      </c>
      <c r="E94" s="664">
        <f>IFERROR('Device Resistance Tables'!F81,NA())</f>
        <v>9907.5797060871137</v>
      </c>
      <c r="F94" s="690">
        <f>IFERROR(D94*($B$15/(Main!$N$31+D94)),NA())</f>
        <v>2.4759565753654922</v>
      </c>
      <c r="G94" s="690">
        <f>IFERROR($B$16*($B$15/(Main!$N$31+D94)),NA())</f>
        <v>2.5240434246345078</v>
      </c>
      <c r="H94" s="664">
        <f t="shared" si="10"/>
        <v>61.776907576761005</v>
      </c>
      <c r="I94" s="691">
        <f t="shared" si="2"/>
        <v>2.5240434246345079E-4</v>
      </c>
      <c r="J94" s="690">
        <f>IFERROR(($B$15/(Main!$N$31+D94))^2*(Main!$N$31+D94)*1000,NA())</f>
        <v>1.2620217123172539</v>
      </c>
      <c r="K94" s="274">
        <f t="shared" si="3"/>
        <v>-0.99999999999999667</v>
      </c>
      <c r="L94" s="274">
        <f t="shared" si="9"/>
        <v>0.99999999999999667</v>
      </c>
      <c r="M94" s="271">
        <f t="shared" si="6"/>
        <v>7.8959845749535518E-3</v>
      </c>
      <c r="N94" s="692"/>
      <c r="O94" s="569">
        <v>21</v>
      </c>
      <c r="P94" s="697">
        <v>11494.5</v>
      </c>
      <c r="Q94" s="697">
        <v>11628.1</v>
      </c>
      <c r="R94" s="697">
        <v>11762.1</v>
      </c>
      <c r="S94" s="695">
        <f>IFERROR(Q94*($B$15/(Main!$N$31+Q94)),NA())</f>
        <v>2.6881926752696725</v>
      </c>
      <c r="T94" s="664">
        <f t="shared" si="7"/>
        <v>452.39999999999964</v>
      </c>
      <c r="U94" s="696">
        <f>IFERROR(($B$15/(Main!$N$31+Q94))^2*(Main!$N$31+Q94)*1000,NA())</f>
        <v>1.155903662365164</v>
      </c>
      <c r="V94" s="274">
        <f t="shared" si="4"/>
        <v>-1.1489409275806053</v>
      </c>
      <c r="W94" s="274">
        <f t="shared" si="5"/>
        <v>1.15238087047755</v>
      </c>
      <c r="X94" s="271">
        <f t="shared" si="8"/>
        <v>4.7365849220261769E-2</v>
      </c>
      <c r="Y94" s="436"/>
      <c r="Z94" s="12"/>
      <c r="AA94" s="12"/>
      <c r="AB94" s="12"/>
      <c r="AM94" s="224"/>
      <c r="AN94" s="224"/>
      <c r="AO94" s="224"/>
      <c r="AP94" s="224"/>
      <c r="AQ94" s="179"/>
      <c r="AR94" s="224"/>
      <c r="AS94" s="224"/>
      <c r="AT94" s="224"/>
    </row>
    <row r="95" spans="1:46" ht="15.75" x14ac:dyDescent="0.25">
      <c r="A95" s="505">
        <v>63</v>
      </c>
      <c r="B95" s="506">
        <v>22</v>
      </c>
      <c r="C95" s="664">
        <f>IFERROR('Device Resistance Tables'!C82,NA())</f>
        <v>9772.8602703476445</v>
      </c>
      <c r="D95" s="554">
        <f>IFERROR('Device Resistance Tables'!D82,NA())</f>
        <v>9871.576030654187</v>
      </c>
      <c r="E95" s="664">
        <f>IFERROR('Device Resistance Tables'!F82,NA())</f>
        <v>9970.2917909607295</v>
      </c>
      <c r="F95" s="690">
        <f>IFERROR(D95*($B$15/(Main!$N$31+D95)),NA())</f>
        <v>2.4838432581860013</v>
      </c>
      <c r="G95" s="690">
        <f>IFERROR($B$16*($B$15/(Main!$N$31+D95)),NA())</f>
        <v>2.5161567418139996</v>
      </c>
      <c r="H95" s="664">
        <f t="shared" si="10"/>
        <v>62.091173142192929</v>
      </c>
      <c r="I95" s="691">
        <f t="shared" si="2"/>
        <v>2.5161567418139995E-4</v>
      </c>
      <c r="J95" s="690">
        <f>IFERROR(($B$15/(Main!$N$31+D95))^2*(Main!$N$31+D95)*1000,NA())</f>
        <v>1.258078370907</v>
      </c>
      <c r="K95" s="274">
        <f t="shared" si="3"/>
        <v>-1.0000000000000064</v>
      </c>
      <c r="L95" s="274">
        <f t="shared" si="9"/>
        <v>1.0000000000000064</v>
      </c>
      <c r="M95" s="271">
        <f t="shared" si="6"/>
        <v>7.8866828205090833E-3</v>
      </c>
      <c r="N95" s="692"/>
      <c r="O95" s="569">
        <v>22</v>
      </c>
      <c r="P95" s="697">
        <v>11070.3</v>
      </c>
      <c r="Q95" s="697">
        <v>11194.7</v>
      </c>
      <c r="R95" s="697">
        <v>11319.5</v>
      </c>
      <c r="S95" s="695">
        <f>IFERROR(Q95*($B$15/(Main!$N$31+Q95)),NA())</f>
        <v>2.640919663878234</v>
      </c>
      <c r="T95" s="664">
        <f t="shared" si="7"/>
        <v>433.39999999999964</v>
      </c>
      <c r="U95" s="696">
        <f>IFERROR(($B$15/(Main!$N$31+Q95))^2*(Main!$N$31+Q95)*1000,NA())</f>
        <v>1.179540168060883</v>
      </c>
      <c r="V95" s="274">
        <f t="shared" si="4"/>
        <v>-1.1112401404236063</v>
      </c>
      <c r="W95" s="274">
        <f t="shared" si="5"/>
        <v>1.1148132598461706</v>
      </c>
      <c r="X95" s="271">
        <f t="shared" si="8"/>
        <v>4.727301139143858E-2</v>
      </c>
      <c r="Y95" s="436"/>
      <c r="Z95" s="12"/>
      <c r="AA95" s="12"/>
      <c r="AB95" s="12"/>
      <c r="AM95" s="224"/>
      <c r="AN95" s="224"/>
      <c r="AO95" s="224"/>
      <c r="AP95" s="224"/>
      <c r="AQ95" s="179"/>
      <c r="AR95" s="224"/>
      <c r="AS95" s="224"/>
      <c r="AT95" s="224"/>
    </row>
    <row r="96" spans="1:46" ht="15.75" x14ac:dyDescent="0.25">
      <c r="A96" s="505">
        <v>64</v>
      </c>
      <c r="B96" s="506">
        <v>23</v>
      </c>
      <c r="C96" s="664">
        <f>IFERROR('Device Resistance Tables'!C83,NA())</f>
        <v>9834.6421251688571</v>
      </c>
      <c r="D96" s="554">
        <f>IFERROR('Device Resistance Tables'!D83,NA())</f>
        <v>9933.9819446150068</v>
      </c>
      <c r="E96" s="664">
        <f>IFERROR('Device Resistance Tables'!F83,NA())</f>
        <v>10033.321764061157</v>
      </c>
      <c r="F96" s="690">
        <f>IFERROR(D96*($B$15/(Main!$N$31+D96)),NA())</f>
        <v>2.4917204129651043</v>
      </c>
      <c r="G96" s="690">
        <f>IFERROR($B$16*($B$15/(Main!$N$31+D96)),NA())</f>
        <v>2.5082795870348962</v>
      </c>
      <c r="H96" s="664">
        <f t="shared" si="10"/>
        <v>62.405913960819817</v>
      </c>
      <c r="I96" s="691">
        <f t="shared" si="2"/>
        <v>2.508279587034896E-4</v>
      </c>
      <c r="J96" s="690">
        <f>IFERROR(($B$15/(Main!$N$31+D96))^2*(Main!$N$31+D96)*1000,NA())</f>
        <v>1.2541397935174481</v>
      </c>
      <c r="K96" s="274">
        <f t="shared" si="3"/>
        <v>-0.99999999999999634</v>
      </c>
      <c r="L96" s="274">
        <f t="shared" si="9"/>
        <v>0.99999999999999634</v>
      </c>
      <c r="M96" s="271">
        <f t="shared" si="6"/>
        <v>7.8771547791030017E-3</v>
      </c>
      <c r="N96" s="692"/>
      <c r="O96" s="569">
        <v>23</v>
      </c>
      <c r="P96" s="697">
        <v>10663.7</v>
      </c>
      <c r="Q96" s="697">
        <v>10779.5</v>
      </c>
      <c r="R96" s="697">
        <v>10895.5</v>
      </c>
      <c r="S96" s="695">
        <f>IFERROR(Q96*($B$15/(Main!$N$31+Q96)),NA())</f>
        <v>2.5937823335498931</v>
      </c>
      <c r="T96" s="664">
        <f t="shared" si="7"/>
        <v>415.20000000000073</v>
      </c>
      <c r="U96" s="696">
        <f>IFERROR(($B$15/(Main!$N$31+Q96))^2*(Main!$N$31+Q96)*1000,NA())</f>
        <v>1.2031088332250537</v>
      </c>
      <c r="V96" s="274">
        <f t="shared" si="4"/>
        <v>-1.0742613293751961</v>
      </c>
      <c r="W96" s="274">
        <f t="shared" si="5"/>
        <v>1.0761167030010668</v>
      </c>
      <c r="X96" s="271">
        <f t="shared" si="8"/>
        <v>4.7137330328340887E-2</v>
      </c>
      <c r="Y96" s="436"/>
      <c r="Z96" s="12"/>
      <c r="AA96" s="12"/>
      <c r="AB96" s="12"/>
      <c r="AM96" s="224"/>
      <c r="AN96" s="224"/>
      <c r="AO96" s="224"/>
      <c r="AP96" s="224"/>
      <c r="AQ96" s="179"/>
      <c r="AR96" s="224"/>
      <c r="AS96" s="224"/>
      <c r="AT96" s="224"/>
    </row>
    <row r="97" spans="1:46" ht="15.75" x14ac:dyDescent="0.25">
      <c r="A97" s="505">
        <v>65</v>
      </c>
      <c r="B97" s="506">
        <v>24</v>
      </c>
      <c r="C97" s="664">
        <f>IFERROR('Device Resistance Tables'!C84,NA())</f>
        <v>9896.7360525568347</v>
      </c>
      <c r="D97" s="554">
        <f>IFERROR('Device Resistance Tables'!D84,NA())</f>
        <v>9996.7030833907429</v>
      </c>
      <c r="E97" s="664">
        <f>IFERROR('Device Resistance Tables'!F84,NA())</f>
        <v>10096.670114224651</v>
      </c>
      <c r="F97" s="690">
        <f>IFERROR(D97*($B$15/(Main!$N$31+D97)),NA())</f>
        <v>2.4995878174772725</v>
      </c>
      <c r="G97" s="690">
        <f>IFERROR($B$16*($B$15/(Main!$N$31+D97)),NA())</f>
        <v>2.5004121825227275</v>
      </c>
      <c r="H97" s="664">
        <f t="shared" si="10"/>
        <v>62.721138775736108</v>
      </c>
      <c r="I97" s="691">
        <f t="shared" si="2"/>
        <v>2.5004121825227275E-4</v>
      </c>
      <c r="J97" s="690">
        <f>IFERROR(($B$15/(Main!$N$31+D97))^2*(Main!$N$31+D97)*1000,NA())</f>
        <v>1.2502060912613637</v>
      </c>
      <c r="K97" s="274">
        <f t="shared" si="3"/>
        <v>-1.0000000000000078</v>
      </c>
      <c r="L97" s="274">
        <f t="shared" ref="L97:L128" si="11">IFERROR(((E97-D97)/D97)*100,NA())</f>
        <v>1.0000000000000078</v>
      </c>
      <c r="M97" s="271">
        <f t="shared" si="6"/>
        <v>7.8674045121682745E-3</v>
      </c>
      <c r="N97" s="692"/>
      <c r="O97" s="569">
        <v>24</v>
      </c>
      <c r="P97" s="697">
        <v>10273.799999999999</v>
      </c>
      <c r="Q97" s="697">
        <v>10381.5</v>
      </c>
      <c r="R97" s="697">
        <v>10489.2</v>
      </c>
      <c r="S97" s="695">
        <f>IFERROR(Q97*($B$15/(Main!$N$31+Q97)),NA())</f>
        <v>2.5467948875205457</v>
      </c>
      <c r="T97" s="664">
        <f t="shared" si="7"/>
        <v>398</v>
      </c>
      <c r="U97" s="696">
        <f>IFERROR(($B$15/(Main!$N$31+Q97))^2*(Main!$N$31+Q97)*1000,NA())</f>
        <v>1.2266025562397274</v>
      </c>
      <c r="V97" s="274">
        <f t="shared" si="4"/>
        <v>-1.0374223378124618</v>
      </c>
      <c r="W97" s="274">
        <f t="shared" si="5"/>
        <v>1.0374223378124618</v>
      </c>
      <c r="X97" s="271">
        <f t="shared" si="8"/>
        <v>4.6987446029347346E-2</v>
      </c>
      <c r="Y97" s="436"/>
      <c r="Z97" s="12"/>
      <c r="AA97" s="12"/>
      <c r="AB97" s="12"/>
      <c r="AM97" s="224"/>
      <c r="AN97" s="224"/>
      <c r="AO97" s="224"/>
      <c r="AP97" s="224"/>
      <c r="AQ97" s="179"/>
      <c r="AR97" s="224"/>
      <c r="AS97" s="224"/>
      <c r="AT97" s="224"/>
    </row>
    <row r="98" spans="1:46" ht="15.75" x14ac:dyDescent="0.25">
      <c r="A98" s="505">
        <v>66</v>
      </c>
      <c r="B98" s="508">
        <v>25</v>
      </c>
      <c r="C98" s="664">
        <f>IFERROR('Device Resistance Tables'!C85,NA())</f>
        <v>9959.1425403235735</v>
      </c>
      <c r="D98" s="554">
        <f>IFERROR('Device Resistance Tables'!D85,NA())</f>
        <v>10059.739939720781</v>
      </c>
      <c r="E98" s="664">
        <f>IFERROR('Device Resistance Tables'!F85,NA())</f>
        <v>10160.337339117988</v>
      </c>
      <c r="F98" s="690">
        <f>IFERROR(D98*($B$15/(Main!$N$31+D98)),NA())</f>
        <v>2.5074452535152871</v>
      </c>
      <c r="G98" s="690">
        <f>IFERROR($B$16*($B$15/(Main!$N$31+D98)),NA())</f>
        <v>2.4925547464847129</v>
      </c>
      <c r="H98" s="664">
        <f t="shared" ref="H98:H129" si="12">IFERROR(D98-D97,NA())</f>
        <v>63.036856330038063</v>
      </c>
      <c r="I98" s="691">
        <f t="shared" ref="I98:I161" si="13">$F98/$D98</f>
        <v>2.4925547464847128E-4</v>
      </c>
      <c r="J98" s="690">
        <f>IFERROR(($B$15/(Main!$N$31+D98))^2*(Main!$N$31+D98)*1000,NA())</f>
        <v>1.2462773732423564</v>
      </c>
      <c r="K98" s="274">
        <f t="shared" ref="K98:K161" si="14">IFERROR(((D98-C98)/D98)*-100,NA())</f>
        <v>-0.99999999999999667</v>
      </c>
      <c r="L98" s="274">
        <f t="shared" si="11"/>
        <v>0.99999999999999667</v>
      </c>
      <c r="M98" s="271">
        <f t="shared" si="6"/>
        <v>7.8574360380145869E-3</v>
      </c>
      <c r="N98" s="692"/>
      <c r="O98" s="698">
        <v>25</v>
      </c>
      <c r="P98" s="697">
        <v>9900</v>
      </c>
      <c r="Q98" s="697">
        <v>10000</v>
      </c>
      <c r="R98" s="697">
        <v>10100</v>
      </c>
      <c r="S98" s="695">
        <f>IFERROR(Q98*($B$15/(Main!$N$31+Q98)),NA())</f>
        <v>2.5</v>
      </c>
      <c r="T98" s="664">
        <f t="shared" si="7"/>
        <v>381.5</v>
      </c>
      <c r="U98" s="696">
        <f>IFERROR(($B$15/(Main!$N$31+Q98))^2*(Main!$N$31+Q98)*1000,NA())</f>
        <v>1.25</v>
      </c>
      <c r="V98" s="274">
        <f t="shared" ref="V98:V161" si="15">IFERROR(((Q98-P98)/Q98)*-100,NA())</f>
        <v>-1</v>
      </c>
      <c r="W98" s="274">
        <f t="shared" ref="W98:W161" si="16">IFERROR(((R98-Q98)/Q98)*100,NA())</f>
        <v>1</v>
      </c>
      <c r="X98" s="271">
        <f t="shared" si="8"/>
        <v>4.6794887520545725E-2</v>
      </c>
      <c r="Y98" s="436"/>
      <c r="Z98" s="12"/>
      <c r="AA98" s="12"/>
      <c r="AB98" s="12"/>
      <c r="AM98" s="224"/>
      <c r="AN98" s="224"/>
      <c r="AO98" s="224"/>
      <c r="AP98" s="224"/>
      <c r="AQ98" s="179"/>
      <c r="AR98" s="224"/>
      <c r="AS98" s="224"/>
      <c r="AT98" s="224"/>
    </row>
    <row r="99" spans="1:46" ht="15.75" x14ac:dyDescent="0.25">
      <c r="A99" s="505">
        <v>67</v>
      </c>
      <c r="B99" s="506">
        <v>26</v>
      </c>
      <c r="C99" s="664">
        <f>IFERROR('Device Resistance Tables'!C86,NA())</f>
        <v>10021.862084936709</v>
      </c>
      <c r="D99" s="554">
        <f>IFERROR('Device Resistance Tables'!D86,NA())</f>
        <v>10123.093015087585</v>
      </c>
      <c r="E99" s="664">
        <f>IFERROR('Device Resistance Tables'!F86,NA())</f>
        <v>10224.323945238461</v>
      </c>
      <c r="F99" s="690">
        <f>IFERROR(D99*($B$15/(Main!$N$31+D99)),NA())</f>
        <v>2.5152925068471448</v>
      </c>
      <c r="G99" s="690">
        <f>IFERROR($B$16*($B$15/(Main!$N$31+D99)),NA())</f>
        <v>2.4847074931528548</v>
      </c>
      <c r="H99" s="664">
        <f t="shared" si="12"/>
        <v>63.353075366803751</v>
      </c>
      <c r="I99" s="691">
        <f t="shared" si="13"/>
        <v>2.4847074931528548E-4</v>
      </c>
      <c r="J99" s="690">
        <f>IFERROR(($B$15/(Main!$N$31+D99))^2*(Main!$N$31+D99)*1000,NA())</f>
        <v>1.2423537465764274</v>
      </c>
      <c r="K99" s="274">
        <f t="shared" si="14"/>
        <v>-0.99999999999999956</v>
      </c>
      <c r="L99" s="274">
        <f t="shared" si="11"/>
        <v>0.99999999999999956</v>
      </c>
      <c r="M99" s="271">
        <f t="shared" ref="M99:M162" si="17">IFERROR(F99-F98,NA())</f>
        <v>7.8472533318576509E-3</v>
      </c>
      <c r="N99" s="692"/>
      <c r="O99" s="569">
        <v>26</v>
      </c>
      <c r="P99" s="697">
        <v>9534.2999999999993</v>
      </c>
      <c r="Q99" s="697">
        <v>9634.2000000000007</v>
      </c>
      <c r="R99" s="697">
        <v>9734.2000000000007</v>
      </c>
      <c r="S99" s="695">
        <f>IFERROR(Q99*($B$15/(Main!$N$31+Q99)),NA())</f>
        <v>2.4534231086573426</v>
      </c>
      <c r="T99" s="664">
        <f t="shared" ref="T99:T162" si="18">IFERROR(Q98-Q99,NA())</f>
        <v>365.79999999999927</v>
      </c>
      <c r="U99" s="696">
        <f>IFERROR(($B$15/(Main!$N$31+Q99))^2*(Main!$N$31+Q99)*1000,NA())</f>
        <v>1.2732884456713285</v>
      </c>
      <c r="V99" s="274">
        <f t="shared" si="15"/>
        <v>-1.0369309335492458</v>
      </c>
      <c r="W99" s="274">
        <f t="shared" si="16"/>
        <v>1.0379689024516825</v>
      </c>
      <c r="X99" s="271">
        <f t="shared" ref="X99:X162" si="19">IFERROR(S98-S99,NA())</f>
        <v>4.6576891342657412E-2</v>
      </c>
      <c r="Y99" s="436"/>
      <c r="Z99" s="12"/>
      <c r="AA99" s="12"/>
      <c r="AB99" s="12"/>
      <c r="AM99" s="224"/>
      <c r="AN99" s="224"/>
      <c r="AO99" s="224"/>
      <c r="AP99" s="224"/>
      <c r="AQ99" s="179"/>
      <c r="AR99" s="224"/>
      <c r="AS99" s="224"/>
      <c r="AT99" s="224"/>
    </row>
    <row r="100" spans="1:46" ht="15.75" x14ac:dyDescent="0.25">
      <c r="A100" s="505">
        <v>68</v>
      </c>
      <c r="B100" s="506">
        <v>27</v>
      </c>
      <c r="C100" s="664">
        <f>IFERROR('Device Resistance Tables'!C87,NA())</f>
        <v>10084.895191519556</v>
      </c>
      <c r="D100" s="554">
        <f>IFERROR('Device Resistance Tables'!D87,NA())</f>
        <v>10186.762819716723</v>
      </c>
      <c r="E100" s="664">
        <f>IFERROR('Device Resistance Tables'!F87,NA())</f>
        <v>10288.630447913891</v>
      </c>
      <c r="F100" s="690">
        <f>IFERROR(D100*($B$15/(Main!$N$31+D100)),NA())</f>
        <v>2.5231293671730159</v>
      </c>
      <c r="G100" s="690">
        <f>IFERROR($B$16*($B$15/(Main!$N$31+D100)),NA())</f>
        <v>2.4768706328269849</v>
      </c>
      <c r="H100" s="664">
        <f t="shared" si="12"/>
        <v>63.669804629138525</v>
      </c>
      <c r="I100" s="691">
        <f t="shared" si="13"/>
        <v>2.4768706328269849E-4</v>
      </c>
      <c r="J100" s="690">
        <f>IFERROR(($B$15/(Main!$N$31+D100))^2*(Main!$N$31+D100)*1000,NA())</f>
        <v>1.2384353164134927</v>
      </c>
      <c r="K100" s="274">
        <f t="shared" si="14"/>
        <v>-1.0000000000000027</v>
      </c>
      <c r="L100" s="274">
        <f t="shared" si="11"/>
        <v>1.0000000000000027</v>
      </c>
      <c r="M100" s="271">
        <f t="shared" si="17"/>
        <v>7.8368603258711644E-3</v>
      </c>
      <c r="N100" s="692"/>
      <c r="O100" s="569">
        <v>27</v>
      </c>
      <c r="P100" s="697">
        <v>9183.7999999999993</v>
      </c>
      <c r="Q100" s="697">
        <v>9283.5</v>
      </c>
      <c r="R100" s="697">
        <v>9383.2999999999993</v>
      </c>
      <c r="S100" s="695">
        <f>IFERROR(Q100*($B$15/(Main!$N$31+Q100)),NA())</f>
        <v>2.4071097051883732</v>
      </c>
      <c r="T100" s="664">
        <f t="shared" si="18"/>
        <v>350.70000000000073</v>
      </c>
      <c r="U100" s="696">
        <f>IFERROR(($B$15/(Main!$N$31+Q100))^2*(Main!$N$31+Q100)*1000,NA())</f>
        <v>1.296445147405813</v>
      </c>
      <c r="V100" s="274">
        <f t="shared" si="15"/>
        <v>-1.0739484030807425</v>
      </c>
      <c r="W100" s="274">
        <f t="shared" si="16"/>
        <v>1.0750255830236362</v>
      </c>
      <c r="X100" s="271">
        <f t="shared" si="19"/>
        <v>4.6313403468969394E-2</v>
      </c>
      <c r="Y100" s="436"/>
      <c r="Z100" s="12"/>
      <c r="AA100" s="12"/>
      <c r="AB100" s="12"/>
      <c r="AM100" s="224"/>
      <c r="AN100" s="224"/>
      <c r="AO100" s="224"/>
      <c r="AP100" s="224"/>
      <c r="AQ100" s="179"/>
      <c r="AR100" s="224"/>
      <c r="AS100" s="224"/>
      <c r="AT100" s="224"/>
    </row>
    <row r="101" spans="1:46" ht="15.75" x14ac:dyDescent="0.25">
      <c r="A101" s="505">
        <v>69</v>
      </c>
      <c r="B101" s="506">
        <v>28</v>
      </c>
      <c r="C101" s="664">
        <f>IFERROR('Device Resistance Tables'!C88,NA())</f>
        <v>10148.24237385109</v>
      </c>
      <c r="D101" s="554">
        <f>IFERROR('Device Resistance Tables'!D88,NA())</f>
        <v>10250.749872576858</v>
      </c>
      <c r="E101" s="664">
        <f>IFERROR('Device Resistance Tables'!F88,NA())</f>
        <v>10353.257371302627</v>
      </c>
      <c r="F101" s="690">
        <f>IFERROR(D101*($B$15/(Main!$N$31+D101)),NA())</f>
        <v>2.5309556280822494</v>
      </c>
      <c r="G101" s="690">
        <f>IFERROR($B$16*($B$15/(Main!$N$31+D101)),NA())</f>
        <v>2.4690443719177506</v>
      </c>
      <c r="H101" s="664">
        <f t="shared" si="12"/>
        <v>63.987052860135009</v>
      </c>
      <c r="I101" s="691">
        <f t="shared" si="13"/>
        <v>2.4690443719177507E-4</v>
      </c>
      <c r="J101" s="690">
        <f>IFERROR(($B$15/(Main!$N$31+D101))^2*(Main!$N$31+D101)*1000,NA())</f>
        <v>1.2345221859588753</v>
      </c>
      <c r="K101" s="274">
        <f t="shared" si="14"/>
        <v>-0.99999999999999956</v>
      </c>
      <c r="L101" s="274">
        <f t="shared" si="11"/>
        <v>0.99999999999999956</v>
      </c>
      <c r="M101" s="271">
        <f t="shared" si="17"/>
        <v>7.8262609092334401E-3</v>
      </c>
      <c r="N101" s="692"/>
      <c r="O101" s="569">
        <v>28</v>
      </c>
      <c r="P101" s="697">
        <v>8847.7000000000007</v>
      </c>
      <c r="Q101" s="697">
        <v>8947</v>
      </c>
      <c r="R101" s="697">
        <v>9046.5</v>
      </c>
      <c r="S101" s="695">
        <f>IFERROR(Q101*($B$15/(Main!$N$31+Q101)),NA())</f>
        <v>2.3610597983849688</v>
      </c>
      <c r="T101" s="664">
        <f t="shared" si="18"/>
        <v>336.5</v>
      </c>
      <c r="U101" s="696">
        <f>IFERROR(($B$15/(Main!$N$31+Q101))^2*(Main!$N$31+Q101)*1000,NA())</f>
        <v>1.3194701008075156</v>
      </c>
      <c r="V101" s="274">
        <f t="shared" si="15"/>
        <v>-1.1098692299094588</v>
      </c>
      <c r="W101" s="274">
        <f t="shared" si="16"/>
        <v>1.1121046160724264</v>
      </c>
      <c r="X101" s="271">
        <f t="shared" si="19"/>
        <v>4.6049906803404372E-2</v>
      </c>
      <c r="Y101" s="436"/>
      <c r="Z101" s="12"/>
      <c r="AA101" s="12"/>
      <c r="AB101" s="12"/>
      <c r="AM101" s="224"/>
      <c r="AN101" s="224"/>
      <c r="AO101" s="224"/>
      <c r="AP101" s="224"/>
      <c r="AQ101" s="179"/>
      <c r="AR101" s="224"/>
      <c r="AS101" s="224"/>
      <c r="AT101" s="224"/>
    </row>
    <row r="102" spans="1:46" ht="15.75" x14ac:dyDescent="0.25">
      <c r="A102" s="505">
        <v>70</v>
      </c>
      <c r="B102" s="506">
        <v>29</v>
      </c>
      <c r="C102" s="664">
        <f>IFERROR('Device Resistance Tables'!C89,NA())</f>
        <v>10211.904154365933</v>
      </c>
      <c r="D102" s="554">
        <f>IFERROR('Device Resistance Tables'!D89,NA())</f>
        <v>10315.054701379731</v>
      </c>
      <c r="E102" s="664">
        <f>IFERROR('Device Resistance Tables'!F89,NA())</f>
        <v>10418.205248393529</v>
      </c>
      <c r="F102" s="690">
        <f>IFERROR(D102*($B$15/(Main!$N$31+D102)),NA())</f>
        <v>2.5387710870104536</v>
      </c>
      <c r="G102" s="690">
        <f>IFERROR($B$16*($B$15/(Main!$N$31+D102)),NA())</f>
        <v>2.4612289129895455</v>
      </c>
      <c r="H102" s="664">
        <f t="shared" si="12"/>
        <v>64.304828802873089</v>
      </c>
      <c r="I102" s="691">
        <f t="shared" si="13"/>
        <v>2.4612289129895455E-4</v>
      </c>
      <c r="J102" s="690">
        <f>IFERROR(($B$15/(Main!$N$31+D102))^2*(Main!$N$31+D102)*1000,NA())</f>
        <v>1.2306144564947727</v>
      </c>
      <c r="K102" s="274">
        <f t="shared" si="14"/>
        <v>-1.000000000000008</v>
      </c>
      <c r="L102" s="274">
        <f t="shared" si="11"/>
        <v>1.000000000000008</v>
      </c>
      <c r="M102" s="271">
        <f t="shared" si="17"/>
        <v>7.815458928204233E-3</v>
      </c>
      <c r="N102" s="692"/>
      <c r="O102" s="569">
        <v>29</v>
      </c>
      <c r="P102" s="697">
        <v>8525.4</v>
      </c>
      <c r="Q102" s="697">
        <v>8624.2000000000007</v>
      </c>
      <c r="R102" s="697">
        <v>8723.4</v>
      </c>
      <c r="S102" s="695">
        <f>IFERROR(Q102*($B$15/(Main!$N$31+Q102)),NA())</f>
        <v>2.3153209265364421</v>
      </c>
      <c r="T102" s="664">
        <f t="shared" si="18"/>
        <v>322.79999999999927</v>
      </c>
      <c r="U102" s="696">
        <f>IFERROR(($B$15/(Main!$N$31+Q102))^2*(Main!$N$31+Q102)*1000,NA())</f>
        <v>1.3423395367317792</v>
      </c>
      <c r="V102" s="274">
        <f t="shared" si="15"/>
        <v>-1.1456135061802959</v>
      </c>
      <c r="W102" s="274">
        <f t="shared" si="16"/>
        <v>1.1502516175413244</v>
      </c>
      <c r="X102" s="271">
        <f t="shared" si="19"/>
        <v>4.5738871848526763E-2</v>
      </c>
      <c r="Y102" s="436"/>
      <c r="Z102" s="12"/>
      <c r="AA102" s="12"/>
      <c r="AB102" s="12"/>
      <c r="AM102" s="224"/>
      <c r="AN102" s="224"/>
      <c r="AO102" s="224"/>
      <c r="AP102" s="224"/>
      <c r="AQ102" s="179"/>
      <c r="AR102" s="224"/>
      <c r="AS102" s="224"/>
      <c r="AT102" s="224"/>
    </row>
    <row r="103" spans="1:46" ht="15.75" x14ac:dyDescent="0.25">
      <c r="A103" s="505">
        <v>71</v>
      </c>
      <c r="B103" s="506">
        <v>30</v>
      </c>
      <c r="C103" s="664">
        <f>IFERROR('Device Resistance Tables'!C90,NA())</f>
        <v>10275.881064154391</v>
      </c>
      <c r="D103" s="554">
        <f>IFERROR('Device Resistance Tables'!D90,NA())</f>
        <v>10379.677842580193</v>
      </c>
      <c r="E103" s="664">
        <f>IFERROR('Device Resistance Tables'!F90,NA())</f>
        <v>10483.474621005995</v>
      </c>
      <c r="F103" s="690">
        <f>IFERROR(D103*($B$15/(Main!$N$31+D103)),NA())</f>
        <v>2.546575545196661</v>
      </c>
      <c r="G103" s="690">
        <f>IFERROR($B$16*($B$15/(Main!$N$31+D103)),NA())</f>
        <v>2.453424454803339</v>
      </c>
      <c r="H103" s="664">
        <f t="shared" si="12"/>
        <v>64.62314120046176</v>
      </c>
      <c r="I103" s="691">
        <f t="shared" si="13"/>
        <v>2.4534244548033389E-4</v>
      </c>
      <c r="J103" s="690">
        <f>IFERROR(($B$15/(Main!$N$31+D103))^2*(Main!$N$31+D103)*1000,NA())</f>
        <v>1.2267122274016693</v>
      </c>
      <c r="K103" s="274">
        <f t="shared" si="14"/>
        <v>-0.99999999999999756</v>
      </c>
      <c r="L103" s="274">
        <f t="shared" si="11"/>
        <v>0.99999999999999756</v>
      </c>
      <c r="M103" s="271">
        <f t="shared" si="17"/>
        <v>7.8044581862073414E-3</v>
      </c>
      <c r="N103" s="692"/>
      <c r="O103" s="569">
        <v>30</v>
      </c>
      <c r="P103" s="697">
        <v>8216.2000000000007</v>
      </c>
      <c r="Q103" s="697">
        <v>8314.5</v>
      </c>
      <c r="R103" s="697">
        <v>8413.2000000000007</v>
      </c>
      <c r="S103" s="695">
        <f>IFERROR(Q103*($B$15/(Main!$N$31+Q103)),NA())</f>
        <v>2.2699227388135084</v>
      </c>
      <c r="T103" s="664">
        <f t="shared" si="18"/>
        <v>309.70000000000073</v>
      </c>
      <c r="U103" s="696">
        <f>IFERROR(($B$15/(Main!$N$31+Q103))^2*(Main!$N$31+Q103)*1000,NA())</f>
        <v>1.365038630593246</v>
      </c>
      <c r="V103" s="274">
        <f t="shared" si="15"/>
        <v>-1.1822719345721242</v>
      </c>
      <c r="W103" s="274">
        <f t="shared" si="16"/>
        <v>1.1870828071441546</v>
      </c>
      <c r="X103" s="271">
        <f t="shared" si="19"/>
        <v>4.5398187722933692E-2</v>
      </c>
      <c r="Y103" s="436"/>
      <c r="Z103" s="12"/>
      <c r="AA103" s="12"/>
      <c r="AB103" s="12"/>
      <c r="AM103" s="224"/>
      <c r="AN103" s="224"/>
      <c r="AO103" s="224"/>
      <c r="AP103" s="224"/>
      <c r="AQ103" s="179"/>
      <c r="AR103" s="224"/>
      <c r="AS103" s="224"/>
      <c r="AT103" s="224"/>
    </row>
    <row r="104" spans="1:46" ht="15.75" x14ac:dyDescent="0.25">
      <c r="A104" s="505">
        <v>72</v>
      </c>
      <c r="B104" s="506">
        <v>31</v>
      </c>
      <c r="C104" s="664">
        <f>IFERROR('Device Resistance Tables'!C91,NA())</f>
        <v>10340.173642962412</v>
      </c>
      <c r="D104" s="554">
        <f>IFERROR('Device Resistance Tables'!D91,NA())</f>
        <v>10444.619841376174</v>
      </c>
      <c r="E104" s="664">
        <f>IFERROR('Device Resistance Tables'!F91,NA())</f>
        <v>10549.066039789936</v>
      </c>
      <c r="F104" s="690">
        <f>IFERROR(D104*($B$15/(Main!$N$31+D104)),NA())</f>
        <v>2.5543688076405733</v>
      </c>
      <c r="G104" s="690">
        <f>IFERROR($B$16*($B$15/(Main!$N$31+D104)),NA())</f>
        <v>2.4456311923594263</v>
      </c>
      <c r="H104" s="664">
        <f t="shared" si="12"/>
        <v>64.941998795980908</v>
      </c>
      <c r="I104" s="691">
        <f t="shared" si="13"/>
        <v>2.4456311923594262E-4</v>
      </c>
      <c r="J104" s="690">
        <f>IFERROR(($B$15/(Main!$N$31+D104))^2*(Main!$N$31+D104)*1000,NA())</f>
        <v>1.2228155961797129</v>
      </c>
      <c r="K104" s="274">
        <f t="shared" si="14"/>
        <v>-0.99999999999999789</v>
      </c>
      <c r="L104" s="274">
        <f t="shared" si="11"/>
        <v>0.99999999999999789</v>
      </c>
      <c r="M104" s="271">
        <f t="shared" si="17"/>
        <v>7.7932624439123188E-3</v>
      </c>
      <c r="N104" s="692"/>
      <c r="O104" s="569">
        <v>31</v>
      </c>
      <c r="P104" s="697">
        <v>7920.4</v>
      </c>
      <c r="Q104" s="697">
        <v>8018.1</v>
      </c>
      <c r="R104" s="697">
        <v>8116.2</v>
      </c>
      <c r="S104" s="695">
        <f>IFERROR(Q104*($B$15/(Main!$N$31+Q104)),NA())</f>
        <v>2.2250126261925511</v>
      </c>
      <c r="T104" s="664">
        <f t="shared" si="18"/>
        <v>296.39999999999964</v>
      </c>
      <c r="U104" s="696">
        <f>IFERROR(($B$15/(Main!$N$31+Q104))^2*(Main!$N$31+Q104)*1000,NA())</f>
        <v>1.3874936869037247</v>
      </c>
      <c r="V104" s="274">
        <f t="shared" si="15"/>
        <v>-1.2184931592272574</v>
      </c>
      <c r="W104" s="274">
        <f t="shared" si="16"/>
        <v>1.2234818722639957</v>
      </c>
      <c r="X104" s="271">
        <f t="shared" si="19"/>
        <v>4.4910112620957232E-2</v>
      </c>
      <c r="Y104" s="436"/>
      <c r="Z104" s="12"/>
      <c r="AA104" s="12"/>
      <c r="AB104" s="12"/>
      <c r="AM104" s="224"/>
      <c r="AN104" s="224"/>
      <c r="AO104" s="224"/>
      <c r="AP104" s="224"/>
      <c r="AQ104" s="179"/>
      <c r="AR104" s="224"/>
      <c r="AS104" s="224"/>
      <c r="AT104" s="224"/>
    </row>
    <row r="105" spans="1:46" ht="15.75" x14ac:dyDescent="0.25">
      <c r="A105" s="505">
        <v>73</v>
      </c>
      <c r="B105" s="506">
        <v>32</v>
      </c>
      <c r="C105" s="664">
        <f>IFERROR('Device Resistance Tables'!C92,NA())</f>
        <v>10404.782439191615</v>
      </c>
      <c r="D105" s="554">
        <f>IFERROR('Device Resistance Tables'!D92,NA())</f>
        <v>10509.881251708703</v>
      </c>
      <c r="E105" s="664">
        <f>IFERROR('Device Resistance Tables'!F92,NA())</f>
        <v>10614.980064225791</v>
      </c>
      <c r="F105" s="690">
        <f>IFERROR(D105*($B$15/(Main!$N$31+D105)),NA())</f>
        <v>2.5621506830599303</v>
      </c>
      <c r="G105" s="690">
        <f>IFERROR($B$16*($B$15/(Main!$N$31+D105)),NA())</f>
        <v>2.4378493169400697</v>
      </c>
      <c r="H105" s="664">
        <f t="shared" si="12"/>
        <v>65.261410332528612</v>
      </c>
      <c r="I105" s="691">
        <f t="shared" si="13"/>
        <v>2.4378493169400695E-4</v>
      </c>
      <c r="J105" s="690">
        <f>IFERROR(($B$15/(Main!$N$31+D105))^2*(Main!$N$31+D105)*1000,NA())</f>
        <v>1.2189246584700346</v>
      </c>
      <c r="K105" s="274">
        <f t="shared" si="14"/>
        <v>-1.0000000000000087</v>
      </c>
      <c r="L105" s="274">
        <f t="shared" si="11"/>
        <v>1.0000000000000087</v>
      </c>
      <c r="M105" s="271">
        <f t="shared" si="17"/>
        <v>7.7818754193570427E-3</v>
      </c>
      <c r="N105" s="692"/>
      <c r="O105" s="569">
        <v>32</v>
      </c>
      <c r="P105" s="697">
        <v>7636.7</v>
      </c>
      <c r="Q105" s="697">
        <v>7733.7</v>
      </c>
      <c r="R105" s="697">
        <v>7831.2</v>
      </c>
      <c r="S105" s="695">
        <f>IFERROR(Q105*($B$15/(Main!$N$31+Q105)),NA())</f>
        <v>2.1805094255569903</v>
      </c>
      <c r="T105" s="664">
        <f t="shared" si="18"/>
        <v>284.40000000000055</v>
      </c>
      <c r="U105" s="696">
        <f>IFERROR(($B$15/(Main!$N$31+Q105))^2*(Main!$N$31+Q105)*1000,NA())</f>
        <v>1.4097452872215051</v>
      </c>
      <c r="V105" s="274">
        <f t="shared" si="15"/>
        <v>-1.25425087603605</v>
      </c>
      <c r="W105" s="274">
        <f t="shared" si="16"/>
        <v>1.2607160867372669</v>
      </c>
      <c r="X105" s="271">
        <f t="shared" si="19"/>
        <v>4.4503200635560791E-2</v>
      </c>
      <c r="Y105" s="436"/>
      <c r="Z105" s="12"/>
      <c r="AA105" s="12"/>
      <c r="AB105" s="12"/>
      <c r="AM105" s="224"/>
      <c r="AN105" s="224"/>
      <c r="AO105" s="224"/>
      <c r="AP105" s="224"/>
      <c r="AQ105" s="179"/>
      <c r="AR105" s="224"/>
      <c r="AS105" s="224"/>
      <c r="AT105" s="224"/>
    </row>
    <row r="106" spans="1:46" ht="15.75" x14ac:dyDescent="0.25">
      <c r="A106" s="505">
        <v>74</v>
      </c>
      <c r="B106" s="506">
        <v>33</v>
      </c>
      <c r="C106" s="664">
        <f>IFERROR('Device Resistance Tables'!C93,NA())</f>
        <v>10469.708009899281</v>
      </c>
      <c r="D106" s="554">
        <f>IFERROR('Device Resistance Tables'!D93,NA())</f>
        <v>10575.4626362619</v>
      </c>
      <c r="E106" s="664">
        <f>IFERROR('Device Resistance Tables'!F93,NA())</f>
        <v>10681.217262624519</v>
      </c>
      <c r="F106" s="690">
        <f>IFERROR(D106*($B$15/(Main!$N$31+D106)),NA())</f>
        <v>2.569920983847978</v>
      </c>
      <c r="G106" s="690">
        <f>IFERROR($B$16*($B$15/(Main!$N$31+D106)),NA())</f>
        <v>2.4300790161520216</v>
      </c>
      <c r="H106" s="664">
        <f t="shared" si="12"/>
        <v>65.581384553197495</v>
      </c>
      <c r="I106" s="691">
        <f t="shared" si="13"/>
        <v>2.4300790161520212E-4</v>
      </c>
      <c r="J106" s="690">
        <f>IFERROR(($B$15/(Main!$N$31+D106))^2*(Main!$N$31+D106)*1000,NA())</f>
        <v>1.2150395080760108</v>
      </c>
      <c r="K106" s="274">
        <f t="shared" si="14"/>
        <v>-1.0000000000000009</v>
      </c>
      <c r="L106" s="274">
        <f t="shared" si="11"/>
        <v>1.0000000000000009</v>
      </c>
      <c r="M106" s="271">
        <f t="shared" si="17"/>
        <v>7.7703007880476349E-3</v>
      </c>
      <c r="N106" s="692"/>
      <c r="O106" s="569">
        <v>33</v>
      </c>
      <c r="P106" s="697">
        <v>7364.7</v>
      </c>
      <c r="Q106" s="697">
        <v>7460.9</v>
      </c>
      <c r="R106" s="697">
        <v>7557.6</v>
      </c>
      <c r="S106" s="695">
        <f>IFERROR(Q106*($B$15/(Main!$N$31+Q106)),NA())</f>
        <v>2.1364591744984507</v>
      </c>
      <c r="T106" s="664">
        <f t="shared" si="18"/>
        <v>272.80000000000018</v>
      </c>
      <c r="U106" s="696">
        <f>IFERROR(($B$15/(Main!$N$31+Q106))^2*(Main!$N$31+Q106)*1000,NA())</f>
        <v>1.4317704127507747</v>
      </c>
      <c r="V106" s="274">
        <f t="shared" si="15"/>
        <v>-1.2893886796499059</v>
      </c>
      <c r="W106" s="274">
        <f t="shared" si="16"/>
        <v>1.2960902840140027</v>
      </c>
      <c r="X106" s="271">
        <f t="shared" si="19"/>
        <v>4.4050251058539658E-2</v>
      </c>
      <c r="Y106" s="436"/>
      <c r="Z106" s="12"/>
      <c r="AA106" s="12"/>
      <c r="AB106" s="12"/>
      <c r="AM106" s="224"/>
      <c r="AN106" s="224"/>
      <c r="AO106" s="224"/>
      <c r="AP106" s="224"/>
      <c r="AQ106" s="179"/>
      <c r="AR106" s="224"/>
      <c r="AS106" s="224"/>
      <c r="AT106" s="224"/>
    </row>
    <row r="107" spans="1:46" ht="15.75" x14ac:dyDescent="0.25">
      <c r="A107" s="505">
        <v>75</v>
      </c>
      <c r="B107" s="506">
        <v>34</v>
      </c>
      <c r="C107" s="664">
        <f>IFERROR('Device Resistance Tables'!C94,NA())</f>
        <v>10534.950920798343</v>
      </c>
      <c r="D107" s="554">
        <f>IFERROR('Device Resistance Tables'!D94,NA())</f>
        <v>10641.364566462973</v>
      </c>
      <c r="E107" s="664">
        <f>IFERROR('Device Resistance Tables'!F94,NA())</f>
        <v>10747.778212127603</v>
      </c>
      <c r="F107" s="690">
        <f>IFERROR(D107*($B$15/(Main!$N$31+D107)),NA())</f>
        <v>2.5776795260310732</v>
      </c>
      <c r="G107" s="690">
        <f>IFERROR($B$16*($B$15/(Main!$N$31+D107)),NA())</f>
        <v>2.4223204739689268</v>
      </c>
      <c r="H107" s="664">
        <f t="shared" si="12"/>
        <v>65.901930201072901</v>
      </c>
      <c r="I107" s="691">
        <f t="shared" si="13"/>
        <v>2.4223204739689269E-4</v>
      </c>
      <c r="J107" s="690">
        <f>IFERROR(($B$15/(Main!$N$31+D107))^2*(Main!$N$31+D107)*1000,NA())</f>
        <v>1.2111602369844634</v>
      </c>
      <c r="K107" s="274">
        <f t="shared" si="14"/>
        <v>-1.0000000000000042</v>
      </c>
      <c r="L107" s="274">
        <f t="shared" si="11"/>
        <v>1.0000000000000042</v>
      </c>
      <c r="M107" s="271">
        <f t="shared" si="17"/>
        <v>7.7585421830952406E-3</v>
      </c>
      <c r="N107" s="692"/>
      <c r="O107" s="569">
        <v>34</v>
      </c>
      <c r="P107" s="697">
        <v>7103.8</v>
      </c>
      <c r="Q107" s="697">
        <v>7199.1</v>
      </c>
      <c r="R107" s="697">
        <v>7295.1</v>
      </c>
      <c r="S107" s="695">
        <f>IFERROR(Q107*($B$15/(Main!$N$31+Q107)),NA())</f>
        <v>2.0928711386060899</v>
      </c>
      <c r="T107" s="664">
        <f t="shared" si="18"/>
        <v>261.79999999999927</v>
      </c>
      <c r="U107" s="696">
        <f>IFERROR(($B$15/(Main!$N$31+Q107))^2*(Main!$N$31+Q107)*1000,NA())</f>
        <v>1.4535644306969551</v>
      </c>
      <c r="V107" s="274">
        <f t="shared" si="15"/>
        <v>-1.3237765831840116</v>
      </c>
      <c r="W107" s="274">
        <f t="shared" si="16"/>
        <v>1.3335000208359378</v>
      </c>
      <c r="X107" s="271">
        <f t="shared" si="19"/>
        <v>4.3588035892360821E-2</v>
      </c>
      <c r="Y107" s="436"/>
      <c r="Z107" s="12"/>
      <c r="AA107" s="12"/>
      <c r="AB107" s="12"/>
      <c r="AM107" s="224"/>
      <c r="AN107" s="224"/>
      <c r="AO107" s="224"/>
      <c r="AP107" s="224"/>
      <c r="AQ107" s="179"/>
      <c r="AR107" s="224"/>
      <c r="AS107" s="224"/>
      <c r="AT107" s="224"/>
    </row>
    <row r="108" spans="1:46" ht="15.75" x14ac:dyDescent="0.25">
      <c r="A108" s="505">
        <v>76</v>
      </c>
      <c r="B108" s="506">
        <v>35</v>
      </c>
      <c r="C108" s="664">
        <f>IFERROR('Device Resistance Tables'!C95,NA())</f>
        <v>10600.511746257409</v>
      </c>
      <c r="D108" s="554">
        <f>IFERROR('Device Resistance Tables'!D95,NA())</f>
        <v>10707.587622482231</v>
      </c>
      <c r="E108" s="664">
        <f>IFERROR('Device Resistance Tables'!F95,NA())</f>
        <v>10814.663498707054</v>
      </c>
      <c r="F108" s="690">
        <f>IFERROR(D108*($B$15/(Main!$N$31+D108)),NA())</f>
        <v>2.5854261292264198</v>
      </c>
      <c r="G108" s="690">
        <f>IFERROR($B$16*($B$15/(Main!$N$31+D108)),NA())</f>
        <v>2.4145738707735802</v>
      </c>
      <c r="H108" s="664">
        <f t="shared" si="12"/>
        <v>66.223056019258365</v>
      </c>
      <c r="I108" s="691">
        <f t="shared" si="13"/>
        <v>2.4145738707735803E-4</v>
      </c>
      <c r="J108" s="690">
        <f>IFERROR(($B$15/(Main!$N$31+D108))^2*(Main!$N$31+D108)*1000,NA())</f>
        <v>1.2072869353867903</v>
      </c>
      <c r="K108" s="274">
        <f t="shared" si="14"/>
        <v>-1.0000000000000011</v>
      </c>
      <c r="L108" s="274">
        <f t="shared" si="11"/>
        <v>1.0000000000000011</v>
      </c>
      <c r="M108" s="271">
        <f t="shared" si="17"/>
        <v>7.7466031953465908E-3</v>
      </c>
      <c r="N108" s="692"/>
      <c r="O108" s="569">
        <v>35</v>
      </c>
      <c r="P108" s="697">
        <v>6853.4</v>
      </c>
      <c r="Q108" s="697">
        <v>6947.9</v>
      </c>
      <c r="R108" s="697">
        <v>7043</v>
      </c>
      <c r="S108" s="695">
        <f>IFERROR(Q108*($B$15/(Main!$N$31+Q108)),NA())</f>
        <v>2.0497819788882397</v>
      </c>
      <c r="T108" s="664">
        <f t="shared" si="18"/>
        <v>251.20000000000073</v>
      </c>
      <c r="U108" s="696">
        <f>IFERROR(($B$15/(Main!$N$31+Q108))^2*(Main!$N$31+Q108)*1000,NA())</f>
        <v>1.47510901055588</v>
      </c>
      <c r="V108" s="274">
        <f t="shared" si="15"/>
        <v>-1.3601232026943393</v>
      </c>
      <c r="W108" s="274">
        <f t="shared" si="16"/>
        <v>1.3687589055685945</v>
      </c>
      <c r="X108" s="271">
        <f t="shared" si="19"/>
        <v>4.3089159717850212E-2</v>
      </c>
      <c r="Y108" s="436"/>
      <c r="Z108" s="12"/>
      <c r="AA108" s="12"/>
      <c r="AB108" s="12"/>
      <c r="AM108" s="224"/>
      <c r="AN108" s="224"/>
      <c r="AO108" s="224"/>
      <c r="AP108" s="224"/>
      <c r="AQ108" s="179"/>
      <c r="AR108" s="224"/>
      <c r="AS108" s="224"/>
      <c r="AT108" s="224"/>
    </row>
    <row r="109" spans="1:46" ht="15.75" x14ac:dyDescent="0.25">
      <c r="A109" s="505">
        <v>77</v>
      </c>
      <c r="B109" s="506">
        <v>36</v>
      </c>
      <c r="C109" s="664">
        <f>IFERROR('Device Resistance Tables'!C96,NA())</f>
        <v>10666.391069300736</v>
      </c>
      <c r="D109" s="554">
        <f>IFERROR('Device Resistance Tables'!D96,NA())</f>
        <v>10774.132393233067</v>
      </c>
      <c r="E109" s="664">
        <f>IFERROR('Device Resistance Tables'!F96,NA())</f>
        <v>10881.873717165397</v>
      </c>
      <c r="F109" s="690">
        <f>IFERROR(D109*($B$15/(Main!$N$31+D109)),NA())</f>
        <v>2.5931606165999539</v>
      </c>
      <c r="G109" s="690">
        <f>IFERROR($B$16*($B$15/(Main!$N$31+D109)),NA())</f>
        <v>2.4068393834000461</v>
      </c>
      <c r="H109" s="664">
        <f t="shared" si="12"/>
        <v>66.544770750835596</v>
      </c>
      <c r="I109" s="691">
        <f t="shared" si="13"/>
        <v>2.4068393834000463E-4</v>
      </c>
      <c r="J109" s="690">
        <f>IFERROR(($B$15/(Main!$N$31+D109))^2*(Main!$N$31+D109)*1000,NA())</f>
        <v>1.2034196917000231</v>
      </c>
      <c r="K109" s="274">
        <f t="shared" si="14"/>
        <v>-0.99999999999999833</v>
      </c>
      <c r="L109" s="274">
        <f t="shared" si="11"/>
        <v>0.99999999999999833</v>
      </c>
      <c r="M109" s="271">
        <f t="shared" si="17"/>
        <v>7.7344873735341046E-3</v>
      </c>
      <c r="N109" s="692"/>
      <c r="O109" s="569">
        <v>36</v>
      </c>
      <c r="P109" s="697">
        <v>6613.1</v>
      </c>
      <c r="Q109" s="697">
        <v>6706.7</v>
      </c>
      <c r="R109" s="697">
        <v>6800.9</v>
      </c>
      <c r="S109" s="695">
        <f>IFERROR(Q109*($B$15/(Main!$N$31+Q109)),NA())</f>
        <v>2.0071887326641407</v>
      </c>
      <c r="T109" s="664">
        <f t="shared" si="18"/>
        <v>241.19999999999982</v>
      </c>
      <c r="U109" s="696">
        <f>IFERROR(($B$15/(Main!$N$31+Q109))^2*(Main!$N$31+Q109)*1000,NA())</f>
        <v>1.4964056336679294</v>
      </c>
      <c r="V109" s="274">
        <f t="shared" si="15"/>
        <v>-1.3956193060670592</v>
      </c>
      <c r="W109" s="274">
        <f t="shared" si="16"/>
        <v>1.4045655836700586</v>
      </c>
      <c r="X109" s="271">
        <f t="shared" si="19"/>
        <v>4.2593246224098991E-2</v>
      </c>
      <c r="Y109" s="436"/>
      <c r="Z109" s="12"/>
      <c r="AA109" s="12"/>
      <c r="AB109" s="12"/>
      <c r="AM109" s="224"/>
      <c r="AN109" s="224"/>
      <c r="AO109" s="224"/>
      <c r="AP109" s="224"/>
      <c r="AQ109" s="179"/>
      <c r="AR109" s="224"/>
      <c r="AS109" s="224"/>
      <c r="AT109" s="224"/>
    </row>
    <row r="110" spans="1:46" ht="15.75" x14ac:dyDescent="0.25">
      <c r="A110" s="505">
        <v>78</v>
      </c>
      <c r="B110" s="506">
        <v>37</v>
      </c>
      <c r="C110" s="664">
        <f>IFERROR('Device Resistance Tables'!C97,NA())</f>
        <v>10732.589481608251</v>
      </c>
      <c r="D110" s="554">
        <f>IFERROR('Device Resistance Tables'!D97,NA())</f>
        <v>10840.999476371971</v>
      </c>
      <c r="E110" s="664">
        <f>IFERROR('Device Resistance Tables'!F97,NA())</f>
        <v>10949.409471135692</v>
      </c>
      <c r="F110" s="690">
        <f>IFERROR(D110*($B$15/(Main!$N$31+D110)),NA())</f>
        <v>2.6008828148243843</v>
      </c>
      <c r="G110" s="690">
        <f>IFERROR($B$16*($B$15/(Main!$N$31+D110)),NA())</f>
        <v>2.3991171851756152</v>
      </c>
      <c r="H110" s="664">
        <f t="shared" si="12"/>
        <v>66.867083138904491</v>
      </c>
      <c r="I110" s="691">
        <f t="shared" si="13"/>
        <v>2.3991171851756152E-4</v>
      </c>
      <c r="J110" s="690">
        <f>IFERROR(($B$15/(Main!$N$31+D110))^2*(Main!$N$31+D110)*1000,NA())</f>
        <v>1.1995585925878074</v>
      </c>
      <c r="K110" s="274">
        <f t="shared" si="14"/>
        <v>-1.0000000000000075</v>
      </c>
      <c r="L110" s="274">
        <f t="shared" si="11"/>
        <v>1.0000000000000075</v>
      </c>
      <c r="M110" s="271">
        <f t="shared" si="17"/>
        <v>7.7221982244304321E-3</v>
      </c>
      <c r="N110" s="692"/>
      <c r="O110" s="569">
        <v>37</v>
      </c>
      <c r="P110" s="697">
        <v>6382.5</v>
      </c>
      <c r="Q110" s="697">
        <v>6475.1</v>
      </c>
      <c r="R110" s="697">
        <v>6568.3</v>
      </c>
      <c r="S110" s="695">
        <f>IFERROR(Q110*($B$15/(Main!$N$31+Q110)),NA())</f>
        <v>1.965117055435172</v>
      </c>
      <c r="T110" s="664">
        <f t="shared" si="18"/>
        <v>231.59999999999945</v>
      </c>
      <c r="U110" s="696">
        <f>IFERROR(($B$15/(Main!$N$31+Q110))^2*(Main!$N$31+Q110)*1000,NA())</f>
        <v>1.5174414722824141</v>
      </c>
      <c r="V110" s="274">
        <f t="shared" si="15"/>
        <v>-1.4300937437259711</v>
      </c>
      <c r="W110" s="274">
        <f t="shared" si="16"/>
        <v>1.4393600098840145</v>
      </c>
      <c r="X110" s="271">
        <f t="shared" si="19"/>
        <v>4.2071677228968651E-2</v>
      </c>
      <c r="Y110" s="436"/>
      <c r="Z110" s="12"/>
      <c r="AA110" s="12"/>
      <c r="AB110" s="12"/>
      <c r="AM110" s="224"/>
      <c r="AN110" s="224"/>
      <c r="AO110" s="224"/>
      <c r="AP110" s="224"/>
      <c r="AQ110" s="179"/>
      <c r="AR110" s="224"/>
      <c r="AS110" s="224"/>
      <c r="AT110" s="224"/>
    </row>
    <row r="111" spans="1:46" ht="15.75" x14ac:dyDescent="0.25">
      <c r="A111" s="505">
        <v>79</v>
      </c>
      <c r="B111" s="506">
        <v>38</v>
      </c>
      <c r="C111" s="664">
        <f>IFERROR('Device Resistance Tables'!C98,NA())</f>
        <v>10799.107583515541</v>
      </c>
      <c r="D111" s="554">
        <f>IFERROR('Device Resistance Tables'!D98,NA())</f>
        <v>10908.189478298526</v>
      </c>
      <c r="E111" s="664">
        <f>IFERROR('Device Resistance Tables'!F98,NA())</f>
        <v>11017.27137308151</v>
      </c>
      <c r="F111" s="690">
        <f>IFERROR(D111*($B$15/(Main!$N$31+D111)),NA())</f>
        <v>2.6085925540373993</v>
      </c>
      <c r="G111" s="690">
        <f>IFERROR($B$16*($B$15/(Main!$N$31+D111)),NA())</f>
        <v>2.3914074459626007</v>
      </c>
      <c r="H111" s="664">
        <f t="shared" si="12"/>
        <v>67.190001926554032</v>
      </c>
      <c r="I111" s="691">
        <f t="shared" si="13"/>
        <v>2.391407445962601E-4</v>
      </c>
      <c r="J111" s="690">
        <f>IFERROR(($B$15/(Main!$N$31+D111))^2*(Main!$N$31+D111)*1000,NA())</f>
        <v>1.1957037229813003</v>
      </c>
      <c r="K111" s="274">
        <f t="shared" si="14"/>
        <v>-0.999999999999996</v>
      </c>
      <c r="L111" s="274">
        <f t="shared" si="11"/>
        <v>0.999999999999996</v>
      </c>
      <c r="M111" s="271">
        <f t="shared" si="17"/>
        <v>7.7097392130149878E-3</v>
      </c>
      <c r="N111" s="692"/>
      <c r="O111" s="569">
        <v>38</v>
      </c>
      <c r="P111" s="697">
        <v>6161.1</v>
      </c>
      <c r="Q111" s="697">
        <v>6252.6</v>
      </c>
      <c r="R111" s="697">
        <v>6344.9</v>
      </c>
      <c r="S111" s="695">
        <f>IFERROR(Q111*($B$15/(Main!$N$31+Q111)),NA())</f>
        <v>1.923569152012601</v>
      </c>
      <c r="T111" s="664">
        <f t="shared" si="18"/>
        <v>222.5</v>
      </c>
      <c r="U111" s="696">
        <f>IFERROR(($B$15/(Main!$N$31+Q111))^2*(Main!$N$31+Q111)*1000,NA())</f>
        <v>1.5382154239936994</v>
      </c>
      <c r="V111" s="274">
        <f t="shared" si="15"/>
        <v>-1.4633912292486324</v>
      </c>
      <c r="W111" s="274">
        <f t="shared" si="16"/>
        <v>1.4761859066628165</v>
      </c>
      <c r="X111" s="271">
        <f t="shared" si="19"/>
        <v>4.1547903422570975E-2</v>
      </c>
      <c r="Y111" s="436"/>
      <c r="Z111" s="12"/>
      <c r="AA111" s="12"/>
      <c r="AB111" s="12"/>
      <c r="AM111" s="224"/>
      <c r="AN111" s="224"/>
      <c r="AO111" s="224"/>
      <c r="AP111" s="224"/>
      <c r="AQ111" s="179"/>
      <c r="AR111" s="224"/>
      <c r="AS111" s="224"/>
      <c r="AT111" s="224"/>
    </row>
    <row r="112" spans="1:46" ht="15.75" x14ac:dyDescent="0.25">
      <c r="A112" s="505">
        <v>80</v>
      </c>
      <c r="B112" s="506">
        <v>39</v>
      </c>
      <c r="C112" s="664">
        <f>IFERROR('Device Resistance Tables'!C99,NA())</f>
        <v>10865.945984013844</v>
      </c>
      <c r="D112" s="554">
        <f>IFERROR('Device Resistance Tables'!D99,NA())</f>
        <v>10975.703014155399</v>
      </c>
      <c r="E112" s="664">
        <f>IFERROR('Device Resistance Tables'!F99,NA())</f>
        <v>11085.460044296953</v>
      </c>
      <c r="F112" s="690">
        <f>IFERROR(D112*($B$15/(Main!$N$31+D112)),NA())</f>
        <v>2.6162896678000434</v>
      </c>
      <c r="G112" s="690">
        <f>IFERROR($B$16*($B$15/(Main!$N$31+D112)),NA())</f>
        <v>2.3837103321999566</v>
      </c>
      <c r="H112" s="664">
        <f t="shared" si="12"/>
        <v>67.513535856873204</v>
      </c>
      <c r="I112" s="691">
        <f t="shared" si="13"/>
        <v>2.3837103321999568E-4</v>
      </c>
      <c r="J112" s="690">
        <f>IFERROR(($B$15/(Main!$N$31+D112))^2*(Main!$N$31+D112)*1000,NA())</f>
        <v>1.1918551660999783</v>
      </c>
      <c r="K112" s="274">
        <f t="shared" si="14"/>
        <v>-1.000000000000004</v>
      </c>
      <c r="L112" s="274">
        <f t="shared" si="11"/>
        <v>1.000000000000004</v>
      </c>
      <c r="M112" s="271">
        <f t="shared" si="17"/>
        <v>7.6971137626440367E-3</v>
      </c>
      <c r="N112" s="692"/>
      <c r="O112" s="569">
        <v>39</v>
      </c>
      <c r="P112" s="697">
        <v>5948.5</v>
      </c>
      <c r="Q112" s="697">
        <v>6039</v>
      </c>
      <c r="R112" s="697">
        <v>6130.2</v>
      </c>
      <c r="S112" s="695">
        <f>IFERROR(Q112*($B$15/(Main!$N$31+Q112)),NA())</f>
        <v>1.8825986657522289</v>
      </c>
      <c r="T112" s="664">
        <f t="shared" si="18"/>
        <v>213.60000000000036</v>
      </c>
      <c r="U112" s="696">
        <f>IFERROR(($B$15/(Main!$N$31+Q112))^2*(Main!$N$31+Q112)*1000,NA())</f>
        <v>1.5587006671238854</v>
      </c>
      <c r="V112" s="274">
        <f t="shared" si="15"/>
        <v>-1.4985924821990395</v>
      </c>
      <c r="W112" s="274">
        <f t="shared" si="16"/>
        <v>1.5101838052657695</v>
      </c>
      <c r="X112" s="271">
        <f t="shared" si="19"/>
        <v>4.0970486260372141E-2</v>
      </c>
      <c r="Y112" s="436"/>
      <c r="Z112" s="12"/>
      <c r="AA112" s="12"/>
      <c r="AB112" s="12"/>
      <c r="AM112" s="224"/>
      <c r="AN112" s="224"/>
      <c r="AO112" s="224"/>
      <c r="AP112" s="224"/>
      <c r="AQ112" s="179"/>
      <c r="AR112" s="224"/>
      <c r="AS112" s="224"/>
      <c r="AT112" s="224"/>
    </row>
    <row r="113" spans="1:46" ht="15.75" x14ac:dyDescent="0.25">
      <c r="A113" s="505">
        <v>81</v>
      </c>
      <c r="B113" s="506">
        <v>40</v>
      </c>
      <c r="C113" s="664">
        <f>IFERROR('Device Resistance Tables'!C100,NA())</f>
        <v>10933.105300750083</v>
      </c>
      <c r="D113" s="554">
        <f>IFERROR('Device Resistance Tables'!D100,NA())</f>
        <v>11043.540707828366</v>
      </c>
      <c r="E113" s="664">
        <f>IFERROR('Device Resistance Tables'!F100,NA())</f>
        <v>11153.976114906649</v>
      </c>
      <c r="F113" s="690">
        <f>IFERROR(D113*($B$15/(Main!$N$31+D113)),NA())</f>
        <v>2.6239739930552846</v>
      </c>
      <c r="G113" s="690">
        <f>IFERROR($B$16*($B$15/(Main!$N$31+D113)),NA())</f>
        <v>2.376026006944715</v>
      </c>
      <c r="H113" s="664">
        <f t="shared" si="12"/>
        <v>67.837693672967362</v>
      </c>
      <c r="I113" s="691">
        <f t="shared" si="13"/>
        <v>2.3760260069447152E-4</v>
      </c>
      <c r="J113" s="690">
        <f>IFERROR(($B$15/(Main!$N$31+D113))^2*(Main!$N$31+D113)*1000,NA())</f>
        <v>1.1880130034723577</v>
      </c>
      <c r="K113" s="274">
        <f t="shared" si="14"/>
        <v>-0.99999999999999289</v>
      </c>
      <c r="L113" s="274">
        <f t="shared" si="11"/>
        <v>0.99999999999999289</v>
      </c>
      <c r="M113" s="271">
        <f t="shared" si="17"/>
        <v>7.6843252552412089E-3</v>
      </c>
      <c r="N113" s="692"/>
      <c r="O113" s="569">
        <v>40</v>
      </c>
      <c r="P113" s="697">
        <v>5744.3</v>
      </c>
      <c r="Q113" s="697">
        <v>5833.6</v>
      </c>
      <c r="R113" s="697">
        <v>5923.8</v>
      </c>
      <c r="S113" s="695">
        <f>IFERROR(Q113*($B$15/(Main!$N$31+Q113)),NA())</f>
        <v>1.8421584478577204</v>
      </c>
      <c r="T113" s="664">
        <f t="shared" si="18"/>
        <v>205.39999999999964</v>
      </c>
      <c r="U113" s="696">
        <f>IFERROR(($B$15/(Main!$N$31+Q113))^2*(Main!$N$31+Q113)*1000,NA())</f>
        <v>1.5789207760711399</v>
      </c>
      <c r="V113" s="274">
        <f t="shared" si="15"/>
        <v>-1.5307871640153623</v>
      </c>
      <c r="W113" s="274">
        <f t="shared" si="16"/>
        <v>1.5462150301700461</v>
      </c>
      <c r="X113" s="271">
        <f t="shared" si="19"/>
        <v>4.0440217894508468E-2</v>
      </c>
      <c r="Y113" s="436"/>
      <c r="Z113" s="12"/>
      <c r="AA113" s="12"/>
      <c r="AB113" s="12"/>
      <c r="AM113" s="224"/>
      <c r="AN113" s="224"/>
      <c r="AO113" s="224"/>
      <c r="AP113" s="224"/>
      <c r="AQ113" s="179"/>
      <c r="AR113" s="224"/>
      <c r="AS113" s="224"/>
      <c r="AT113" s="224"/>
    </row>
    <row r="114" spans="1:46" ht="15.75" x14ac:dyDescent="0.25">
      <c r="A114" s="505">
        <v>82</v>
      </c>
      <c r="B114" s="506">
        <v>41</v>
      </c>
      <c r="C114" s="664">
        <f>IFERROR('Device Resistance Tables'!C101,NA())</f>
        <v>11000.586160026814</v>
      </c>
      <c r="D114" s="554">
        <f>IFERROR('Device Resistance Tables'!D101,NA())</f>
        <v>11111.703191946277</v>
      </c>
      <c r="E114" s="664">
        <f>IFERROR('Device Resistance Tables'!F101,NA())</f>
        <v>11222.82022386574</v>
      </c>
      <c r="F114" s="690">
        <f>IFERROR(D114*($B$15/(Main!$N$31+D114)),NA())</f>
        <v>2.6316453700867646</v>
      </c>
      <c r="G114" s="690">
        <f>IFERROR($B$16*($B$15/(Main!$N$31+D114)),NA())</f>
        <v>2.3683546299132359</v>
      </c>
      <c r="H114" s="664">
        <f t="shared" si="12"/>
        <v>68.162484117910935</v>
      </c>
      <c r="I114" s="691">
        <f t="shared" si="13"/>
        <v>2.3683546299132358E-4</v>
      </c>
      <c r="J114" s="690">
        <f>IFERROR(($B$15/(Main!$N$31+D114))^2*(Main!$N$31+D114)*1000,NA())</f>
        <v>1.1841773149566179</v>
      </c>
      <c r="K114" s="274">
        <f t="shared" si="14"/>
        <v>-0.99999999999999789</v>
      </c>
      <c r="L114" s="274">
        <f t="shared" si="11"/>
        <v>0.99999999999999789</v>
      </c>
      <c r="M114" s="271">
        <f t="shared" si="17"/>
        <v>7.67137703148002E-3</v>
      </c>
      <c r="N114" s="692"/>
      <c r="O114" s="569">
        <v>41</v>
      </c>
      <c r="P114" s="697">
        <v>5547.4</v>
      </c>
      <c r="Q114" s="697">
        <v>5635.7</v>
      </c>
      <c r="R114" s="697">
        <v>5724.8</v>
      </c>
      <c r="S114" s="695">
        <f>IFERROR(Q114*($B$15/(Main!$N$31+Q114)),NA())</f>
        <v>1.8021898603836093</v>
      </c>
      <c r="T114" s="664">
        <f t="shared" si="18"/>
        <v>197.90000000000055</v>
      </c>
      <c r="U114" s="696">
        <f>IFERROR(($B$15/(Main!$N$31+Q114))^2*(Main!$N$31+Q114)*1000,NA())</f>
        <v>1.5989050698081955</v>
      </c>
      <c r="V114" s="274">
        <f t="shared" si="15"/>
        <v>-1.5667973809819578</v>
      </c>
      <c r="W114" s="274">
        <f t="shared" si="16"/>
        <v>1.5809926007417068</v>
      </c>
      <c r="X114" s="271">
        <f t="shared" si="19"/>
        <v>3.9968587474111139E-2</v>
      </c>
      <c r="Y114" s="436"/>
      <c r="Z114" s="12"/>
      <c r="AA114" s="12"/>
      <c r="AB114" s="12"/>
      <c r="AM114" s="224"/>
      <c r="AN114" s="224"/>
      <c r="AO114" s="224"/>
      <c r="AP114" s="224"/>
      <c r="AQ114" s="179"/>
      <c r="AR114" s="224"/>
      <c r="AS114" s="224"/>
      <c r="AT114" s="224"/>
    </row>
    <row r="115" spans="1:46" ht="15.75" x14ac:dyDescent="0.25">
      <c r="A115" s="505">
        <v>83</v>
      </c>
      <c r="B115" s="506">
        <v>42</v>
      </c>
      <c r="C115" s="664">
        <f>IFERROR('Device Resistance Tables'!C102,NA())</f>
        <v>11068.389196802271</v>
      </c>
      <c r="D115" s="554">
        <f>IFERROR('Device Resistance Tables'!D102,NA())</f>
        <v>11180.191107881083</v>
      </c>
      <c r="E115" s="664">
        <f>IFERROR('Device Resistance Tables'!F102,NA())</f>
        <v>11291.993018959894</v>
      </c>
      <c r="F115" s="690">
        <f>IFERROR(D115*($B$15/(Main!$N$31+D115)),NA())</f>
        <v>2.639303642477751</v>
      </c>
      <c r="G115" s="690">
        <f>IFERROR($B$16*($B$15/(Main!$N$31+D115)),NA())</f>
        <v>2.360696357522249</v>
      </c>
      <c r="H115" s="664">
        <f t="shared" si="12"/>
        <v>68.487915934805642</v>
      </c>
      <c r="I115" s="691">
        <f t="shared" si="13"/>
        <v>2.3606963575222489E-4</v>
      </c>
      <c r="J115" s="690">
        <f>IFERROR(($B$15/(Main!$N$31+D115))^2*(Main!$N$31+D115)*1000,NA())</f>
        <v>1.1803481787611245</v>
      </c>
      <c r="K115" s="274">
        <f t="shared" si="14"/>
        <v>-1.0000000000000089</v>
      </c>
      <c r="L115" s="274">
        <f t="shared" si="11"/>
        <v>1.0000000000000089</v>
      </c>
      <c r="M115" s="271">
        <f t="shared" si="17"/>
        <v>7.6582723909863759E-3</v>
      </c>
      <c r="N115" s="692"/>
      <c r="O115" s="569">
        <v>42</v>
      </c>
      <c r="P115" s="697">
        <v>5358.2</v>
      </c>
      <c r="Q115" s="697">
        <v>5445.4</v>
      </c>
      <c r="R115" s="697">
        <v>5533.3</v>
      </c>
      <c r="S115" s="695">
        <f>IFERROR(Q115*($B$15/(Main!$N$31+Q115)),NA())</f>
        <v>1.7627902158571485</v>
      </c>
      <c r="T115" s="664">
        <f t="shared" si="18"/>
        <v>190.30000000000018</v>
      </c>
      <c r="U115" s="696">
        <f>IFERROR(($B$15/(Main!$N$31+Q115))^2*(Main!$N$31+Q115)*1000,NA())</f>
        <v>1.6186048920714262</v>
      </c>
      <c r="V115" s="274">
        <f t="shared" si="15"/>
        <v>-1.6013515995151839</v>
      </c>
      <c r="W115" s="274">
        <f t="shared" si="16"/>
        <v>1.6142064862085532</v>
      </c>
      <c r="X115" s="271">
        <f t="shared" si="19"/>
        <v>3.9399644526460831E-2</v>
      </c>
      <c r="Y115" s="436"/>
      <c r="Z115" s="12"/>
      <c r="AA115" s="12"/>
      <c r="AB115" s="12"/>
      <c r="AM115" s="224"/>
      <c r="AN115" s="224"/>
      <c r="AO115" s="224"/>
      <c r="AP115" s="224"/>
      <c r="AQ115" s="179"/>
      <c r="AR115" s="224"/>
      <c r="AS115" s="224"/>
      <c r="AT115" s="224"/>
    </row>
    <row r="116" spans="1:46" ht="15.75" x14ac:dyDescent="0.25">
      <c r="A116" s="505">
        <v>84</v>
      </c>
      <c r="B116" s="506">
        <v>43</v>
      </c>
      <c r="C116" s="664">
        <f>IFERROR('Device Resistance Tables'!C103,NA())</f>
        <v>11136.515054690353</v>
      </c>
      <c r="D116" s="554">
        <f>IFERROR('Device Resistance Tables'!D103,NA())</f>
        <v>11249.005105747832</v>
      </c>
      <c r="E116" s="664">
        <f>IFERROR('Device Resistance Tables'!F103,NA())</f>
        <v>11361.495156805311</v>
      </c>
      <c r="F116" s="690">
        <f>IFERROR(D116*($B$15/(Main!$N$31+D116)),NA())</f>
        <v>2.6469486570702991</v>
      </c>
      <c r="G116" s="690">
        <f>IFERROR($B$16*($B$15/(Main!$N$31+D116)),NA())</f>
        <v>2.3530513429297004</v>
      </c>
      <c r="H116" s="664">
        <f t="shared" si="12"/>
        <v>68.81399786674956</v>
      </c>
      <c r="I116" s="691">
        <f t="shared" si="13"/>
        <v>2.3530513429297003E-4</v>
      </c>
      <c r="J116" s="690">
        <f>IFERROR(($B$15/(Main!$N$31+D116))^2*(Main!$N$31+D116)*1000,NA())</f>
        <v>1.1765256714648502</v>
      </c>
      <c r="K116" s="274">
        <f t="shared" si="14"/>
        <v>-1.0000000000000053</v>
      </c>
      <c r="L116" s="274">
        <f t="shared" si="11"/>
        <v>1.0000000000000053</v>
      </c>
      <c r="M116" s="271">
        <f t="shared" si="17"/>
        <v>7.6450145925481827E-3</v>
      </c>
      <c r="N116" s="692"/>
      <c r="O116" s="569">
        <v>43</v>
      </c>
      <c r="P116" s="697">
        <v>5176.3999999999996</v>
      </c>
      <c r="Q116" s="697">
        <v>5262.3</v>
      </c>
      <c r="R116" s="697">
        <v>5349.2</v>
      </c>
      <c r="S116" s="695">
        <f>IFERROR(Q116*($B$15/(Main!$N$31+Q116)),NA())</f>
        <v>1.7239537946443197</v>
      </c>
      <c r="T116" s="664">
        <f t="shared" si="18"/>
        <v>183.09999999999945</v>
      </c>
      <c r="U116" s="696">
        <f>IFERROR(($B$15/(Main!$N$31+Q116))^2*(Main!$N$31+Q116)*1000,NA())</f>
        <v>1.6380231026778402</v>
      </c>
      <c r="V116" s="274">
        <f t="shared" si="15"/>
        <v>-1.6323660756703446</v>
      </c>
      <c r="W116" s="274">
        <f t="shared" si="16"/>
        <v>1.6513691731752205</v>
      </c>
      <c r="X116" s="271">
        <f t="shared" si="19"/>
        <v>3.8836421212828709E-2</v>
      </c>
      <c r="Y116" s="436"/>
      <c r="Z116" s="12"/>
      <c r="AA116" s="12"/>
      <c r="AB116" s="12"/>
      <c r="AM116" s="224"/>
      <c r="AN116" s="224"/>
      <c r="AO116" s="224"/>
      <c r="AP116" s="224"/>
      <c r="AQ116" s="179"/>
      <c r="AR116" s="224"/>
      <c r="AS116" s="224"/>
      <c r="AT116" s="224"/>
    </row>
    <row r="117" spans="1:46" ht="15.75" x14ac:dyDescent="0.25">
      <c r="A117" s="505">
        <v>85</v>
      </c>
      <c r="B117" s="506">
        <v>44</v>
      </c>
      <c r="C117" s="664">
        <f>IFERROR('Device Resistance Tables'!C104,NA())</f>
        <v>11204.964385960609</v>
      </c>
      <c r="D117" s="554">
        <f>IFERROR('Device Resistance Tables'!D104,NA())</f>
        <v>11318.145844404657</v>
      </c>
      <c r="E117" s="664">
        <f>IFERROR('Device Resistance Tables'!F104,NA())</f>
        <v>11431.327302848704</v>
      </c>
      <c r="F117" s="690">
        <f>IFERROR(D117*($B$15/(Main!$N$31+D117)),NA())</f>
        <v>2.6545802639246214</v>
      </c>
      <c r="G117" s="690">
        <f>IFERROR($B$16*($B$15/(Main!$N$31+D117)),NA())</f>
        <v>2.3454197360753786</v>
      </c>
      <c r="H117" s="664">
        <f t="shared" si="12"/>
        <v>69.140738656824396</v>
      </c>
      <c r="I117" s="691">
        <f t="shared" si="13"/>
        <v>2.3454197360753788E-4</v>
      </c>
      <c r="J117" s="690">
        <f>IFERROR(($B$15/(Main!$N$31+D117))^2*(Main!$N$31+D117)*1000,NA())</f>
        <v>1.1727098680376893</v>
      </c>
      <c r="K117" s="274">
        <f t="shared" si="14"/>
        <v>-1.0000000000000053</v>
      </c>
      <c r="L117" s="274">
        <f t="shared" si="11"/>
        <v>1.0000000000000053</v>
      </c>
      <c r="M117" s="271">
        <f t="shared" si="17"/>
        <v>7.6316068543222926E-3</v>
      </c>
      <c r="N117" s="692"/>
      <c r="O117" s="569">
        <v>44</v>
      </c>
      <c r="P117" s="697">
        <v>5001.5</v>
      </c>
      <c r="Q117" s="697">
        <v>5086.3</v>
      </c>
      <c r="R117" s="697">
        <v>5172</v>
      </c>
      <c r="S117" s="695">
        <f>IFERROR(Q117*($B$15/(Main!$N$31+Q117)),NA())</f>
        <v>1.6857347394656079</v>
      </c>
      <c r="T117" s="664">
        <f t="shared" si="18"/>
        <v>176</v>
      </c>
      <c r="U117" s="696">
        <f>IFERROR(($B$15/(Main!$N$31+Q117))^2*(Main!$N$31+Q117)*1000,NA())</f>
        <v>1.6571326302671958</v>
      </c>
      <c r="V117" s="274">
        <f t="shared" si="15"/>
        <v>-1.6672237186166796</v>
      </c>
      <c r="W117" s="274">
        <f t="shared" si="16"/>
        <v>1.6849183099699157</v>
      </c>
      <c r="X117" s="271">
        <f t="shared" si="19"/>
        <v>3.8219055178711825E-2</v>
      </c>
      <c r="Y117" s="436"/>
      <c r="Z117" s="12"/>
      <c r="AA117" s="12"/>
      <c r="AB117" s="12"/>
      <c r="AM117" s="224"/>
      <c r="AN117" s="224"/>
      <c r="AO117" s="224"/>
      <c r="AP117" s="224"/>
      <c r="AQ117" s="179"/>
      <c r="AR117" s="224"/>
      <c r="AS117" s="224"/>
      <c r="AT117" s="224"/>
    </row>
    <row r="118" spans="1:46" ht="15.75" x14ac:dyDescent="0.25">
      <c r="A118" s="505">
        <v>86</v>
      </c>
      <c r="B118" s="506">
        <v>45</v>
      </c>
      <c r="C118" s="664">
        <f>IFERROR('Device Resistance Tables'!C105,NA())</f>
        <v>11273.737851538255</v>
      </c>
      <c r="D118" s="554">
        <f>IFERROR('Device Resistance Tables'!D105,NA())</f>
        <v>11387.613991452783</v>
      </c>
      <c r="E118" s="664">
        <f>IFERROR('Device Resistance Tables'!F105,NA())</f>
        <v>11501.490131367311</v>
      </c>
      <c r="F118" s="690">
        <f>IFERROR(D118*($B$15/(Main!$N$31+D118)),NA())</f>
        <v>2.6621983162786793</v>
      </c>
      <c r="G118" s="690">
        <f>IFERROR($B$16*($B$15/(Main!$N$31+D118)),NA())</f>
        <v>2.3378016837213211</v>
      </c>
      <c r="H118" s="664">
        <f t="shared" si="12"/>
        <v>69.468147048126411</v>
      </c>
      <c r="I118" s="691">
        <f t="shared" si="13"/>
        <v>2.3378016837213213E-4</v>
      </c>
      <c r="J118" s="690">
        <f>IFERROR(($B$15/(Main!$N$31+D118))^2*(Main!$N$31+D118)*1000,NA())</f>
        <v>1.1689008418606606</v>
      </c>
      <c r="K118" s="274">
        <f t="shared" si="14"/>
        <v>-0.99999999999999989</v>
      </c>
      <c r="L118" s="274">
        <f t="shared" si="11"/>
        <v>0.99999999999999989</v>
      </c>
      <c r="M118" s="271">
        <f t="shared" si="17"/>
        <v>7.6180523540578804E-3</v>
      </c>
      <c r="N118" s="692"/>
      <c r="O118" s="569">
        <v>45</v>
      </c>
      <c r="P118" s="697">
        <v>4833.3</v>
      </c>
      <c r="Q118" s="697">
        <v>4916.8999999999996</v>
      </c>
      <c r="R118" s="697">
        <v>5001.5</v>
      </c>
      <c r="S118" s="695">
        <f>IFERROR(Q118*($B$15/(Main!$N$31+Q118)),NA())</f>
        <v>1.6480971247377136</v>
      </c>
      <c r="T118" s="664">
        <f t="shared" si="18"/>
        <v>169.40000000000055</v>
      </c>
      <c r="U118" s="696">
        <f>IFERROR(($B$15/(Main!$N$31+Q118))^2*(Main!$N$31+Q118)*1000,NA())</f>
        <v>1.6759514376311433</v>
      </c>
      <c r="V118" s="274">
        <f t="shared" si="15"/>
        <v>-1.7002582928267702</v>
      </c>
      <c r="W118" s="274">
        <f t="shared" si="16"/>
        <v>1.7205963106835684</v>
      </c>
      <c r="X118" s="271">
        <f t="shared" si="19"/>
        <v>3.7637614727894286E-2</v>
      </c>
      <c r="Y118" s="436"/>
      <c r="Z118" s="12"/>
      <c r="AA118" s="12"/>
      <c r="AB118" s="12"/>
      <c r="AM118" s="224"/>
      <c r="AN118" s="224"/>
      <c r="AO118" s="224"/>
      <c r="AP118" s="224"/>
      <c r="AQ118" s="179"/>
      <c r="AR118" s="224"/>
      <c r="AS118" s="224"/>
      <c r="AT118" s="224"/>
    </row>
    <row r="119" spans="1:46" ht="15.75" x14ac:dyDescent="0.25">
      <c r="A119" s="505">
        <v>87</v>
      </c>
      <c r="B119" s="506">
        <v>46</v>
      </c>
      <c r="C119" s="664">
        <f>IFERROR('Device Resistance Tables'!C106,NA())</f>
        <v>11342.836121004168</v>
      </c>
      <c r="D119" s="554">
        <f>IFERROR('Device Resistance Tables'!D106,NA())</f>
        <v>11457.410223236533</v>
      </c>
      <c r="E119" s="664">
        <f>IFERROR('Device Resistance Tables'!F106,NA())</f>
        <v>11571.984325468899</v>
      </c>
      <c r="F119" s="690">
        <f>IFERROR(D119*($B$15/(Main!$N$31+D119)),NA())</f>
        <v>2.6698026705080049</v>
      </c>
      <c r="G119" s="690">
        <f>IFERROR($B$16*($B$15/(Main!$N$31+D119)),NA())</f>
        <v>2.3301973294919951</v>
      </c>
      <c r="H119" s="664">
        <f t="shared" si="12"/>
        <v>69.796231783750045</v>
      </c>
      <c r="I119" s="691">
        <f t="shared" si="13"/>
        <v>2.3301973294919949E-4</v>
      </c>
      <c r="J119" s="690">
        <f>IFERROR(($B$15/(Main!$N$31+D119))^2*(Main!$N$31+D119)*1000,NA())</f>
        <v>1.1650986647459975</v>
      </c>
      <c r="K119" s="274">
        <f t="shared" si="14"/>
        <v>-1.0000000000000013</v>
      </c>
      <c r="L119" s="274">
        <f t="shared" si="11"/>
        <v>1.0000000000000013</v>
      </c>
      <c r="M119" s="271">
        <f t="shared" si="17"/>
        <v>7.6043542293255939E-3</v>
      </c>
      <c r="N119" s="692"/>
      <c r="O119" s="569">
        <v>46</v>
      </c>
      <c r="P119" s="697">
        <v>4671.5</v>
      </c>
      <c r="Q119" s="697">
        <v>4753.8999999999996</v>
      </c>
      <c r="R119" s="697">
        <v>4837.3</v>
      </c>
      <c r="S119" s="695">
        <f>IFERROR(Q119*($B$15/(Main!$N$31+Q119)),NA())</f>
        <v>1.6110655487701555</v>
      </c>
      <c r="T119" s="664">
        <f t="shared" si="18"/>
        <v>163</v>
      </c>
      <c r="U119" s="696">
        <f>IFERROR(($B$15/(Main!$N$31+Q119))^2*(Main!$N$31+Q119)*1000,NA())</f>
        <v>1.694467225614922</v>
      </c>
      <c r="V119" s="274">
        <f t="shared" si="15"/>
        <v>-1.7333137003302475</v>
      </c>
      <c r="W119" s="274">
        <f t="shared" si="16"/>
        <v>1.7543490607711678</v>
      </c>
      <c r="X119" s="271">
        <f t="shared" si="19"/>
        <v>3.7031575967558128E-2</v>
      </c>
      <c r="Y119" s="436"/>
      <c r="Z119" s="12"/>
      <c r="AA119" s="12"/>
      <c r="AB119" s="12"/>
      <c r="AM119" s="224"/>
      <c r="AN119" s="224"/>
      <c r="AO119" s="224"/>
      <c r="AP119" s="224"/>
      <c r="AQ119" s="179"/>
      <c r="AR119" s="224"/>
      <c r="AS119" s="224"/>
      <c r="AT119" s="224"/>
    </row>
    <row r="120" spans="1:46" ht="15.75" x14ac:dyDescent="0.25">
      <c r="A120" s="505">
        <v>88</v>
      </c>
      <c r="B120" s="506">
        <v>47</v>
      </c>
      <c r="C120" s="664">
        <f>IFERROR('Device Resistance Tables'!C107,NA())</f>
        <v>11412.259872594886</v>
      </c>
      <c r="D120" s="554">
        <f>IFERROR('Device Resistance Tables'!D107,NA())</f>
        <v>11527.535224843319</v>
      </c>
      <c r="E120" s="664">
        <f>IFERROR('Device Resistance Tables'!F107,NA())</f>
        <v>11642.810577091752</v>
      </c>
      <c r="F120" s="690">
        <f>IFERROR(D120*($B$15/(Main!$N$31+D120)),NA())</f>
        <v>2.677393186085756</v>
      </c>
      <c r="G120" s="690">
        <f>IFERROR($B$16*($B$15/(Main!$N$31+D120)),NA())</f>
        <v>2.322606813914244</v>
      </c>
      <c r="H120" s="664">
        <f t="shared" si="12"/>
        <v>70.1250016067861</v>
      </c>
      <c r="I120" s="691">
        <f t="shared" si="13"/>
        <v>2.3226068139142441E-4</v>
      </c>
      <c r="J120" s="690">
        <f>IFERROR(($B$15/(Main!$N$31+D120))^2*(Main!$N$31+D120)*1000,NA())</f>
        <v>1.161303406957122</v>
      </c>
      <c r="K120" s="274">
        <f t="shared" si="14"/>
        <v>-0.99999999999999556</v>
      </c>
      <c r="L120" s="274">
        <f t="shared" si="11"/>
        <v>0.99999999999999556</v>
      </c>
      <c r="M120" s="271">
        <f t="shared" si="17"/>
        <v>7.5905155777511446E-3</v>
      </c>
      <c r="N120" s="692"/>
      <c r="O120" s="569">
        <v>47</v>
      </c>
      <c r="P120" s="697">
        <v>4515.8999999999996</v>
      </c>
      <c r="Q120" s="697">
        <v>4597.1000000000004</v>
      </c>
      <c r="R120" s="697">
        <v>4679.3</v>
      </c>
      <c r="S120" s="695">
        <f>IFERROR(Q120*($B$15/(Main!$N$31+Q120)),NA())</f>
        <v>1.5746620904152195</v>
      </c>
      <c r="T120" s="664">
        <f t="shared" si="18"/>
        <v>156.79999999999927</v>
      </c>
      <c r="U120" s="696">
        <f>IFERROR(($B$15/(Main!$N$31+Q120))^2*(Main!$N$31+Q120)*1000,NA())</f>
        <v>1.7126689547923901</v>
      </c>
      <c r="V120" s="274">
        <f t="shared" si="15"/>
        <v>-1.7663309477714366</v>
      </c>
      <c r="W120" s="274">
        <f t="shared" si="16"/>
        <v>1.7880837919557941</v>
      </c>
      <c r="X120" s="271">
        <f t="shared" si="19"/>
        <v>3.6403458354935969E-2</v>
      </c>
      <c r="Y120" s="436"/>
      <c r="Z120" s="12"/>
      <c r="AA120" s="12"/>
      <c r="AB120" s="12"/>
      <c r="AM120" s="224"/>
      <c r="AN120" s="224"/>
      <c r="AO120" s="224"/>
      <c r="AP120" s="224"/>
      <c r="AQ120" s="179"/>
      <c r="AR120" s="224"/>
      <c r="AS120" s="224"/>
      <c r="AT120" s="224"/>
    </row>
    <row r="121" spans="1:46" ht="15.75" x14ac:dyDescent="0.25">
      <c r="A121" s="505">
        <v>89</v>
      </c>
      <c r="B121" s="506">
        <v>48</v>
      </c>
      <c r="C121" s="664">
        <f>IFERROR('Device Resistance Tables'!C108,NA())</f>
        <v>11482.009793202604</v>
      </c>
      <c r="D121" s="554">
        <f>IFERROR('Device Resistance Tables'!D108,NA())</f>
        <v>11597.989690103641</v>
      </c>
      <c r="E121" s="664">
        <f>IFERROR('Device Resistance Tables'!F108,NA())</f>
        <v>11713.969587004678</v>
      </c>
      <c r="F121" s="690">
        <f>IFERROR(D121*($B$15/(Main!$N$31+D121)),NA())</f>
        <v>2.6849697255430041</v>
      </c>
      <c r="G121" s="690">
        <f>IFERROR($B$16*($B$15/(Main!$N$31+D121)),NA())</f>
        <v>2.3150302744569959</v>
      </c>
      <c r="H121" s="664">
        <f t="shared" si="12"/>
        <v>70.45446526032174</v>
      </c>
      <c r="I121" s="691">
        <f t="shared" si="13"/>
        <v>2.3150302744569959E-4</v>
      </c>
      <c r="J121" s="690">
        <f>IFERROR(($B$15/(Main!$N$31+D121))^2*(Main!$N$31+D121)*1000,NA())</f>
        <v>1.157515137228498</v>
      </c>
      <c r="K121" s="274">
        <f t="shared" si="14"/>
        <v>-1.0000000000000062</v>
      </c>
      <c r="L121" s="274">
        <f t="shared" si="11"/>
        <v>1.0000000000000062</v>
      </c>
      <c r="M121" s="271">
        <f t="shared" si="17"/>
        <v>7.5765394572480105E-3</v>
      </c>
      <c r="N121" s="692"/>
      <c r="O121" s="569">
        <v>48</v>
      </c>
      <c r="P121" s="697">
        <v>4366.1000000000004</v>
      </c>
      <c r="Q121" s="697">
        <v>4446.1000000000004</v>
      </c>
      <c r="R121" s="697">
        <v>4527.1000000000004</v>
      </c>
      <c r="S121" s="695">
        <f>IFERROR(Q121*($B$15/(Main!$N$31+Q121)),NA())</f>
        <v>1.538858238555735</v>
      </c>
      <c r="T121" s="664">
        <f t="shared" si="18"/>
        <v>151</v>
      </c>
      <c r="U121" s="696">
        <f>IFERROR(($B$15/(Main!$N$31+Q121))^2*(Main!$N$31+Q121)*1000,NA())</f>
        <v>1.7305708807221327</v>
      </c>
      <c r="V121" s="274">
        <f t="shared" si="15"/>
        <v>-1.7993297496682485</v>
      </c>
      <c r="W121" s="274">
        <f t="shared" si="16"/>
        <v>1.8218213715391014</v>
      </c>
      <c r="X121" s="271">
        <f t="shared" si="19"/>
        <v>3.5803851859484537E-2</v>
      </c>
      <c r="Y121" s="436"/>
      <c r="Z121" s="12"/>
      <c r="AA121" s="12"/>
      <c r="AB121" s="12"/>
      <c r="AM121" s="224"/>
      <c r="AN121" s="224"/>
      <c r="AO121" s="224"/>
      <c r="AP121" s="224"/>
      <c r="AQ121" s="179"/>
      <c r="AR121" s="224"/>
      <c r="AS121" s="224"/>
      <c r="AT121" s="224"/>
    </row>
    <row r="122" spans="1:46" ht="15.75" x14ac:dyDescent="0.25">
      <c r="A122" s="505">
        <v>90</v>
      </c>
      <c r="B122" s="506">
        <v>49</v>
      </c>
      <c r="C122" s="664">
        <f>IFERROR('Device Resistance Tables'!C109,NA())</f>
        <v>11552.086578375191</v>
      </c>
      <c r="D122" s="554">
        <f>IFERROR('Device Resistance Tables'!D109,NA())</f>
        <v>11668.774321591101</v>
      </c>
      <c r="E122" s="664">
        <f>IFERROR('Device Resistance Tables'!F109,NA())</f>
        <v>11785.462064807012</v>
      </c>
      <c r="F122" s="690">
        <f>IFERROR(D122*($B$15/(Main!$N$31+D122)),NA())</f>
        <v>2.6925321544292782</v>
      </c>
      <c r="G122" s="690">
        <f>IFERROR($B$16*($B$15/(Main!$N$31+D122)),NA())</f>
        <v>2.3074678455707218</v>
      </c>
      <c r="H122" s="664">
        <f t="shared" si="12"/>
        <v>70.784631487460501</v>
      </c>
      <c r="I122" s="691">
        <f t="shared" si="13"/>
        <v>2.3074678455707221E-4</v>
      </c>
      <c r="J122" s="690">
        <f>IFERROR(($B$15/(Main!$N$31+D122))^2*(Main!$N$31+D122)*1000,NA())</f>
        <v>1.1537339227853611</v>
      </c>
      <c r="K122" s="274">
        <f t="shared" si="14"/>
        <v>-0.99999999999999833</v>
      </c>
      <c r="L122" s="274">
        <f t="shared" si="11"/>
        <v>0.99999999999999833</v>
      </c>
      <c r="M122" s="271">
        <f t="shared" si="17"/>
        <v>7.5624288862741196E-3</v>
      </c>
      <c r="N122" s="692"/>
      <c r="O122" s="569">
        <v>49</v>
      </c>
      <c r="P122" s="697">
        <v>4222</v>
      </c>
      <c r="Q122" s="697">
        <v>4300.8</v>
      </c>
      <c r="R122" s="697">
        <v>4380.6000000000004</v>
      </c>
      <c r="S122" s="695">
        <f>IFERROR(Q122*($B$15/(Main!$N$31+Q122)),NA())</f>
        <v>1.503692101141195</v>
      </c>
      <c r="T122" s="664">
        <f t="shared" si="18"/>
        <v>145.30000000000018</v>
      </c>
      <c r="U122" s="696">
        <f>IFERROR(($B$15/(Main!$N$31+Q122))^2*(Main!$N$31+Q122)*1000,NA())</f>
        <v>1.7481539494294027</v>
      </c>
      <c r="V122" s="274">
        <f t="shared" si="15"/>
        <v>-1.8322172619047661</v>
      </c>
      <c r="W122" s="274">
        <f t="shared" si="16"/>
        <v>1.8554687500000042</v>
      </c>
      <c r="X122" s="271">
        <f t="shared" si="19"/>
        <v>3.516613741454E-2</v>
      </c>
      <c r="Y122" s="436"/>
      <c r="Z122" s="12"/>
      <c r="AA122" s="12"/>
      <c r="AB122" s="12"/>
      <c r="AM122" s="224"/>
      <c r="AN122" s="224"/>
      <c r="AO122" s="224"/>
      <c r="AP122" s="224"/>
      <c r="AQ122" s="179"/>
      <c r="AR122" s="224"/>
      <c r="AS122" s="224"/>
      <c r="AT122" s="224"/>
    </row>
    <row r="123" spans="1:46" ht="15.75" x14ac:dyDescent="0.25">
      <c r="A123" s="505">
        <v>91</v>
      </c>
      <c r="B123" s="506">
        <v>50</v>
      </c>
      <c r="C123" s="664">
        <f>IFERROR('Device Resistance Tables'!C110,NA())</f>
        <v>11622.490932316163</v>
      </c>
      <c r="D123" s="554">
        <f>IFERROR('Device Resistance Tables'!D110,NA())</f>
        <v>11739.889830622387</v>
      </c>
      <c r="E123" s="664">
        <f>IFERROR('Device Resistance Tables'!F110,NA())</f>
        <v>11857.288728928612</v>
      </c>
      <c r="F123" s="690">
        <f>IFERROR(D123*($B$15/(Main!$N$31+D123)),NA())</f>
        <v>2.7000803412733507</v>
      </c>
      <c r="G123" s="690">
        <f>IFERROR($B$16*($B$15/(Main!$N$31+D123)),NA())</f>
        <v>2.2999196587266497</v>
      </c>
      <c r="H123" s="664">
        <f t="shared" si="12"/>
        <v>71.11550903128591</v>
      </c>
      <c r="I123" s="691">
        <f t="shared" si="13"/>
        <v>2.2999196587266497E-4</v>
      </c>
      <c r="J123" s="690">
        <f>IFERROR(($B$15/(Main!$N$31+D123))^2*(Main!$N$31+D123)*1000,NA())</f>
        <v>1.1499598293633249</v>
      </c>
      <c r="K123" s="274">
        <f t="shared" si="14"/>
        <v>-1.0000000000000053</v>
      </c>
      <c r="L123" s="274">
        <f t="shared" si="11"/>
        <v>1.0000000000000053</v>
      </c>
      <c r="M123" s="271">
        <f t="shared" si="17"/>
        <v>7.5481868440725464E-3</v>
      </c>
      <c r="N123" s="692"/>
      <c r="O123" s="569">
        <v>50</v>
      </c>
      <c r="P123" s="697">
        <v>4083.3</v>
      </c>
      <c r="Q123" s="697">
        <v>4160.8999999999996</v>
      </c>
      <c r="R123" s="697">
        <v>4239.5</v>
      </c>
      <c r="S123" s="695">
        <f>IFERROR(Q123*($B$15/(Main!$N$31+Q123)),NA())</f>
        <v>1.4691509720427374</v>
      </c>
      <c r="T123" s="664">
        <f t="shared" si="18"/>
        <v>139.90000000000055</v>
      </c>
      <c r="U123" s="696">
        <f>IFERROR(($B$15/(Main!$N$31+Q123))^2*(Main!$N$31+Q123)*1000,NA())</f>
        <v>1.7654245139786315</v>
      </c>
      <c r="V123" s="274">
        <f t="shared" si="15"/>
        <v>-1.8649811338892899</v>
      </c>
      <c r="W123" s="274">
        <f t="shared" si="16"/>
        <v>1.8890143959239676</v>
      </c>
      <c r="X123" s="271">
        <f t="shared" si="19"/>
        <v>3.4541129098457635E-2</v>
      </c>
      <c r="Y123" s="436"/>
      <c r="Z123" s="12"/>
      <c r="AA123" s="12"/>
      <c r="AB123" s="12"/>
      <c r="AM123" s="224"/>
      <c r="AN123" s="224"/>
      <c r="AO123" s="224"/>
      <c r="AP123" s="224"/>
      <c r="AQ123" s="179"/>
      <c r="AR123" s="224"/>
      <c r="AS123" s="224"/>
      <c r="AT123" s="224"/>
    </row>
    <row r="124" spans="1:46" ht="15.75" x14ac:dyDescent="0.25">
      <c r="A124" s="505">
        <v>92</v>
      </c>
      <c r="B124" s="506">
        <v>51</v>
      </c>
      <c r="C124" s="664">
        <f>IFERROR('Device Resistance Tables'!C111,NA())</f>
        <v>11693.22356788471</v>
      </c>
      <c r="D124" s="554">
        <f>IFERROR('Device Resistance Tables'!D111,NA())</f>
        <v>11811.336937257283</v>
      </c>
      <c r="E124" s="664">
        <f>IFERROR('Device Resistance Tables'!F111,NA())</f>
        <v>11929.450306629857</v>
      </c>
      <c r="F124" s="690">
        <f>IFERROR(D124*($B$15/(Main!$N$31+D124)),NA())</f>
        <v>2.7076141575442843</v>
      </c>
      <c r="G124" s="690">
        <f>IFERROR($B$16*($B$15/(Main!$N$31+D124)),NA())</f>
        <v>2.2923858424557149</v>
      </c>
      <c r="H124" s="664">
        <f t="shared" si="12"/>
        <v>71.447106634896045</v>
      </c>
      <c r="I124" s="691">
        <f t="shared" si="13"/>
        <v>2.2923858424557151E-4</v>
      </c>
      <c r="J124" s="690">
        <f>IFERROR(($B$15/(Main!$N$31+D124))^2*(Main!$N$31+D124)*1000,NA())</f>
        <v>1.1461929212278574</v>
      </c>
      <c r="K124" s="274">
        <f t="shared" si="14"/>
        <v>-1.0000000000000038</v>
      </c>
      <c r="L124" s="274">
        <f t="shared" si="11"/>
        <v>1.0000000000000038</v>
      </c>
      <c r="M124" s="271">
        <f t="shared" si="17"/>
        <v>7.5338162709335244E-3</v>
      </c>
      <c r="N124" s="692"/>
      <c r="O124" s="569">
        <v>51</v>
      </c>
      <c r="P124" s="697">
        <v>3949.8</v>
      </c>
      <c r="Q124" s="697">
        <v>4026.2</v>
      </c>
      <c r="R124" s="697">
        <v>4103.6000000000004</v>
      </c>
      <c r="S124" s="695">
        <f>IFERROR(Q124*($B$15/(Main!$N$31+Q124)),NA())</f>
        <v>1.4352426173874604</v>
      </c>
      <c r="T124" s="664">
        <f t="shared" si="18"/>
        <v>134.69999999999982</v>
      </c>
      <c r="U124" s="696">
        <f>IFERROR(($B$15/(Main!$N$31+Q124))^2*(Main!$N$31+Q124)*1000,NA())</f>
        <v>1.7823786913062694</v>
      </c>
      <c r="V124" s="274">
        <f t="shared" si="15"/>
        <v>-1.8975709105359804</v>
      </c>
      <c r="W124" s="274">
        <f t="shared" si="16"/>
        <v>1.9224082261189348</v>
      </c>
      <c r="X124" s="271">
        <f t="shared" si="19"/>
        <v>3.3908354655276973E-2</v>
      </c>
      <c r="Y124" s="436"/>
      <c r="Z124" s="12"/>
      <c r="AA124" s="12"/>
      <c r="AB124" s="12"/>
      <c r="AM124" s="224"/>
      <c r="AN124" s="224"/>
      <c r="AO124" s="224"/>
      <c r="AP124" s="224"/>
      <c r="AQ124" s="179"/>
      <c r="AR124" s="224"/>
      <c r="AS124" s="224"/>
      <c r="AT124" s="224"/>
    </row>
    <row r="125" spans="1:46" ht="15.75" x14ac:dyDescent="0.25">
      <c r="A125" s="505">
        <v>93</v>
      </c>
      <c r="B125" s="506">
        <v>52</v>
      </c>
      <c r="C125" s="664">
        <f>IFERROR('Device Resistance Tables'!C112,NA())</f>
        <v>11764.28520659567</v>
      </c>
      <c r="D125" s="554">
        <f>IFERROR('Device Resistance Tables'!D112,NA())</f>
        <v>11883.116370298658</v>
      </c>
      <c r="E125" s="664">
        <f>IFERROR('Device Resistance Tables'!F112,NA())</f>
        <v>12001.947534001645</v>
      </c>
      <c r="F125" s="690">
        <f>IFERROR(D125*($B$15/(Main!$N$31+D125)),NA())</f>
        <v>2.7151334776127403</v>
      </c>
      <c r="G125" s="690">
        <f>IFERROR($B$16*($B$15/(Main!$N$31+D125)),NA())</f>
        <v>2.2848665223872593</v>
      </c>
      <c r="H125" s="664">
        <f t="shared" si="12"/>
        <v>71.779433041374432</v>
      </c>
      <c r="I125" s="691">
        <f t="shared" si="13"/>
        <v>2.2848665223872591E-4</v>
      </c>
      <c r="J125" s="690">
        <f>IFERROR(($B$15/(Main!$N$31+D125))^2*(Main!$N$31+D125)*1000,NA())</f>
        <v>1.1424332611936294</v>
      </c>
      <c r="K125" s="274">
        <f t="shared" si="14"/>
        <v>-1.0000000000000069</v>
      </c>
      <c r="L125" s="274">
        <f t="shared" si="11"/>
        <v>1.0000000000000069</v>
      </c>
      <c r="M125" s="271">
        <f t="shared" si="17"/>
        <v>7.5193200684560146E-3</v>
      </c>
      <c r="N125" s="692"/>
      <c r="O125" s="569">
        <v>52</v>
      </c>
      <c r="P125" s="697">
        <v>3821.3</v>
      </c>
      <c r="Q125" s="697">
        <v>3896.4</v>
      </c>
      <c r="R125" s="697">
        <v>3972.7</v>
      </c>
      <c r="S125" s="695">
        <f>IFERROR(Q125*($B$15/(Main!$N$31+Q125)),NA())</f>
        <v>1.4019458276963819</v>
      </c>
      <c r="T125" s="664">
        <f t="shared" si="18"/>
        <v>129.79999999999973</v>
      </c>
      <c r="U125" s="696">
        <f>IFERROR(($B$15/(Main!$N$31+Q125))^2*(Main!$N$31+Q125)*1000,NA())</f>
        <v>1.7990270861518094</v>
      </c>
      <c r="V125" s="274">
        <f t="shared" si="15"/>
        <v>-1.9274201827327766</v>
      </c>
      <c r="W125" s="274">
        <f t="shared" si="16"/>
        <v>1.9582178421106593</v>
      </c>
      <c r="X125" s="271">
        <f t="shared" si="19"/>
        <v>3.3296789691078521E-2</v>
      </c>
      <c r="Y125" s="436"/>
      <c r="Z125" s="12"/>
      <c r="AA125" s="12"/>
      <c r="AB125" s="12"/>
      <c r="AM125" s="224"/>
      <c r="AN125" s="224"/>
      <c r="AO125" s="224"/>
      <c r="AP125" s="224"/>
      <c r="AQ125" s="179"/>
      <c r="AR125" s="224"/>
      <c r="AS125" s="224"/>
      <c r="AT125" s="224"/>
    </row>
    <row r="126" spans="1:46" ht="15.75" x14ac:dyDescent="0.25">
      <c r="A126" s="505">
        <v>94</v>
      </c>
      <c r="B126" s="506">
        <v>53</v>
      </c>
      <c r="C126" s="664">
        <f>IFERROR('Device Resistance Tables'!C113,NA())</f>
        <v>11835.676578619557</v>
      </c>
      <c r="D126" s="554">
        <f>IFERROR('Device Resistance Tables'!D113,NA())</f>
        <v>11955.228867292482</v>
      </c>
      <c r="E126" s="664">
        <f>IFERROR('Device Resistance Tables'!F113,NA())</f>
        <v>12074.781155965407</v>
      </c>
      <c r="F126" s="690">
        <f>IFERROR(D126*($B$15/(Main!$N$31+D126)),NA())</f>
        <v>2.72263817871255</v>
      </c>
      <c r="G126" s="690">
        <f>IFERROR($B$16*($B$15/(Main!$N$31+D126)),NA())</f>
        <v>2.2773618212874496</v>
      </c>
      <c r="H126" s="664">
        <f t="shared" si="12"/>
        <v>72.112496993824607</v>
      </c>
      <c r="I126" s="691">
        <f t="shared" si="13"/>
        <v>2.2773618212874495E-4</v>
      </c>
      <c r="J126" s="690">
        <f>IFERROR(($B$15/(Main!$N$31+D126))^2*(Main!$N$31+D126)*1000,NA())</f>
        <v>1.1386809106437248</v>
      </c>
      <c r="K126" s="274">
        <f t="shared" si="14"/>
        <v>-1.0000000000000013</v>
      </c>
      <c r="L126" s="274">
        <f t="shared" si="11"/>
        <v>1.0000000000000013</v>
      </c>
      <c r="M126" s="271">
        <f t="shared" si="17"/>
        <v>7.5047010998097186E-3</v>
      </c>
      <c r="N126" s="692"/>
      <c r="O126" s="569">
        <v>53</v>
      </c>
      <c r="P126" s="697">
        <v>3697.5</v>
      </c>
      <c r="Q126" s="697">
        <v>3771.4</v>
      </c>
      <c r="R126" s="697">
        <v>3846.5</v>
      </c>
      <c r="S126" s="695">
        <f>IFERROR(Q126*($B$15/(Main!$N$31+Q126)),NA())</f>
        <v>1.3692870732096956</v>
      </c>
      <c r="T126" s="664">
        <f t="shared" si="18"/>
        <v>125</v>
      </c>
      <c r="U126" s="696">
        <f>IFERROR(($B$15/(Main!$N$31+Q126))^2*(Main!$N$31+Q126)*1000,NA())</f>
        <v>1.815356463395152</v>
      </c>
      <c r="V126" s="274">
        <f t="shared" si="15"/>
        <v>-1.9594845415495596</v>
      </c>
      <c r="W126" s="274">
        <f t="shared" si="16"/>
        <v>1.9913029644163946</v>
      </c>
      <c r="X126" s="271">
        <f t="shared" si="19"/>
        <v>3.2658754486686314E-2</v>
      </c>
      <c r="Y126" s="436"/>
      <c r="Z126" s="12"/>
      <c r="AA126" s="12"/>
      <c r="AB126" s="12"/>
      <c r="AM126" s="224"/>
      <c r="AN126" s="224"/>
      <c r="AO126" s="224"/>
      <c r="AP126" s="224"/>
      <c r="AQ126" s="179"/>
      <c r="AR126" s="224"/>
      <c r="AS126" s="224"/>
      <c r="AT126" s="224"/>
    </row>
    <row r="127" spans="1:46" ht="15.75" x14ac:dyDescent="0.25">
      <c r="A127" s="505">
        <v>95</v>
      </c>
      <c r="B127" s="506">
        <v>54</v>
      </c>
      <c r="C127" s="664">
        <f>IFERROR('Device Resistance Tables'!C114,NA())</f>
        <v>11907.398422782537</v>
      </c>
      <c r="D127" s="554">
        <f>IFERROR('Device Resistance Tables'!D114,NA())</f>
        <v>12027.675174527814</v>
      </c>
      <c r="E127" s="664">
        <f>IFERROR('Device Resistance Tables'!F114,NA())</f>
        <v>12147.951926273092</v>
      </c>
      <c r="F127" s="690">
        <f>IFERROR(D127*($B$15/(Main!$N$31+D127)),NA())</f>
        <v>2.7301281409025586</v>
      </c>
      <c r="G127" s="690">
        <f>IFERROR($B$16*($B$15/(Main!$N$31+D127)),NA())</f>
        <v>2.2698718590974409</v>
      </c>
      <c r="H127" s="664">
        <f t="shared" si="12"/>
        <v>72.446307235331915</v>
      </c>
      <c r="I127" s="691">
        <f t="shared" si="13"/>
        <v>2.2698718590974409E-4</v>
      </c>
      <c r="J127" s="690">
        <f>IFERROR(($B$15/(Main!$N$31+D127))^2*(Main!$N$31+D127)*1000,NA())</f>
        <v>1.1349359295487205</v>
      </c>
      <c r="K127" s="274">
        <f t="shared" si="14"/>
        <v>-0.99999999999999534</v>
      </c>
      <c r="L127" s="274">
        <f t="shared" si="11"/>
        <v>0.99999999999999534</v>
      </c>
      <c r="M127" s="271">
        <f t="shared" si="17"/>
        <v>7.4899621900086366E-3</v>
      </c>
      <c r="N127" s="692"/>
      <c r="O127" s="569">
        <v>54</v>
      </c>
      <c r="P127" s="697">
        <v>3578.3</v>
      </c>
      <c r="Q127" s="697">
        <v>3651</v>
      </c>
      <c r="R127" s="697">
        <v>3724.9</v>
      </c>
      <c r="S127" s="695">
        <f>IFERROR(Q127*($B$15/(Main!$N$31+Q127)),NA())</f>
        <v>1.3372646692549996</v>
      </c>
      <c r="T127" s="664">
        <f t="shared" si="18"/>
        <v>120.40000000000009</v>
      </c>
      <c r="U127" s="696">
        <f>IFERROR(($B$15/(Main!$N$31+Q127))^2*(Main!$N$31+Q127)*1000,NA())</f>
        <v>1.8313676653725002</v>
      </c>
      <c r="V127" s="274">
        <f t="shared" si="15"/>
        <v>-1.991235278006021</v>
      </c>
      <c r="W127" s="274">
        <f t="shared" si="16"/>
        <v>2.0241029854834318</v>
      </c>
      <c r="X127" s="271">
        <f t="shared" si="19"/>
        <v>3.202240395469591E-2</v>
      </c>
      <c r="Y127" s="436"/>
      <c r="Z127" s="12"/>
      <c r="AA127" s="12"/>
      <c r="AB127" s="12"/>
      <c r="AM127" s="224"/>
      <c r="AN127" s="224"/>
      <c r="AO127" s="224"/>
      <c r="AP127" s="224"/>
      <c r="AQ127" s="179"/>
      <c r="AR127" s="224"/>
      <c r="AS127" s="224"/>
      <c r="AT127" s="224"/>
    </row>
    <row r="128" spans="1:46" ht="15.75" x14ac:dyDescent="0.25">
      <c r="A128" s="505">
        <v>96</v>
      </c>
      <c r="B128" s="506">
        <v>55</v>
      </c>
      <c r="C128" s="664">
        <f>IFERROR('Device Resistance Tables'!C115,NA())</f>
        <v>11979.451486566433</v>
      </c>
      <c r="D128" s="554">
        <f>IFERROR('Device Resistance Tables'!D115,NA())</f>
        <v>12100.456047036801</v>
      </c>
      <c r="E128" s="664">
        <f>IFERROR('Device Resistance Tables'!F115,NA())</f>
        <v>12221.46060750717</v>
      </c>
      <c r="F128" s="690">
        <f>IFERROR(D128*($B$15/(Main!$N$31+D128)),NA())</f>
        <v>2.737603247028745</v>
      </c>
      <c r="G128" s="690">
        <f>IFERROR($B$16*($B$15/(Main!$N$31+D128)),NA())</f>
        <v>2.2623967529712554</v>
      </c>
      <c r="H128" s="664">
        <f t="shared" si="12"/>
        <v>72.780872508987159</v>
      </c>
      <c r="I128" s="691">
        <f t="shared" si="13"/>
        <v>2.2623967529712552E-4</v>
      </c>
      <c r="J128" s="690">
        <f>IFERROR(($B$15/(Main!$N$31+D128))^2*(Main!$N$31+D128)*1000,NA())</f>
        <v>1.1311983764856277</v>
      </c>
      <c r="K128" s="274">
        <f t="shared" si="14"/>
        <v>-1.0000000000000018</v>
      </c>
      <c r="L128" s="274">
        <f t="shared" si="11"/>
        <v>1.0000000000000018</v>
      </c>
      <c r="M128" s="271">
        <f t="shared" si="17"/>
        <v>7.4751061261864038E-3</v>
      </c>
      <c r="N128" s="692"/>
      <c r="O128" s="569">
        <v>55</v>
      </c>
      <c r="P128" s="697">
        <v>3463.4</v>
      </c>
      <c r="Q128" s="697">
        <v>3535</v>
      </c>
      <c r="R128" s="697">
        <v>3607.6</v>
      </c>
      <c r="S128" s="695">
        <f>IFERROR(Q128*($B$15/(Main!$N$31+Q128)),NA())</f>
        <v>1.3058736608792021</v>
      </c>
      <c r="T128" s="664">
        <f t="shared" si="18"/>
        <v>116</v>
      </c>
      <c r="U128" s="696">
        <f>IFERROR(($B$15/(Main!$N$31+Q128))^2*(Main!$N$31+Q128)*1000,NA())</f>
        <v>1.8470631695603987</v>
      </c>
      <c r="V128" s="274">
        <f t="shared" si="15"/>
        <v>-2.025459688826023</v>
      </c>
      <c r="W128" s="274">
        <f t="shared" si="16"/>
        <v>2.0537482319660514</v>
      </c>
      <c r="X128" s="271">
        <f t="shared" si="19"/>
        <v>3.1391008375797558E-2</v>
      </c>
      <c r="Y128" s="436"/>
      <c r="Z128" s="12"/>
      <c r="AA128" s="12"/>
      <c r="AB128" s="12"/>
      <c r="AM128" s="224"/>
      <c r="AN128" s="224"/>
      <c r="AO128" s="224"/>
      <c r="AP128" s="224"/>
      <c r="AQ128" s="179"/>
      <c r="AR128" s="224"/>
      <c r="AS128" s="224"/>
      <c r="AT128" s="224"/>
    </row>
    <row r="129" spans="1:46" ht="15.75" x14ac:dyDescent="0.25">
      <c r="A129" s="505">
        <v>97</v>
      </c>
      <c r="B129" s="506">
        <v>56</v>
      </c>
      <c r="C129" s="664">
        <f>IFERROR('Device Resistance Tables'!C116,NA())</f>
        <v>12051.836526108742</v>
      </c>
      <c r="D129" s="554">
        <f>IFERROR('Device Resistance Tables'!D116,NA())</f>
        <v>12173.572248594688</v>
      </c>
      <c r="E129" s="664">
        <f>IFERROR('Device Resistance Tables'!F116,NA())</f>
        <v>12295.307971080634</v>
      </c>
      <c r="F129" s="690">
        <f>IFERROR(D129*($B$15/(Main!$N$31+D129)),NA())</f>
        <v>2.7450633826866171</v>
      </c>
      <c r="G129" s="690">
        <f>IFERROR($B$16*($B$15/(Main!$N$31+D129)),NA())</f>
        <v>2.2549366173133825</v>
      </c>
      <c r="H129" s="664">
        <f t="shared" si="12"/>
        <v>73.116201557886598</v>
      </c>
      <c r="I129" s="691">
        <f t="shared" si="13"/>
        <v>2.2549366173133824E-4</v>
      </c>
      <c r="J129" s="690">
        <f>IFERROR(($B$15/(Main!$N$31+D129))^2*(Main!$N$31+D129)*1000,NA())</f>
        <v>1.127468308656691</v>
      </c>
      <c r="K129" s="274">
        <f t="shared" si="14"/>
        <v>-0.99999999999999356</v>
      </c>
      <c r="L129" s="274">
        <f t="shared" ref="L129:L160" si="20">IFERROR(((E129-D129)/D129)*100,NA())</f>
        <v>0.99999999999999356</v>
      </c>
      <c r="M129" s="271">
        <f t="shared" si="17"/>
        <v>7.460135657872069E-3</v>
      </c>
      <c r="N129" s="692"/>
      <c r="O129" s="569">
        <v>56</v>
      </c>
      <c r="P129" s="697">
        <v>3352.7</v>
      </c>
      <c r="Q129" s="697">
        <v>3423.1</v>
      </c>
      <c r="R129" s="697">
        <v>3494.6</v>
      </c>
      <c r="S129" s="695">
        <f>IFERROR(Q129*($B$15/(Main!$N$31+Q129)),NA())</f>
        <v>1.2750780371151222</v>
      </c>
      <c r="T129" s="664">
        <f t="shared" si="18"/>
        <v>111.90000000000009</v>
      </c>
      <c r="U129" s="696">
        <f>IFERROR(($B$15/(Main!$N$31+Q129))^2*(Main!$N$31+Q129)*1000,NA())</f>
        <v>1.8624609814424387</v>
      </c>
      <c r="V129" s="274">
        <f t="shared" si="15"/>
        <v>-2.0566153486605736</v>
      </c>
      <c r="W129" s="274">
        <f t="shared" si="16"/>
        <v>2.0887499634833921</v>
      </c>
      <c r="X129" s="271">
        <f t="shared" si="19"/>
        <v>3.0795623764079849E-2</v>
      </c>
      <c r="Y129" s="436"/>
      <c r="Z129" s="12"/>
      <c r="AA129" s="12"/>
      <c r="AB129" s="12"/>
      <c r="AM129" s="224"/>
      <c r="AN129" s="224"/>
      <c r="AO129" s="224"/>
      <c r="AP129" s="224"/>
      <c r="AQ129" s="179"/>
      <c r="AR129" s="224"/>
      <c r="AS129" s="224"/>
      <c r="AT129" s="224"/>
    </row>
    <row r="130" spans="1:46" ht="15.75" x14ac:dyDescent="0.25">
      <c r="A130" s="505">
        <v>98</v>
      </c>
      <c r="B130" s="506">
        <v>57</v>
      </c>
      <c r="C130" s="664">
        <f>IFERROR('Device Resistance Tables'!C117,NA())</f>
        <v>12124.554306202617</v>
      </c>
      <c r="D130" s="554">
        <f>IFERROR('Device Resistance Tables'!D117,NA())</f>
        <v>12247.024551719816</v>
      </c>
      <c r="E130" s="664">
        <f>IFERROR('Device Resistance Tables'!F117,NA())</f>
        <v>12369.494797237016</v>
      </c>
      <c r="F130" s="690">
        <f>IFERROR(D130*($B$15/(Main!$N$31+D130)),NA())</f>
        <v>2.7525084361838976</v>
      </c>
      <c r="G130" s="690">
        <f>IFERROR($B$16*($B$15/(Main!$N$31+D130)),NA())</f>
        <v>2.2474915638161028</v>
      </c>
      <c r="H130" s="664">
        <f t="shared" ref="H130:H161" si="21">IFERROR(D130-D129,NA())</f>
        <v>73.45230312512831</v>
      </c>
      <c r="I130" s="691">
        <f t="shared" si="13"/>
        <v>2.247491563816103E-4</v>
      </c>
      <c r="J130" s="690">
        <f>IFERROR(($B$15/(Main!$N$31+D130))^2*(Main!$N$31+D130)*1000,NA())</f>
        <v>1.1237457819080514</v>
      </c>
      <c r="K130" s="274">
        <f t="shared" si="14"/>
        <v>-1.000000000000008</v>
      </c>
      <c r="L130" s="274">
        <f t="shared" si="20"/>
        <v>1.000000000000008</v>
      </c>
      <c r="M130" s="271">
        <f t="shared" si="17"/>
        <v>7.4450534972805293E-3</v>
      </c>
      <c r="N130" s="692"/>
      <c r="O130" s="569">
        <v>57</v>
      </c>
      <c r="P130" s="697">
        <v>3246.1</v>
      </c>
      <c r="Q130" s="697">
        <v>3315.2</v>
      </c>
      <c r="R130" s="697">
        <v>3385.6</v>
      </c>
      <c r="S130" s="695">
        <f>IFERROR(Q130*($B$15/(Main!$N$31+Q130)),NA())</f>
        <v>1.2448930545541936</v>
      </c>
      <c r="T130" s="664">
        <f t="shared" si="18"/>
        <v>107.90000000000009</v>
      </c>
      <c r="U130" s="696">
        <f>IFERROR(($B$15/(Main!$N$31+Q130))^2*(Main!$N$31+Q130)*1000,NA())</f>
        <v>1.8775534727229031</v>
      </c>
      <c r="V130" s="274">
        <f t="shared" si="15"/>
        <v>-2.0843388030888006</v>
      </c>
      <c r="W130" s="274">
        <f t="shared" si="16"/>
        <v>2.1235521235521264</v>
      </c>
      <c r="X130" s="271">
        <f t="shared" si="19"/>
        <v>3.0184982560928608E-2</v>
      </c>
      <c r="Y130" s="436"/>
      <c r="Z130" s="12"/>
      <c r="AA130" s="12"/>
      <c r="AB130" s="12"/>
      <c r="AM130" s="224"/>
      <c r="AN130" s="224"/>
      <c r="AO130" s="224"/>
      <c r="AP130" s="224"/>
      <c r="AQ130" s="179"/>
      <c r="AR130" s="224"/>
      <c r="AS130" s="224"/>
      <c r="AT130" s="224"/>
    </row>
    <row r="131" spans="1:46" ht="15.75" x14ac:dyDescent="0.25">
      <c r="A131" s="505">
        <v>99</v>
      </c>
      <c r="B131" s="506">
        <v>58</v>
      </c>
      <c r="C131" s="664">
        <f>IFERROR('Device Resistance Tables'!C118,NA())</f>
        <v>12197.605600296869</v>
      </c>
      <c r="D131" s="554">
        <f>IFERROR('Device Resistance Tables'!D118,NA())</f>
        <v>12320.813737673605</v>
      </c>
      <c r="E131" s="664">
        <f>IFERROR('Device Resistance Tables'!F118,NA())</f>
        <v>12444.021875050341</v>
      </c>
      <c r="F131" s="690">
        <f>IFERROR(D131*($B$15/(Main!$N$31+D131)),NA())</f>
        <v>2.7599382985034815</v>
      </c>
      <c r="G131" s="690">
        <f>IFERROR($B$16*($B$15/(Main!$N$31+D131)),NA())</f>
        <v>2.2400617014965185</v>
      </c>
      <c r="H131" s="664">
        <f t="shared" si="21"/>
        <v>73.789185953788547</v>
      </c>
      <c r="I131" s="691">
        <f t="shared" si="13"/>
        <v>2.2400617014965184E-4</v>
      </c>
      <c r="J131" s="690">
        <f>IFERROR(($B$15/(Main!$N$31+D131))^2*(Main!$N$31+D131)*1000,NA())</f>
        <v>1.120030850748259</v>
      </c>
      <c r="K131" s="274">
        <f t="shared" si="14"/>
        <v>-0.99999999999999933</v>
      </c>
      <c r="L131" s="274">
        <f t="shared" si="20"/>
        <v>0.99999999999999933</v>
      </c>
      <c r="M131" s="271">
        <f t="shared" si="17"/>
        <v>7.4298623195838687E-3</v>
      </c>
      <c r="N131" s="692"/>
      <c r="O131" s="569">
        <v>58</v>
      </c>
      <c r="P131" s="697">
        <v>3143.2</v>
      </c>
      <c r="Q131" s="697">
        <v>3211.3</v>
      </c>
      <c r="R131" s="697">
        <v>3280.4</v>
      </c>
      <c r="S131" s="695">
        <f>IFERROR(Q131*($B$15/(Main!$N$31+Q131)),NA())</f>
        <v>1.2153610923981744</v>
      </c>
      <c r="T131" s="664">
        <f t="shared" si="18"/>
        <v>103.89999999999964</v>
      </c>
      <c r="U131" s="696">
        <f>IFERROR(($B$15/(Main!$N$31+Q131))^2*(Main!$N$31+Q131)*1000,NA())</f>
        <v>1.8923194538009125</v>
      </c>
      <c r="V131" s="274">
        <f t="shared" si="15"/>
        <v>-2.120636502351084</v>
      </c>
      <c r="W131" s="274">
        <f t="shared" si="16"/>
        <v>2.1517765390963133</v>
      </c>
      <c r="X131" s="271">
        <f t="shared" si="19"/>
        <v>2.9531962156019276E-2</v>
      </c>
      <c r="Y131" s="436"/>
      <c r="Z131" s="12"/>
      <c r="AA131" s="12"/>
      <c r="AB131" s="12"/>
      <c r="AM131" s="224"/>
      <c r="AN131" s="224"/>
      <c r="AO131" s="224"/>
      <c r="AP131" s="224"/>
      <c r="AQ131" s="179"/>
      <c r="AR131" s="224"/>
      <c r="AS131" s="224"/>
      <c r="AT131" s="224"/>
    </row>
    <row r="132" spans="1:46" ht="15.75" x14ac:dyDescent="0.25">
      <c r="A132" s="505">
        <v>100</v>
      </c>
      <c r="B132" s="506">
        <v>59</v>
      </c>
      <c r="C132" s="664">
        <f>IFERROR('Device Resistance Tables'!C119,NA())</f>
        <v>12270.991190495974</v>
      </c>
      <c r="D132" s="554">
        <f>IFERROR('Device Resistance Tables'!D119,NA())</f>
        <v>12394.940596460579</v>
      </c>
      <c r="E132" s="664">
        <f>IFERROR('Device Resistance Tables'!F119,NA())</f>
        <v>12518.890002425185</v>
      </c>
      <c r="F132" s="690">
        <f>IFERROR(D132*($B$15/(Main!$N$31+D132)),NA())</f>
        <v>2.7673528632667024</v>
      </c>
      <c r="G132" s="690">
        <f>IFERROR($B$16*($B$15/(Main!$N$31+D132)),NA())</f>
        <v>2.2326471367332976</v>
      </c>
      <c r="H132" s="664">
        <f t="shared" si="21"/>
        <v>74.126858786974481</v>
      </c>
      <c r="I132" s="691">
        <f t="shared" si="13"/>
        <v>2.2326471367332975E-4</v>
      </c>
      <c r="J132" s="690">
        <f>IFERROR(($B$15/(Main!$N$31+D132))^2*(Main!$N$31+D132)*1000,NA())</f>
        <v>1.1163235683666486</v>
      </c>
      <c r="K132" s="274">
        <f t="shared" si="14"/>
        <v>-1.0000000000000004</v>
      </c>
      <c r="L132" s="274">
        <f t="shared" si="20"/>
        <v>1.0000000000000004</v>
      </c>
      <c r="M132" s="271">
        <f t="shared" si="17"/>
        <v>7.4145647632208878E-3</v>
      </c>
      <c r="N132" s="692"/>
      <c r="O132" s="569">
        <v>59</v>
      </c>
      <c r="P132" s="697">
        <v>3044.1</v>
      </c>
      <c r="Q132" s="697">
        <v>3111</v>
      </c>
      <c r="R132" s="697">
        <v>3179</v>
      </c>
      <c r="S132" s="695">
        <f>IFERROR(Q132*($B$15/(Main!$N$31+Q132)),NA())</f>
        <v>1.1864083593928763</v>
      </c>
      <c r="T132" s="664">
        <f t="shared" si="18"/>
        <v>100.30000000000018</v>
      </c>
      <c r="U132" s="696">
        <f>IFERROR(($B$15/(Main!$N$31+Q132))^2*(Main!$N$31+Q132)*1000,NA())</f>
        <v>1.906795820303562</v>
      </c>
      <c r="V132" s="274">
        <f t="shared" si="15"/>
        <v>-2.1504339440694338</v>
      </c>
      <c r="W132" s="274">
        <f t="shared" si="16"/>
        <v>2.1857923497267762</v>
      </c>
      <c r="X132" s="271">
        <f t="shared" si="19"/>
        <v>2.8952733005298104E-2</v>
      </c>
      <c r="Y132" s="436"/>
      <c r="Z132" s="12"/>
      <c r="AA132" s="12"/>
      <c r="AB132" s="12"/>
      <c r="AM132" s="224"/>
      <c r="AN132" s="224"/>
      <c r="AO132" s="224"/>
      <c r="AP132" s="224"/>
      <c r="AQ132" s="179"/>
      <c r="AR132" s="224"/>
      <c r="AS132" s="224"/>
      <c r="AT132" s="224"/>
    </row>
    <row r="133" spans="1:46" ht="15.75" x14ac:dyDescent="0.25">
      <c r="A133" s="505">
        <v>101</v>
      </c>
      <c r="B133" s="506">
        <v>60</v>
      </c>
      <c r="C133" s="664">
        <f>IFERROR('Device Resistance Tables'!C120,NA())</f>
        <v>12344.711867560069</v>
      </c>
      <c r="D133" s="554">
        <f>IFERROR('Device Resistance Tables'!D120,NA())</f>
        <v>12469.405926828353</v>
      </c>
      <c r="E133" s="664">
        <f>IFERROR('Device Resistance Tables'!F120,NA())</f>
        <v>12594.099986096637</v>
      </c>
      <c r="F133" s="690">
        <f>IFERROR(D133*($B$15/(Main!$N$31+D133)),NA())</f>
        <v>2.7747520266968757</v>
      </c>
      <c r="G133" s="690">
        <f>IFERROR($B$16*($B$15/(Main!$N$31+D133)),NA())</f>
        <v>2.2252479733031243</v>
      </c>
      <c r="H133" s="664">
        <f t="shared" si="21"/>
        <v>74.465330367773277</v>
      </c>
      <c r="I133" s="691">
        <f t="shared" si="13"/>
        <v>2.2252479733031241E-4</v>
      </c>
      <c r="J133" s="690">
        <f>IFERROR(($B$15/(Main!$N$31+D133))^2*(Main!$N$31+D133)*1000,NA())</f>
        <v>1.1126239866515621</v>
      </c>
      <c r="K133" s="274">
        <f t="shared" si="14"/>
        <v>-1.000000000000004</v>
      </c>
      <c r="L133" s="274">
        <f t="shared" si="20"/>
        <v>1.000000000000004</v>
      </c>
      <c r="M133" s="271">
        <f t="shared" si="17"/>
        <v>7.3991634301733278E-3</v>
      </c>
      <c r="N133" s="692"/>
      <c r="O133" s="569">
        <v>60</v>
      </c>
      <c r="P133" s="697">
        <v>2948.6</v>
      </c>
      <c r="Q133" s="697">
        <v>3014.3</v>
      </c>
      <c r="R133" s="697">
        <v>3081.2</v>
      </c>
      <c r="S133" s="695">
        <f>IFERROR(Q133*($B$15/(Main!$N$31+Q133)),NA())</f>
        <v>1.1580722743443752</v>
      </c>
      <c r="T133" s="664">
        <f t="shared" si="18"/>
        <v>96.699999999999818</v>
      </c>
      <c r="U133" s="696">
        <f>IFERROR(($B$15/(Main!$N$31+Q133))^2*(Main!$N$31+Q133)*1000,NA())</f>
        <v>1.9209638628278125</v>
      </c>
      <c r="V133" s="274">
        <f t="shared" si="15"/>
        <v>-2.1796105231728848</v>
      </c>
      <c r="W133" s="274">
        <f t="shared" si="16"/>
        <v>2.2194207610390349</v>
      </c>
      <c r="X133" s="271">
        <f t="shared" si="19"/>
        <v>2.8336085048501047E-2</v>
      </c>
      <c r="Y133" s="436"/>
      <c r="Z133" s="12"/>
      <c r="AA133" s="12"/>
      <c r="AB133" s="12"/>
      <c r="AM133" s="224"/>
      <c r="AN133" s="224"/>
      <c r="AO133" s="224"/>
      <c r="AP133" s="224"/>
      <c r="AQ133" s="179"/>
      <c r="AR133" s="224"/>
      <c r="AS133" s="224"/>
      <c r="AT133" s="224"/>
    </row>
    <row r="134" spans="1:46" ht="15.75" x14ac:dyDescent="0.25">
      <c r="A134" s="505">
        <v>102</v>
      </c>
      <c r="B134" s="506">
        <v>61</v>
      </c>
      <c r="C134" s="664">
        <f>IFERROR('Device Resistance Tables'!C121,NA())</f>
        <v>12418.768430904955</v>
      </c>
      <c r="D134" s="554">
        <f>IFERROR('Device Resistance Tables'!D121,NA())</f>
        <v>12544.21053626763</v>
      </c>
      <c r="E134" s="664">
        <f>IFERROR('Device Resistance Tables'!F121,NA())</f>
        <v>12669.652641630306</v>
      </c>
      <c r="F134" s="690">
        <f>IFERROR(D134*($B$15/(Main!$N$31+D134)),NA())</f>
        <v>2.7821356875831462</v>
      </c>
      <c r="G134" s="690">
        <f>IFERROR($B$16*($B$15/(Main!$N$31+D134)),NA())</f>
        <v>2.2178643124168538</v>
      </c>
      <c r="H134" s="664">
        <f t="shared" si="21"/>
        <v>74.804609439277556</v>
      </c>
      <c r="I134" s="691">
        <f t="shared" si="13"/>
        <v>2.2178643124168539E-4</v>
      </c>
      <c r="J134" s="690">
        <f>IFERROR(($B$15/(Main!$N$31+D134))^2*(Main!$N$31+D134)*1000,NA())</f>
        <v>1.1089321562084271</v>
      </c>
      <c r="K134" s="274">
        <f t="shared" si="14"/>
        <v>-0.99999999999999478</v>
      </c>
      <c r="L134" s="274">
        <f t="shared" si="20"/>
        <v>0.99999999999999478</v>
      </c>
      <c r="M134" s="271">
        <f t="shared" si="17"/>
        <v>7.3836608862705155E-3</v>
      </c>
      <c r="N134" s="692"/>
      <c r="O134" s="569">
        <v>61</v>
      </c>
      <c r="P134" s="697">
        <v>2857.8</v>
      </c>
      <c r="Q134" s="697">
        <v>2922.4</v>
      </c>
      <c r="R134" s="697">
        <v>2988.1</v>
      </c>
      <c r="S134" s="695">
        <f>IFERROR(Q134*($B$15/(Main!$N$31+Q134)),NA())</f>
        <v>1.1307497059369778</v>
      </c>
      <c r="T134" s="664">
        <f t="shared" si="18"/>
        <v>91.900000000000091</v>
      </c>
      <c r="U134" s="696">
        <f>IFERROR(($B$15/(Main!$N$31+Q134))^2*(Main!$N$31+Q134)*1000,NA())</f>
        <v>1.934625147031511</v>
      </c>
      <c r="V134" s="274">
        <f t="shared" si="15"/>
        <v>-2.2105119080208016</v>
      </c>
      <c r="W134" s="274">
        <f t="shared" si="16"/>
        <v>2.2481522036682118</v>
      </c>
      <c r="X134" s="271">
        <f t="shared" si="19"/>
        <v>2.7322568407397441E-2</v>
      </c>
      <c r="Y134" s="436"/>
      <c r="Z134" s="12"/>
      <c r="AA134" s="12"/>
      <c r="AB134" s="12"/>
      <c r="AM134" s="224"/>
      <c r="AN134" s="224"/>
      <c r="AO134" s="224"/>
      <c r="AP134" s="224"/>
      <c r="AQ134" s="179"/>
      <c r="AR134" s="224"/>
      <c r="AS134" s="224"/>
      <c r="AT134" s="224"/>
    </row>
    <row r="135" spans="1:46" ht="15.75" x14ac:dyDescent="0.25">
      <c r="A135" s="505">
        <v>103</v>
      </c>
      <c r="B135" s="506">
        <v>62</v>
      </c>
      <c r="C135" s="664">
        <f>IFERROR('Device Resistance Tables'!C122,NA())</f>
        <v>12493.161688602084</v>
      </c>
      <c r="D135" s="554">
        <f>IFERROR('Device Resistance Tables'!D122,NA())</f>
        <v>12619.355241012207</v>
      </c>
      <c r="E135" s="664">
        <f>IFERROR('Device Resistance Tables'!F122,NA())</f>
        <v>12745.548793422329</v>
      </c>
      <c r="F135" s="690">
        <f>IFERROR(D135*($B$15/(Main!$N$31+D135)),NA())</f>
        <v>2.7895037472446309</v>
      </c>
      <c r="G135" s="690">
        <f>IFERROR($B$16*($B$15/(Main!$N$31+D135)),NA())</f>
        <v>2.2104962527553691</v>
      </c>
      <c r="H135" s="664">
        <f t="shared" si="21"/>
        <v>75.144704744576302</v>
      </c>
      <c r="I135" s="691">
        <f t="shared" si="13"/>
        <v>2.210496252755369E-4</v>
      </c>
      <c r="J135" s="690">
        <f>IFERROR(($B$15/(Main!$N$31+D135))^2*(Main!$N$31+D135)*1000,NA())</f>
        <v>1.1052481263776845</v>
      </c>
      <c r="K135" s="274">
        <f t="shared" si="14"/>
        <v>-1.0000000000000053</v>
      </c>
      <c r="L135" s="274">
        <f t="shared" si="20"/>
        <v>1.0000000000000053</v>
      </c>
      <c r="M135" s="271">
        <f t="shared" si="17"/>
        <v>7.3680596614846827E-3</v>
      </c>
      <c r="N135" s="692"/>
      <c r="O135" s="569">
        <v>62</v>
      </c>
      <c r="P135" s="697">
        <v>2770.3</v>
      </c>
      <c r="Q135" s="697">
        <v>2833.7</v>
      </c>
      <c r="R135" s="697">
        <v>2898.4</v>
      </c>
      <c r="S135" s="695">
        <f>IFERROR(Q135*($B$15/(Main!$N$31+Q135)),NA())</f>
        <v>1.104007417969876</v>
      </c>
      <c r="T135" s="664">
        <f t="shared" si="18"/>
        <v>88.700000000000273</v>
      </c>
      <c r="U135" s="696">
        <f>IFERROR(($B$15/(Main!$N$31+Q135))^2*(Main!$N$31+Q135)*1000,NA())</f>
        <v>1.9479962910150619</v>
      </c>
      <c r="V135" s="274">
        <f t="shared" si="15"/>
        <v>-2.2373575184387775</v>
      </c>
      <c r="W135" s="274">
        <f t="shared" si="16"/>
        <v>2.2832339344320247</v>
      </c>
      <c r="X135" s="271">
        <f t="shared" si="19"/>
        <v>2.6742287967101763E-2</v>
      </c>
      <c r="Y135" s="436"/>
      <c r="Z135" s="12"/>
      <c r="AA135" s="12"/>
      <c r="AB135" s="12"/>
      <c r="AM135" s="224"/>
      <c r="AN135" s="224"/>
      <c r="AO135" s="224"/>
      <c r="AP135" s="224"/>
      <c r="AQ135" s="179"/>
      <c r="AR135" s="224"/>
      <c r="AS135" s="224"/>
      <c r="AT135" s="224"/>
    </row>
    <row r="136" spans="1:46" ht="15.75" x14ac:dyDescent="0.25">
      <c r="A136" s="505">
        <v>104</v>
      </c>
      <c r="B136" s="506">
        <v>63</v>
      </c>
      <c r="C136" s="664">
        <f>IFERROR('Device Resistance Tables'!C123,NA())</f>
        <v>12567.892457378584</v>
      </c>
      <c r="D136" s="554">
        <f>IFERROR('Device Resistance Tables'!D123,NA())</f>
        <v>12694.840866038974</v>
      </c>
      <c r="E136" s="664">
        <f>IFERROR('Device Resistance Tables'!F123,NA())</f>
        <v>12821.789274699364</v>
      </c>
      <c r="F136" s="690">
        <f>IFERROR(D136*($B$15/(Main!$N$31+D136)),NA())</f>
        <v>2.7968561094948661</v>
      </c>
      <c r="G136" s="690">
        <f>IFERROR($B$16*($B$15/(Main!$N$31+D136)),NA())</f>
        <v>2.2031438905051335</v>
      </c>
      <c r="H136" s="664">
        <f t="shared" si="21"/>
        <v>75.485625026767593</v>
      </c>
      <c r="I136" s="691">
        <f t="shared" si="13"/>
        <v>2.2031438905051331E-4</v>
      </c>
      <c r="J136" s="690">
        <f>IFERROR(($B$15/(Main!$N$31+D136))^2*(Main!$N$31+D136)*1000,NA())</f>
        <v>1.1015719452525667</v>
      </c>
      <c r="K136" s="274">
        <f t="shared" si="14"/>
        <v>-1.0000000000000002</v>
      </c>
      <c r="L136" s="274">
        <f t="shared" si="20"/>
        <v>1.0000000000000002</v>
      </c>
      <c r="M136" s="271">
        <f t="shared" si="17"/>
        <v>7.3523622502351671E-3</v>
      </c>
      <c r="N136" s="692"/>
      <c r="O136" s="569">
        <v>63</v>
      </c>
      <c r="P136" s="697">
        <v>2685.8</v>
      </c>
      <c r="Q136" s="697">
        <v>2748.2</v>
      </c>
      <c r="R136" s="697">
        <v>2811.8</v>
      </c>
      <c r="S136" s="695">
        <f>IFERROR(Q136*($B$15/(Main!$N$31+Q136)),NA())</f>
        <v>1.0778776611600067</v>
      </c>
      <c r="T136" s="664">
        <f t="shared" si="18"/>
        <v>85.5</v>
      </c>
      <c r="U136" s="696">
        <f>IFERROR(($B$15/(Main!$N$31+Q136))^2*(Main!$N$31+Q136)*1000,NA())</f>
        <v>1.9610611694199964</v>
      </c>
      <c r="V136" s="274">
        <f t="shared" si="15"/>
        <v>-2.2705771050141781</v>
      </c>
      <c r="W136" s="274">
        <f t="shared" si="16"/>
        <v>2.3142420493414004</v>
      </c>
      <c r="X136" s="271">
        <f t="shared" si="19"/>
        <v>2.6129756809869287E-2</v>
      </c>
      <c r="Y136" s="436"/>
      <c r="Z136" s="12"/>
      <c r="AA136" s="12"/>
      <c r="AB136" s="12"/>
      <c r="AM136" s="224"/>
      <c r="AN136" s="224"/>
      <c r="AO136" s="224"/>
      <c r="AP136" s="224"/>
      <c r="AQ136" s="179"/>
      <c r="AR136" s="224"/>
      <c r="AS136" s="224"/>
      <c r="AT136" s="224"/>
    </row>
    <row r="137" spans="1:46" ht="15.75" x14ac:dyDescent="0.25">
      <c r="A137" s="505">
        <v>105</v>
      </c>
      <c r="B137" s="506">
        <v>64</v>
      </c>
      <c r="C137" s="664">
        <f>IFERROR('Device Resistance Tables'!C124,NA())</f>
        <v>12642.961562617233</v>
      </c>
      <c r="D137" s="554">
        <f>IFERROR('Device Resistance Tables'!D124,NA())</f>
        <v>12770.668245067913</v>
      </c>
      <c r="E137" s="664">
        <f>IFERROR('Device Resistance Tables'!F124,NA())</f>
        <v>12898.374927518593</v>
      </c>
      <c r="F137" s="690">
        <f>IFERROR(D137*($B$15/(Main!$N$31+D137)),NA())</f>
        <v>2.8041926806065556</v>
      </c>
      <c r="G137" s="690">
        <f>IFERROR($B$16*($B$15/(Main!$N$31+D137)),NA())</f>
        <v>2.1958073193934444</v>
      </c>
      <c r="H137" s="664">
        <f t="shared" si="21"/>
        <v>75.827379028938594</v>
      </c>
      <c r="I137" s="691">
        <f t="shared" si="13"/>
        <v>2.1958073193934443E-4</v>
      </c>
      <c r="J137" s="690">
        <f>IFERROR(($B$15/(Main!$N$31+D137))^2*(Main!$N$31+D137)*1000,NA())</f>
        <v>1.0979036596967222</v>
      </c>
      <c r="K137" s="274">
        <f t="shared" si="14"/>
        <v>-1.0000000000000075</v>
      </c>
      <c r="L137" s="274">
        <f t="shared" si="20"/>
        <v>1.0000000000000075</v>
      </c>
      <c r="M137" s="271">
        <f t="shared" si="17"/>
        <v>7.3365711116895049E-3</v>
      </c>
      <c r="N137" s="692"/>
      <c r="O137" s="569">
        <v>64</v>
      </c>
      <c r="P137" s="697">
        <v>2604.4</v>
      </c>
      <c r="Q137" s="697">
        <v>2665.7</v>
      </c>
      <c r="R137" s="697">
        <v>2728.2</v>
      </c>
      <c r="S137" s="695">
        <f>IFERROR(Q137*($B$15/(Main!$N$31+Q137)),NA())</f>
        <v>1.0523303094183503</v>
      </c>
      <c r="T137" s="664">
        <f t="shared" si="18"/>
        <v>82.5</v>
      </c>
      <c r="U137" s="696">
        <f>IFERROR(($B$15/(Main!$N$31+Q137))^2*(Main!$N$31+Q137)*1000,NA())</f>
        <v>1.9738348452908245</v>
      </c>
      <c r="V137" s="274">
        <f t="shared" si="15"/>
        <v>-2.2995835990546474</v>
      </c>
      <c r="W137" s="274">
        <f t="shared" si="16"/>
        <v>2.3445999174700831</v>
      </c>
      <c r="X137" s="271">
        <f t="shared" si="19"/>
        <v>2.5547351741656454E-2</v>
      </c>
      <c r="Y137" s="436"/>
      <c r="Z137" s="12"/>
      <c r="AA137" s="12"/>
      <c r="AB137" s="12"/>
      <c r="AM137" s="224"/>
      <c r="AN137" s="224"/>
      <c r="AO137" s="224"/>
      <c r="AP137" s="224"/>
      <c r="AQ137" s="179"/>
      <c r="AR137" s="224"/>
      <c r="AS137" s="224"/>
      <c r="AT137" s="224"/>
    </row>
    <row r="138" spans="1:46" ht="15.75" x14ac:dyDescent="0.25">
      <c r="A138" s="505">
        <v>106</v>
      </c>
      <c r="B138" s="506">
        <v>65</v>
      </c>
      <c r="C138" s="664">
        <f>IFERROR('Device Resistance Tables'!C125,NA())</f>
        <v>12718.369838356477</v>
      </c>
      <c r="D138" s="554">
        <f>IFERROR('Device Resistance Tables'!D125,NA())</f>
        <v>12846.838220562098</v>
      </c>
      <c r="E138" s="664">
        <f>IFERROR('Device Resistance Tables'!F125,NA())</f>
        <v>12975.30660276772</v>
      </c>
      <c r="F138" s="690">
        <f>IFERROR(D138*($B$15/(Main!$N$31+D138)),NA())</f>
        <v>2.8115133692766237</v>
      </c>
      <c r="G138" s="690">
        <f>IFERROR($B$16*($B$15/(Main!$N$31+D138)),NA())</f>
        <v>2.1884866307233759</v>
      </c>
      <c r="H138" s="664">
        <f t="shared" si="21"/>
        <v>76.169975494185564</v>
      </c>
      <c r="I138" s="691">
        <f t="shared" si="13"/>
        <v>2.188486630723376E-4</v>
      </c>
      <c r="J138" s="690">
        <f>IFERROR(($B$15/(Main!$N$31+D138))^2*(Main!$N$31+D138)*1000,NA())</f>
        <v>1.094243315361688</v>
      </c>
      <c r="K138" s="274">
        <f t="shared" si="14"/>
        <v>-1.0000000000000027</v>
      </c>
      <c r="L138" s="274">
        <f t="shared" si="20"/>
        <v>1.0000000000000027</v>
      </c>
      <c r="M138" s="271">
        <f t="shared" si="17"/>
        <v>7.3206886700680762E-3</v>
      </c>
      <c r="N138" s="692"/>
      <c r="O138" s="569">
        <v>65</v>
      </c>
      <c r="P138" s="697">
        <v>2525.9</v>
      </c>
      <c r="Q138" s="697">
        <v>2586.1</v>
      </c>
      <c r="R138" s="697">
        <v>2647.6</v>
      </c>
      <c r="S138" s="695">
        <f>IFERROR(Q138*($B$15/(Main!$N$31+Q138)),NA())</f>
        <v>1.0273635200737321</v>
      </c>
      <c r="T138" s="664">
        <f t="shared" si="18"/>
        <v>79.599999999999909</v>
      </c>
      <c r="U138" s="696">
        <f>IFERROR(($B$15/(Main!$N$31+Q138))^2*(Main!$N$31+Q138)*1000,NA())</f>
        <v>1.9863182399631336</v>
      </c>
      <c r="V138" s="274">
        <f t="shared" si="15"/>
        <v>-2.3278295502880719</v>
      </c>
      <c r="W138" s="274">
        <f t="shared" si="16"/>
        <v>2.3780982947295155</v>
      </c>
      <c r="X138" s="271">
        <f t="shared" si="19"/>
        <v>2.4966789344618157E-2</v>
      </c>
      <c r="Y138" s="436"/>
      <c r="Z138" s="12"/>
      <c r="AA138" s="12"/>
      <c r="AB138" s="12"/>
      <c r="AM138" s="224"/>
      <c r="AN138" s="224"/>
      <c r="AO138" s="224"/>
      <c r="AP138" s="224"/>
      <c r="AQ138" s="179"/>
      <c r="AR138" s="224"/>
      <c r="AS138" s="224"/>
      <c r="AT138" s="224"/>
    </row>
    <row r="139" spans="1:46" ht="15.75" x14ac:dyDescent="0.25">
      <c r="A139" s="505">
        <v>107</v>
      </c>
      <c r="B139" s="506">
        <v>66</v>
      </c>
      <c r="C139" s="664">
        <f>IFERROR('Device Resistance Tables'!C126,NA())</f>
        <v>12794.118127290421</v>
      </c>
      <c r="D139" s="554">
        <f>IFERROR('Device Resistance Tables'!D126,NA())</f>
        <v>12923.351643727698</v>
      </c>
      <c r="E139" s="664">
        <f>IFERROR('Device Resistance Tables'!F126,NA())</f>
        <v>13052.585160164974</v>
      </c>
      <c r="F139" s="690">
        <f>IFERROR(D139*($B$15/(Main!$N$31+D139)),NA())</f>
        <v>2.8188180865915808</v>
      </c>
      <c r="G139" s="690">
        <f>IFERROR($B$16*($B$15/(Main!$N$31+D139)),NA())</f>
        <v>2.1811819134084187</v>
      </c>
      <c r="H139" s="664">
        <f t="shared" si="21"/>
        <v>76.513423165599306</v>
      </c>
      <c r="I139" s="691">
        <f t="shared" si="13"/>
        <v>2.1811819134084183E-4</v>
      </c>
      <c r="J139" s="690">
        <f>IFERROR(($B$15/(Main!$N$31+D139))^2*(Main!$N$31+D139)*1000,NA())</f>
        <v>1.0905909567042091</v>
      </c>
      <c r="K139" s="274">
        <f t="shared" si="14"/>
        <v>-0.999999999999994</v>
      </c>
      <c r="L139" s="274">
        <f t="shared" si="20"/>
        <v>0.999999999999994</v>
      </c>
      <c r="M139" s="271">
        <f t="shared" si="17"/>
        <v>7.3047173149571876E-3</v>
      </c>
      <c r="N139" s="692"/>
      <c r="O139" s="569">
        <v>66</v>
      </c>
      <c r="P139" s="697">
        <v>2450.1</v>
      </c>
      <c r="Q139" s="697">
        <v>2509.3000000000002</v>
      </c>
      <c r="R139" s="697">
        <v>2569.6999999999998</v>
      </c>
      <c r="S139" s="695">
        <f>IFERROR(Q139*($B$15/(Main!$N$31+Q139)),NA())</f>
        <v>1.0029737875020985</v>
      </c>
      <c r="T139" s="664">
        <f t="shared" si="18"/>
        <v>76.799999999999727</v>
      </c>
      <c r="U139" s="696">
        <f>IFERROR(($B$15/(Main!$N$31+Q139))^2*(Main!$N$31+Q139)*1000,NA())</f>
        <v>1.9985131062489505</v>
      </c>
      <c r="V139" s="274">
        <f t="shared" si="15"/>
        <v>-2.359223687881093</v>
      </c>
      <c r="W139" s="274">
        <f t="shared" si="16"/>
        <v>2.4070457896624409</v>
      </c>
      <c r="X139" s="271">
        <f t="shared" si="19"/>
        <v>2.4389732571633571E-2</v>
      </c>
      <c r="Y139" s="436"/>
      <c r="Z139" s="12"/>
      <c r="AA139" s="12"/>
      <c r="AB139" s="12"/>
      <c r="AM139" s="224"/>
      <c r="AN139" s="224"/>
      <c r="AO139" s="224"/>
      <c r="AP139" s="224"/>
      <c r="AQ139" s="179"/>
      <c r="AR139" s="224"/>
      <c r="AS139" s="224"/>
      <c r="AT139" s="224"/>
    </row>
    <row r="140" spans="1:46" ht="15.75" x14ac:dyDescent="0.25">
      <c r="A140" s="505">
        <v>108</v>
      </c>
      <c r="B140" s="506">
        <v>67</v>
      </c>
      <c r="C140" s="664">
        <f>IFERROR('Device Resistance Tables'!C127,NA())</f>
        <v>12870.207280768829</v>
      </c>
      <c r="D140" s="554">
        <f>IFERROR('Device Resistance Tables'!D127,NA())</f>
        <v>13000.209374513968</v>
      </c>
      <c r="E140" s="664">
        <f>IFERROR('Device Resistance Tables'!F127,NA())</f>
        <v>13130.211468259107</v>
      </c>
      <c r="F140" s="690">
        <f>IFERROR(D140*($B$15/(Main!$N$31+D140)),NA())</f>
        <v>2.8261067459931946</v>
      </c>
      <c r="G140" s="690">
        <f>IFERROR($B$16*($B$15/(Main!$N$31+D140)),NA())</f>
        <v>2.1738932540068054</v>
      </c>
      <c r="H140" s="664">
        <f t="shared" si="21"/>
        <v>76.857730786270622</v>
      </c>
      <c r="I140" s="691">
        <f t="shared" si="13"/>
        <v>2.1738932540068054E-4</v>
      </c>
      <c r="J140" s="690">
        <f>IFERROR(($B$15/(Main!$N$31+D140))^2*(Main!$N$31+D140)*1000,NA())</f>
        <v>1.0869466270034027</v>
      </c>
      <c r="K140" s="274">
        <f t="shared" si="14"/>
        <v>-0.99999999999999512</v>
      </c>
      <c r="L140" s="274">
        <f t="shared" si="20"/>
        <v>0.99999999999999512</v>
      </c>
      <c r="M140" s="271">
        <f t="shared" si="17"/>
        <v>7.2886594016137174E-3</v>
      </c>
      <c r="N140" s="692"/>
      <c r="O140" s="569">
        <v>67</v>
      </c>
      <c r="P140" s="697">
        <v>2377</v>
      </c>
      <c r="Q140" s="697">
        <v>2435.1</v>
      </c>
      <c r="R140" s="697">
        <v>2494.5</v>
      </c>
      <c r="S140" s="695">
        <f>IFERROR(Q140*($B$15/(Main!$N$31+Q140)),NA())</f>
        <v>0.97912360978198798</v>
      </c>
      <c r="T140" s="664">
        <f t="shared" si="18"/>
        <v>74.200000000000273</v>
      </c>
      <c r="U140" s="696">
        <f>IFERROR(($B$15/(Main!$N$31+Q140))^2*(Main!$N$31+Q140)*1000,NA())</f>
        <v>2.0104381951090056</v>
      </c>
      <c r="V140" s="274">
        <f t="shared" si="15"/>
        <v>-2.3859389758120781</v>
      </c>
      <c r="W140" s="274">
        <f t="shared" si="16"/>
        <v>2.4393248737218225</v>
      </c>
      <c r="X140" s="271">
        <f t="shared" si="19"/>
        <v>2.3850177720110555E-2</v>
      </c>
      <c r="Y140" s="436"/>
      <c r="Z140" s="12"/>
      <c r="AA140" s="12"/>
      <c r="AB140" s="12"/>
      <c r="AM140" s="224"/>
      <c r="AN140" s="224"/>
      <c r="AO140" s="224"/>
      <c r="AP140" s="224"/>
      <c r="AQ140" s="179"/>
      <c r="AR140" s="224"/>
      <c r="AS140" s="224"/>
      <c r="AT140" s="224"/>
    </row>
    <row r="141" spans="1:46" ht="15.75" x14ac:dyDescent="0.25">
      <c r="A141" s="505">
        <v>109</v>
      </c>
      <c r="B141" s="506">
        <v>68</v>
      </c>
      <c r="C141" s="664">
        <f>IFERROR('Device Resistance Tables'!C128,NA())</f>
        <v>12946.638158797132</v>
      </c>
      <c r="D141" s="554">
        <f>IFERROR('Device Resistance Tables'!D128,NA())</f>
        <v>13077.412281613264</v>
      </c>
      <c r="E141" s="664">
        <f>IFERROR('Device Resistance Tables'!F128,NA())</f>
        <v>13208.186404429396</v>
      </c>
      <c r="F141" s="690">
        <f>IFERROR(D141*($B$15/(Main!$N$31+D141)),NA())</f>
        <v>2.8333792632444719</v>
      </c>
      <c r="G141" s="690">
        <f>IFERROR($B$16*($B$15/(Main!$N$31+D141)),NA())</f>
        <v>2.1666207367555277</v>
      </c>
      <c r="H141" s="664">
        <f t="shared" si="21"/>
        <v>77.202907099295771</v>
      </c>
      <c r="I141" s="691">
        <f t="shared" si="13"/>
        <v>2.1666207367555278E-4</v>
      </c>
      <c r="J141" s="690">
        <f>IFERROR(($B$15/(Main!$N$31+D141))^2*(Main!$N$31+D141)*1000,NA())</f>
        <v>1.0833103683777638</v>
      </c>
      <c r="K141" s="274">
        <f t="shared" si="14"/>
        <v>-0.99999999999999623</v>
      </c>
      <c r="L141" s="274">
        <f t="shared" si="20"/>
        <v>0.99999999999999623</v>
      </c>
      <c r="M141" s="271">
        <f t="shared" si="17"/>
        <v>7.2725172512773106E-3</v>
      </c>
      <c r="N141" s="692"/>
      <c r="O141" s="569">
        <v>68</v>
      </c>
      <c r="P141" s="697">
        <v>2306.4</v>
      </c>
      <c r="Q141" s="697">
        <v>2363.5</v>
      </c>
      <c r="R141" s="697">
        <v>2421.8000000000002</v>
      </c>
      <c r="S141" s="695">
        <f>IFERROR(Q141*($B$15/(Main!$N$31+Q141)),NA())</f>
        <v>0.9558377482104583</v>
      </c>
      <c r="T141" s="664">
        <f t="shared" si="18"/>
        <v>71.599999999999909</v>
      </c>
      <c r="U141" s="696">
        <f>IFERROR(($B$15/(Main!$N$31+Q141))^2*(Main!$N$31+Q141)*1000,NA())</f>
        <v>2.0220811258947711</v>
      </c>
      <c r="V141" s="274">
        <f t="shared" si="15"/>
        <v>-2.4159086101121181</v>
      </c>
      <c r="W141" s="274">
        <f t="shared" si="16"/>
        <v>2.4666807700444333</v>
      </c>
      <c r="X141" s="271">
        <f t="shared" si="19"/>
        <v>2.3285861571529676E-2</v>
      </c>
      <c r="Y141" s="436"/>
      <c r="Z141" s="12"/>
      <c r="AA141" s="12"/>
      <c r="AB141" s="12"/>
      <c r="AM141" s="224"/>
      <c r="AN141" s="224"/>
      <c r="AO141" s="224"/>
      <c r="AP141" s="224"/>
      <c r="AQ141" s="179"/>
      <c r="AR141" s="224"/>
      <c r="AS141" s="224"/>
      <c r="AT141" s="224"/>
    </row>
    <row r="142" spans="1:46" ht="15.75" x14ac:dyDescent="0.25">
      <c r="A142" s="505">
        <v>110</v>
      </c>
      <c r="B142" s="506">
        <v>69</v>
      </c>
      <c r="C142" s="664">
        <f>IFERROR('Device Resistance Tables'!C129,NA())</f>
        <v>13023.411630036417</v>
      </c>
      <c r="D142" s="554">
        <f>IFERROR('Device Resistance Tables'!D129,NA())</f>
        <v>13154.961242461028</v>
      </c>
      <c r="E142" s="664">
        <f>IFERROR('Device Resistance Tables'!F129,NA())</f>
        <v>13286.510854885639</v>
      </c>
      <c r="F142" s="690">
        <f>IFERROR(D142*($B$15/(Main!$N$31+D142)),NA())</f>
        <v>2.8406355563959589</v>
      </c>
      <c r="G142" s="690">
        <f>IFERROR($B$16*($B$15/(Main!$N$31+D142)),NA())</f>
        <v>2.1593644436040416</v>
      </c>
      <c r="H142" s="664">
        <f t="shared" si="21"/>
        <v>77.548960847763738</v>
      </c>
      <c r="I142" s="691">
        <f t="shared" si="13"/>
        <v>2.1593644436040417E-4</v>
      </c>
      <c r="J142" s="690">
        <f>IFERROR(($B$15/(Main!$N$31+D142))^2*(Main!$N$31+D142)*1000,NA())</f>
        <v>1.0796822218020208</v>
      </c>
      <c r="K142" s="274">
        <f t="shared" si="14"/>
        <v>-1.0000000000000058</v>
      </c>
      <c r="L142" s="274">
        <f t="shared" si="20"/>
        <v>1.0000000000000058</v>
      </c>
      <c r="M142" s="271">
        <f t="shared" si="17"/>
        <v>7.2562931514870144E-3</v>
      </c>
      <c r="N142" s="692"/>
      <c r="O142" s="569">
        <v>69</v>
      </c>
      <c r="P142" s="697">
        <v>2238.1999999999998</v>
      </c>
      <c r="Q142" s="697">
        <v>2294.3000000000002</v>
      </c>
      <c r="R142" s="697">
        <v>2351.6999999999998</v>
      </c>
      <c r="S142" s="695">
        <f>IFERROR(Q142*($B$15/(Main!$N$31+Q142)),NA())</f>
        <v>0.93307467688278323</v>
      </c>
      <c r="T142" s="664">
        <f t="shared" si="18"/>
        <v>69.199999999999818</v>
      </c>
      <c r="U142" s="696">
        <f>IFERROR(($B$15/(Main!$N$31+Q142))^2*(Main!$N$31+Q142)*1000,NA())</f>
        <v>2.0334626615586084</v>
      </c>
      <c r="V142" s="274">
        <f t="shared" si="15"/>
        <v>-2.4451902541080224</v>
      </c>
      <c r="W142" s="274">
        <f t="shared" si="16"/>
        <v>2.5018524168591569</v>
      </c>
      <c r="X142" s="271">
        <f t="shared" si="19"/>
        <v>2.2763071327675077E-2</v>
      </c>
      <c r="Y142" s="436"/>
      <c r="Z142" s="12"/>
      <c r="AA142" s="12"/>
      <c r="AB142" s="12"/>
      <c r="AM142" s="224"/>
      <c r="AN142" s="224"/>
      <c r="AO142" s="224"/>
      <c r="AP142" s="224"/>
      <c r="AQ142" s="179"/>
      <c r="AR142" s="224"/>
      <c r="AS142" s="224"/>
      <c r="AT142" s="224"/>
    </row>
    <row r="143" spans="1:46" ht="15.75" x14ac:dyDescent="0.25">
      <c r="A143" s="505">
        <v>111</v>
      </c>
      <c r="B143" s="506">
        <v>70</v>
      </c>
      <c r="C143" s="664">
        <f>IFERROR('Device Resistance Tables'!C130,NA())</f>
        <v>13100.528571803439</v>
      </c>
      <c r="D143" s="554">
        <f>IFERROR('Device Resistance Tables'!D130,NA())</f>
        <v>13232.857143235797</v>
      </c>
      <c r="E143" s="664">
        <f>IFERROR('Device Resistance Tables'!F130,NA())</f>
        <v>13365.185714668154</v>
      </c>
      <c r="F143" s="690">
        <f>IFERROR(D143*($B$15/(Main!$N$31+D143)),NA())</f>
        <v>2.8478755457523479</v>
      </c>
      <c r="G143" s="690">
        <f>IFERROR($B$16*($B$15/(Main!$N$31+D143)),NA())</f>
        <v>2.1521244542476516</v>
      </c>
      <c r="H143" s="664">
        <f t="shared" si="21"/>
        <v>77.895900774768961</v>
      </c>
      <c r="I143" s="691">
        <f t="shared" si="13"/>
        <v>2.1521244542476519E-4</v>
      </c>
      <c r="J143" s="690">
        <f>IFERROR(($B$15/(Main!$N$31+D143))^2*(Main!$N$31+D143)*1000,NA())</f>
        <v>1.0760622271238258</v>
      </c>
      <c r="K143" s="274">
        <f t="shared" si="14"/>
        <v>-0.99999999999999589</v>
      </c>
      <c r="L143" s="274">
        <f t="shared" si="20"/>
        <v>0.99999999999999589</v>
      </c>
      <c r="M143" s="271">
        <f t="shared" si="17"/>
        <v>7.2399893563890316E-3</v>
      </c>
      <c r="N143" s="692"/>
      <c r="O143" s="569">
        <v>70</v>
      </c>
      <c r="P143" s="697">
        <v>2172.4</v>
      </c>
      <c r="Q143" s="697">
        <v>2227.5</v>
      </c>
      <c r="R143" s="697">
        <v>2283.9</v>
      </c>
      <c r="S143" s="695">
        <f>IFERROR(Q143*($B$15/(Main!$N$31+Q143)),NA())</f>
        <v>0.9108566755264772</v>
      </c>
      <c r="T143" s="664">
        <f t="shared" si="18"/>
        <v>66.800000000000182</v>
      </c>
      <c r="U143" s="696">
        <f>IFERROR(($B$15/(Main!$N$31+Q143))^2*(Main!$N$31+Q143)*1000,NA())</f>
        <v>2.0445716622367613</v>
      </c>
      <c r="V143" s="274">
        <f t="shared" si="15"/>
        <v>-2.4736251402918028</v>
      </c>
      <c r="W143" s="274">
        <f t="shared" si="16"/>
        <v>2.531986531986536</v>
      </c>
      <c r="X143" s="271">
        <f t="shared" si="19"/>
        <v>2.2218001356306027E-2</v>
      </c>
      <c r="Y143" s="436"/>
      <c r="Z143" s="12"/>
      <c r="AA143" s="12"/>
      <c r="AB143" s="12"/>
      <c r="AM143" s="224"/>
      <c r="AN143" s="224"/>
      <c r="AO143" s="224"/>
      <c r="AP143" s="224"/>
      <c r="AQ143" s="179"/>
      <c r="AR143" s="224"/>
      <c r="AS143" s="224"/>
      <c r="AT143" s="224"/>
    </row>
    <row r="144" spans="1:46" ht="15.75" x14ac:dyDescent="0.25">
      <c r="A144" s="505">
        <v>112</v>
      </c>
      <c r="B144" s="506">
        <v>71</v>
      </c>
      <c r="C144" s="664">
        <f>IFERROR('Device Resistance Tables'!C131,NA())</f>
        <v>13111.434365676309</v>
      </c>
      <c r="D144" s="554">
        <f>IFERROR('Device Resistance Tables'!D131,NA())</f>
        <v>13311.100878859197</v>
      </c>
      <c r="E144" s="664">
        <f>IFERROR('Device Resistance Tables'!F131,NA())</f>
        <v>13510.767392042084</v>
      </c>
      <c r="F144" s="690">
        <f>IFERROR(D144*($B$15/(Main!$N$31+D144)),NA())</f>
        <v>2.8550991538394084</v>
      </c>
      <c r="G144" s="690">
        <f>IFERROR($B$16*($B$15/(Main!$N$31+D144)),NA())</f>
        <v>2.1449008461605916</v>
      </c>
      <c r="H144" s="664">
        <f t="shared" si="21"/>
        <v>78.243735623400426</v>
      </c>
      <c r="I144" s="691">
        <f t="shared" si="13"/>
        <v>2.1449008461605913E-4</v>
      </c>
      <c r="J144" s="690">
        <f>IFERROR(($B$15/(Main!$N$31+D144))^2*(Main!$N$31+D144)*1000,NA())</f>
        <v>1.0724504230802958</v>
      </c>
      <c r="K144" s="274">
        <f t="shared" si="14"/>
        <v>-1.5000000000000049</v>
      </c>
      <c r="L144" s="274">
        <f t="shared" si="20"/>
        <v>1.4999999999999911</v>
      </c>
      <c r="M144" s="271">
        <f t="shared" si="17"/>
        <v>7.2236080870604624E-3</v>
      </c>
      <c r="N144" s="692"/>
      <c r="O144" s="569">
        <v>71</v>
      </c>
      <c r="P144" s="697">
        <v>2108.6</v>
      </c>
      <c r="Q144" s="697">
        <v>2162.6999999999998</v>
      </c>
      <c r="R144" s="697">
        <v>2218.1</v>
      </c>
      <c r="S144" s="695">
        <f>IFERROR(Q144*($B$15/(Main!$N$31+Q144)),NA())</f>
        <v>0.8890706833186709</v>
      </c>
      <c r="T144" s="664">
        <f t="shared" si="18"/>
        <v>64.800000000000182</v>
      </c>
      <c r="U144" s="696">
        <f>IFERROR(($B$15/(Main!$N$31+Q144))^2*(Main!$N$31+Q144)*1000,NA())</f>
        <v>2.0554646583406644</v>
      </c>
      <c r="V144" s="274">
        <f t="shared" si="15"/>
        <v>-2.5015027511906371</v>
      </c>
      <c r="W144" s="274">
        <f t="shared" si="16"/>
        <v>2.5616127988162987</v>
      </c>
      <c r="X144" s="271">
        <f t="shared" si="19"/>
        <v>2.1785992207806304E-2</v>
      </c>
      <c r="Y144" s="436"/>
      <c r="Z144" s="12"/>
      <c r="AA144" s="12"/>
      <c r="AB144" s="12"/>
      <c r="AM144" s="224"/>
      <c r="AN144" s="224"/>
      <c r="AO144" s="224"/>
      <c r="AP144" s="224"/>
      <c r="AQ144" s="179"/>
      <c r="AR144" s="224"/>
      <c r="AS144" s="224"/>
      <c r="AT144" s="224"/>
    </row>
    <row r="145" spans="1:46" ht="15.75" x14ac:dyDescent="0.25">
      <c r="A145" s="505">
        <v>113</v>
      </c>
      <c r="B145" s="506">
        <v>72</v>
      </c>
      <c r="C145" s="664">
        <f>IFERROR('Device Resistance Tables'!C132,NA())</f>
        <v>13188.847952701011</v>
      </c>
      <c r="D145" s="554">
        <f>IFERROR('Device Resistance Tables'!D132,NA())</f>
        <v>13389.693352995951</v>
      </c>
      <c r="E145" s="664">
        <f>IFERROR('Device Resistance Tables'!F132,NA())</f>
        <v>13590.53875329089</v>
      </c>
      <c r="F145" s="690">
        <f>IFERROR(D145*($B$15/(Main!$N$31+D145)),NA())</f>
        <v>2.8623063053712259</v>
      </c>
      <c r="G145" s="690">
        <f>IFERROR($B$16*($B$15/(Main!$N$31+D145)),NA())</f>
        <v>2.1376936946287746</v>
      </c>
      <c r="H145" s="664">
        <f t="shared" si="21"/>
        <v>78.59247413675439</v>
      </c>
      <c r="I145" s="691">
        <f t="shared" si="13"/>
        <v>2.1376936946287744E-4</v>
      </c>
      <c r="J145" s="690">
        <f>IFERROR(($B$15/(Main!$N$31+D145))^2*(Main!$N$31+D145)*1000,NA())</f>
        <v>1.0688468473143873</v>
      </c>
      <c r="K145" s="274">
        <f t="shared" si="14"/>
        <v>-1.5000000000000069</v>
      </c>
      <c r="L145" s="274">
        <f t="shared" si="20"/>
        <v>1.4999999999999933</v>
      </c>
      <c r="M145" s="271">
        <f t="shared" si="17"/>
        <v>7.2071515318175017E-3</v>
      </c>
      <c r="N145" s="692"/>
      <c r="O145" s="569">
        <v>72</v>
      </c>
      <c r="P145" s="697">
        <v>2046.9</v>
      </c>
      <c r="Q145" s="697">
        <v>2100.1</v>
      </c>
      <c r="R145" s="697">
        <v>2154.5</v>
      </c>
      <c r="S145" s="695">
        <f>IFERROR(Q145*($B$15/(Main!$N$31+Q145)),NA())</f>
        <v>0.86780274543185587</v>
      </c>
      <c r="T145" s="664">
        <f t="shared" si="18"/>
        <v>62.599999999999909</v>
      </c>
      <c r="U145" s="696">
        <f>IFERROR(($B$15/(Main!$N$31+Q145))^2*(Main!$N$31+Q145)*1000,NA())</f>
        <v>2.066098627284072</v>
      </c>
      <c r="V145" s="274">
        <f t="shared" si="15"/>
        <v>-2.5332127041569361</v>
      </c>
      <c r="W145" s="274">
        <f t="shared" si="16"/>
        <v>2.5903528403409406</v>
      </c>
      <c r="X145" s="271">
        <f t="shared" si="19"/>
        <v>2.1267937886815025E-2</v>
      </c>
      <c r="Y145" s="436"/>
      <c r="Z145" s="12"/>
      <c r="AA145" s="12"/>
      <c r="AB145" s="12"/>
      <c r="AM145" s="224"/>
      <c r="AN145" s="224"/>
      <c r="AO145" s="224"/>
      <c r="AP145" s="224"/>
      <c r="AQ145" s="179"/>
      <c r="AR145" s="224"/>
      <c r="AS145" s="224"/>
      <c r="AT145" s="224"/>
    </row>
    <row r="146" spans="1:46" ht="15.75" x14ac:dyDescent="0.25">
      <c r="A146" s="505">
        <v>114</v>
      </c>
      <c r="B146" s="506">
        <v>73</v>
      </c>
      <c r="C146" s="664">
        <f>IFERROR('Device Resistance Tables'!C133,NA())</f>
        <v>13266.605945883062</v>
      </c>
      <c r="D146" s="554">
        <f>IFERROR('Device Resistance Tables'!D133,NA())</f>
        <v>13468.635478053871</v>
      </c>
      <c r="E146" s="664">
        <f>IFERROR('Device Resistance Tables'!F133,NA())</f>
        <v>13670.665010224679</v>
      </c>
      <c r="F146" s="690">
        <f>IFERROR(D146*($B$15/(Main!$N$31+D146)),NA())</f>
        <v>2.8694969272177628</v>
      </c>
      <c r="G146" s="690">
        <f>IFERROR($B$16*($B$15/(Main!$N$31+D146)),NA())</f>
        <v>2.1305030727822372</v>
      </c>
      <c r="H146" s="664">
        <f t="shared" si="21"/>
        <v>78.942125057919839</v>
      </c>
      <c r="I146" s="691">
        <f t="shared" si="13"/>
        <v>2.1305030727822373E-4</v>
      </c>
      <c r="J146" s="690">
        <f>IFERROR(($B$15/(Main!$N$31+D146))^2*(Main!$N$31+D146)*1000,NA())</f>
        <v>1.0652515363911188</v>
      </c>
      <c r="K146" s="274">
        <f t="shared" si="14"/>
        <v>-1.5000000000000073</v>
      </c>
      <c r="L146" s="274">
        <f t="shared" si="20"/>
        <v>1.4999999999999938</v>
      </c>
      <c r="M146" s="271">
        <f t="shared" si="17"/>
        <v>7.1906218465369598E-3</v>
      </c>
      <c r="N146" s="692"/>
      <c r="O146" s="569">
        <v>73</v>
      </c>
      <c r="P146" s="697">
        <v>1987.3</v>
      </c>
      <c r="Q146" s="697">
        <v>2039.6</v>
      </c>
      <c r="R146" s="697">
        <v>2093</v>
      </c>
      <c r="S146" s="695">
        <f>IFERROR(Q146*($B$15/(Main!$N$31+Q146)),NA())</f>
        <v>0.84703810757832487</v>
      </c>
      <c r="T146" s="664">
        <f t="shared" si="18"/>
        <v>60.5</v>
      </c>
      <c r="U146" s="696">
        <f>IFERROR(($B$15/(Main!$N$31+Q146))^2*(Main!$N$31+Q146)*1000,NA())</f>
        <v>2.0764809462108373</v>
      </c>
      <c r="V146" s="274">
        <f t="shared" si="15"/>
        <v>-2.5642282800549103</v>
      </c>
      <c r="W146" s="274">
        <f t="shared" si="16"/>
        <v>2.6181604236124776</v>
      </c>
      <c r="X146" s="271">
        <f t="shared" si="19"/>
        <v>2.0764637853530998E-2</v>
      </c>
      <c r="Y146" s="436"/>
      <c r="Z146" s="12"/>
      <c r="AA146" s="12"/>
      <c r="AB146" s="12"/>
      <c r="AM146" s="224"/>
      <c r="AN146" s="224"/>
      <c r="AO146" s="224"/>
      <c r="AP146" s="224"/>
      <c r="AQ146" s="179"/>
      <c r="AR146" s="224"/>
      <c r="AS146" s="224"/>
      <c r="AT146" s="224"/>
    </row>
    <row r="147" spans="1:46" ht="15.75" x14ac:dyDescent="0.25">
      <c r="A147" s="505">
        <v>115</v>
      </c>
      <c r="B147" s="506">
        <v>74</v>
      </c>
      <c r="C147" s="664">
        <f>IFERROR('Device Resistance Tables'!C134,NA())</f>
        <v>13344.709252556107</v>
      </c>
      <c r="D147" s="554">
        <f>IFERROR('Device Resistance Tables'!D134,NA())</f>
        <v>13547.928175183866</v>
      </c>
      <c r="E147" s="664">
        <f>IFERROR('Device Resistance Tables'!F134,NA())</f>
        <v>13751.147097811623</v>
      </c>
      <c r="F147" s="690">
        <f>IFERROR(D147*($B$15/(Main!$N$31+D147)),NA())</f>
        <v>2.8766709483727402</v>
      </c>
      <c r="G147" s="690">
        <f>IFERROR($B$16*($B$15/(Main!$N$31+D147)),NA())</f>
        <v>2.1233290516272607</v>
      </c>
      <c r="H147" s="664">
        <f t="shared" si="21"/>
        <v>79.292697129994849</v>
      </c>
      <c r="I147" s="691">
        <f t="shared" si="13"/>
        <v>2.1233290516272605E-4</v>
      </c>
      <c r="J147" s="690">
        <f>IFERROR(($B$15/(Main!$N$31+D147))^2*(Main!$N$31+D147)*1000,NA())</f>
        <v>1.0616645258136304</v>
      </c>
      <c r="K147" s="274">
        <f t="shared" si="14"/>
        <v>-1.5000000000000056</v>
      </c>
      <c r="L147" s="274">
        <f t="shared" si="20"/>
        <v>1.499999999999992</v>
      </c>
      <c r="M147" s="271">
        <f t="shared" si="17"/>
        <v>7.1740211549773392E-3</v>
      </c>
      <c r="N147" s="692"/>
      <c r="O147" s="569">
        <v>74</v>
      </c>
      <c r="P147" s="697">
        <v>1929.8</v>
      </c>
      <c r="Q147" s="697">
        <v>1981.1</v>
      </c>
      <c r="R147" s="697">
        <v>2033.5</v>
      </c>
      <c r="S147" s="695">
        <f>IFERROR(Q147*($B$15/(Main!$N$31+Q147)),NA())</f>
        <v>0.82676048109105171</v>
      </c>
      <c r="T147" s="664">
        <f t="shared" si="18"/>
        <v>58.5</v>
      </c>
      <c r="U147" s="696">
        <f>IFERROR(($B$15/(Main!$N$31+Q147))^2*(Main!$N$31+Q147)*1000,NA())</f>
        <v>2.0866197594544742</v>
      </c>
      <c r="V147" s="274">
        <f t="shared" si="15"/>
        <v>-2.5894704961889836</v>
      </c>
      <c r="W147" s="274">
        <f t="shared" si="16"/>
        <v>2.6449952046842711</v>
      </c>
      <c r="X147" s="271">
        <f t="shared" si="19"/>
        <v>2.0277626487273159E-2</v>
      </c>
      <c r="Y147" s="436"/>
      <c r="Z147" s="12"/>
      <c r="AA147" s="12"/>
      <c r="AB147" s="12"/>
      <c r="AM147" s="224"/>
      <c r="AN147" s="224"/>
      <c r="AO147" s="224"/>
      <c r="AP147" s="224"/>
      <c r="AQ147" s="179"/>
      <c r="AR147" s="224"/>
      <c r="AS147" s="224"/>
      <c r="AT147" s="224"/>
    </row>
    <row r="148" spans="1:46" ht="15.75" x14ac:dyDescent="0.25">
      <c r="A148" s="505">
        <v>116</v>
      </c>
      <c r="B148" s="506">
        <v>75</v>
      </c>
      <c r="C148" s="664">
        <f>IFERROR('Device Resistance Tables'!C135,NA())</f>
        <v>13423.158788665734</v>
      </c>
      <c r="D148" s="554">
        <f>IFERROR('Device Resistance Tables'!D135,NA())</f>
        <v>13627.572374279933</v>
      </c>
      <c r="E148" s="664">
        <f>IFERROR('Device Resistance Tables'!F135,NA())</f>
        <v>13831.985959894131</v>
      </c>
      <c r="F148" s="690">
        <f>IFERROR(D148*($B$15/(Main!$N$31+D148)),NA())</f>
        <v>2.883828299921829</v>
      </c>
      <c r="G148" s="690">
        <f>IFERROR($B$16*($B$15/(Main!$N$31+D148)),NA())</f>
        <v>2.1161717000781715</v>
      </c>
      <c r="H148" s="664">
        <f t="shared" si="21"/>
        <v>79.644199096066586</v>
      </c>
      <c r="I148" s="691">
        <f t="shared" si="13"/>
        <v>2.1161717000781714E-4</v>
      </c>
      <c r="J148" s="690">
        <f>IFERROR(($B$15/(Main!$N$31+D148))^2*(Main!$N$31+D148)*1000,NA())</f>
        <v>1.0580858500390857</v>
      </c>
      <c r="K148" s="274">
        <f t="shared" si="14"/>
        <v>-1.4999999999999956</v>
      </c>
      <c r="L148" s="274">
        <f t="shared" si="20"/>
        <v>1.4999999999999956</v>
      </c>
      <c r="M148" s="271">
        <f t="shared" si="17"/>
        <v>7.1573515490888084E-3</v>
      </c>
      <c r="N148" s="692"/>
      <c r="O148" s="569">
        <v>75</v>
      </c>
      <c r="P148" s="697">
        <v>1874.1</v>
      </c>
      <c r="Q148" s="697">
        <v>1924.5</v>
      </c>
      <c r="R148" s="697">
        <v>1976.1</v>
      </c>
      <c r="S148" s="695">
        <f>IFERROR(Q148*($B$15/(Main!$N$31+Q148)),NA())</f>
        <v>0.80695207346219966</v>
      </c>
      <c r="T148" s="664">
        <f t="shared" si="18"/>
        <v>56.599999999999909</v>
      </c>
      <c r="U148" s="696">
        <f>IFERROR(($B$15/(Main!$N$31+Q148))^2*(Main!$N$31+Q148)*1000,NA())</f>
        <v>2.0965239632688997</v>
      </c>
      <c r="V148" s="274">
        <f t="shared" si="15"/>
        <v>-2.6188620420888591</v>
      </c>
      <c r="W148" s="274">
        <f t="shared" si="16"/>
        <v>2.6812159002338221</v>
      </c>
      <c r="X148" s="271">
        <f t="shared" si="19"/>
        <v>1.9808407628852054E-2</v>
      </c>
      <c r="Y148" s="436"/>
      <c r="Z148" s="12"/>
      <c r="AA148" s="12"/>
      <c r="AB148" s="12"/>
      <c r="AM148" s="224"/>
      <c r="AN148" s="224"/>
      <c r="AO148" s="224"/>
      <c r="AP148" s="224"/>
      <c r="AQ148" s="179"/>
      <c r="AR148" s="224"/>
      <c r="AS148" s="224"/>
      <c r="AT148" s="224"/>
    </row>
    <row r="149" spans="1:46" ht="15.75" x14ac:dyDescent="0.25">
      <c r="A149" s="505">
        <v>117</v>
      </c>
      <c r="B149" s="506">
        <v>76</v>
      </c>
      <c r="C149" s="664">
        <f>IFERROR('Device Resistance Tables'!C136,NA())</f>
        <v>13501.955478769469</v>
      </c>
      <c r="D149" s="554">
        <f>IFERROR('Device Resistance Tables'!D136,NA())</f>
        <v>13707.569013979157</v>
      </c>
      <c r="E149" s="664">
        <f>IFERROR('Device Resistance Tables'!F136,NA())</f>
        <v>13913.182549188843</v>
      </c>
      <c r="F149" s="690">
        <f>IFERROR(D149*($B$15/(Main!$N$31+D149)),NA())</f>
        <v>2.8909689150111713</v>
      </c>
      <c r="G149" s="690">
        <f>IFERROR($B$16*($B$15/(Main!$N$31+D149)),NA())</f>
        <v>2.1090310849888287</v>
      </c>
      <c r="H149" s="664">
        <f t="shared" si="21"/>
        <v>79.996639699224033</v>
      </c>
      <c r="I149" s="691">
        <f t="shared" si="13"/>
        <v>2.1090310849888289E-4</v>
      </c>
      <c r="J149" s="690">
        <f>IFERROR(($B$15/(Main!$N$31+D149))^2*(Main!$N$31+D149)*1000,NA())</f>
        <v>1.0545155424944144</v>
      </c>
      <c r="K149" s="274">
        <f t="shared" si="14"/>
        <v>-1.5000000000000051</v>
      </c>
      <c r="L149" s="274">
        <f t="shared" si="20"/>
        <v>1.4999999999999918</v>
      </c>
      <c r="M149" s="271">
        <f t="shared" si="17"/>
        <v>7.1406150893422726E-3</v>
      </c>
      <c r="N149" s="692"/>
      <c r="O149" s="569">
        <v>76</v>
      </c>
      <c r="P149" s="697">
        <v>1820.4</v>
      </c>
      <c r="Q149" s="697">
        <v>1869.8</v>
      </c>
      <c r="R149" s="697">
        <v>1920.5</v>
      </c>
      <c r="S149" s="695">
        <f>IFERROR(Q149*($B$15/(Main!$N$31+Q149)),NA())</f>
        <v>0.78762910916780404</v>
      </c>
      <c r="T149" s="664">
        <f t="shared" si="18"/>
        <v>54.700000000000045</v>
      </c>
      <c r="U149" s="696">
        <f>IFERROR(($B$15/(Main!$N$31+Q149))^2*(Main!$N$31+Q149)*1000,NA())</f>
        <v>2.1061854454160982</v>
      </c>
      <c r="V149" s="274">
        <f t="shared" si="15"/>
        <v>-2.6419937961279212</v>
      </c>
      <c r="W149" s="274">
        <f t="shared" si="16"/>
        <v>2.7115199486576129</v>
      </c>
      <c r="X149" s="271">
        <f t="shared" si="19"/>
        <v>1.9322964294395617E-2</v>
      </c>
      <c r="Y149" s="436"/>
      <c r="Z149" s="12"/>
      <c r="AA149" s="12"/>
      <c r="AB149" s="12"/>
      <c r="AM149" s="224"/>
      <c r="AN149" s="224"/>
      <c r="AO149" s="224"/>
      <c r="AP149" s="224"/>
      <c r="AQ149" s="179"/>
      <c r="AR149" s="224"/>
      <c r="AS149" s="224"/>
      <c r="AT149" s="224"/>
    </row>
    <row r="150" spans="1:46" ht="15.75" x14ac:dyDescent="0.25">
      <c r="A150" s="505">
        <v>118</v>
      </c>
      <c r="B150" s="506">
        <v>77</v>
      </c>
      <c r="C150" s="664">
        <f>IFERROR('Device Resistance Tables'!C137,NA())</f>
        <v>13581.100256036796</v>
      </c>
      <c r="D150" s="554">
        <f>IFERROR('Device Resistance Tables'!D137,NA())</f>
        <v>13787.919041661722</v>
      </c>
      <c r="E150" s="664">
        <f>IFERROR('Device Resistance Tables'!F137,NA())</f>
        <v>13994.737827286646</v>
      </c>
      <c r="F150" s="690">
        <f>IFERROR(D150*($B$15/(Main!$N$31+D150)),NA())</f>
        <v>2.898092728816215</v>
      </c>
      <c r="G150" s="690">
        <f>IFERROR($B$16*($B$15/(Main!$N$31+D150)),NA())</f>
        <v>2.1019072711837858</v>
      </c>
      <c r="H150" s="664">
        <f t="shared" si="21"/>
        <v>80.350027682565269</v>
      </c>
      <c r="I150" s="691">
        <f t="shared" si="13"/>
        <v>2.101907271183786E-4</v>
      </c>
      <c r="J150" s="690">
        <f>IFERROR(($B$15/(Main!$N$31+D150))^2*(Main!$N$31+D150)*1000,NA())</f>
        <v>1.0509536355918927</v>
      </c>
      <c r="K150" s="274">
        <f t="shared" si="14"/>
        <v>-1.5000000000000013</v>
      </c>
      <c r="L150" s="274">
        <f t="shared" si="20"/>
        <v>1.4999999999999882</v>
      </c>
      <c r="M150" s="271">
        <f t="shared" si="17"/>
        <v>7.1238138050437882E-3</v>
      </c>
      <c r="N150" s="692"/>
      <c r="O150" s="569">
        <v>77</v>
      </c>
      <c r="P150" s="697">
        <v>1768.4</v>
      </c>
      <c r="Q150" s="697">
        <v>1817</v>
      </c>
      <c r="R150" s="697">
        <v>1866.7</v>
      </c>
      <c r="S150" s="695">
        <f>IFERROR(Q150*($B$15/(Main!$N$31+Q150)),NA())</f>
        <v>0.76880764999576878</v>
      </c>
      <c r="T150" s="664">
        <f t="shared" si="18"/>
        <v>52.799999999999955</v>
      </c>
      <c r="U150" s="696">
        <f>IFERROR(($B$15/(Main!$N$31+Q150))^2*(Main!$N$31+Q150)*1000,NA())</f>
        <v>2.1155961750021155</v>
      </c>
      <c r="V150" s="274">
        <f t="shared" si="15"/>
        <v>-2.6747385800770451</v>
      </c>
      <c r="W150" s="274">
        <f t="shared" si="16"/>
        <v>2.7352779306549282</v>
      </c>
      <c r="X150" s="271">
        <f t="shared" si="19"/>
        <v>1.882145917203526E-2</v>
      </c>
      <c r="Y150" s="436"/>
      <c r="Z150" s="12"/>
      <c r="AA150" s="12"/>
      <c r="AB150" s="12"/>
      <c r="AM150" s="224"/>
      <c r="AN150" s="224"/>
      <c r="AO150" s="224"/>
      <c r="AP150" s="224"/>
      <c r="AQ150" s="179"/>
      <c r="AR150" s="224"/>
      <c r="AS150" s="224"/>
      <c r="AT150" s="224"/>
    </row>
    <row r="151" spans="1:46" ht="15.75" x14ac:dyDescent="0.25">
      <c r="A151" s="505">
        <v>119</v>
      </c>
      <c r="B151" s="506">
        <v>78</v>
      </c>
      <c r="C151" s="664">
        <f>IFERROR('Device Resistance Tables'!C138,NA())</f>
        <v>13660.594062249145</v>
      </c>
      <c r="D151" s="554">
        <f>IFERROR('Device Resistance Tables'!D138,NA())</f>
        <v>13868.623413450909</v>
      </c>
      <c r="E151" s="664">
        <f>IFERROR('Device Resistance Tables'!F138,NA())</f>
        <v>14076.65276465267</v>
      </c>
      <c r="F151" s="690">
        <f>IFERROR(D151*($B$15/(Main!$N$31+D151)),NA())</f>
        <v>2.9051996785108676</v>
      </c>
      <c r="G151" s="690">
        <f>IFERROR($B$16*($B$15/(Main!$N$31+D151)),NA())</f>
        <v>2.0948003214891324</v>
      </c>
      <c r="H151" s="664">
        <f t="shared" si="21"/>
        <v>80.704371789186553</v>
      </c>
      <c r="I151" s="691">
        <f t="shared" si="13"/>
        <v>2.0948003214891326E-4</v>
      </c>
      <c r="J151" s="690">
        <f>IFERROR(($B$15/(Main!$N$31+D151))^2*(Main!$N$31+D151)*1000,NA())</f>
        <v>1.0474001607445662</v>
      </c>
      <c r="K151" s="274">
        <f t="shared" si="14"/>
        <v>-1.499999999999998</v>
      </c>
      <c r="L151" s="274">
        <f t="shared" si="20"/>
        <v>1.4999999999999849</v>
      </c>
      <c r="M151" s="271">
        <f t="shared" si="17"/>
        <v>7.1069496946525312E-3</v>
      </c>
      <c r="N151" s="692"/>
      <c r="O151" s="569">
        <v>78</v>
      </c>
      <c r="P151" s="697">
        <v>1718.1</v>
      </c>
      <c r="Q151" s="697">
        <v>1765.8</v>
      </c>
      <c r="R151" s="697">
        <v>1814.7</v>
      </c>
      <c r="S151" s="695">
        <f>IFERROR(Q151*($B$15/(Main!$N$31+Q151)),NA())</f>
        <v>0.75039521324516822</v>
      </c>
      <c r="T151" s="664">
        <f t="shared" si="18"/>
        <v>51.200000000000045</v>
      </c>
      <c r="U151" s="696">
        <f>IFERROR(($B$15/(Main!$N$31+Q151))^2*(Main!$N$31+Q151)*1000,NA())</f>
        <v>2.1248023933774158</v>
      </c>
      <c r="V151" s="274">
        <f t="shared" si="15"/>
        <v>-2.7013251783894012</v>
      </c>
      <c r="W151" s="274">
        <f t="shared" si="16"/>
        <v>2.7692830445124073</v>
      </c>
      <c r="X151" s="271">
        <f t="shared" si="19"/>
        <v>1.8412436750600558E-2</v>
      </c>
      <c r="Y151" s="436"/>
      <c r="Z151" s="12"/>
      <c r="AA151" s="12"/>
      <c r="AB151" s="12"/>
      <c r="AM151" s="224"/>
      <c r="AN151" s="224"/>
      <c r="AO151" s="224"/>
      <c r="AP151" s="224"/>
      <c r="AQ151" s="179"/>
      <c r="AR151" s="224"/>
      <c r="AS151" s="224"/>
      <c r="AT151" s="224"/>
    </row>
    <row r="152" spans="1:46" ht="15.75" x14ac:dyDescent="0.25">
      <c r="A152" s="505">
        <v>120</v>
      </c>
      <c r="B152" s="506">
        <v>79</v>
      </c>
      <c r="C152" s="664">
        <f>IFERROR('Device Resistance Tables'!C139,NA())</f>
        <v>13740.43784779988</v>
      </c>
      <c r="D152" s="554">
        <f>IFERROR('Device Resistance Tables'!D139,NA())</f>
        <v>13949.683094213076</v>
      </c>
      <c r="E152" s="664">
        <f>IFERROR('Device Resistance Tables'!F139,NA())</f>
        <v>14158.928340626271</v>
      </c>
      <c r="F152" s="690">
        <f>IFERROR(D152*($B$15/(Main!$N$31+D152)),NA())</f>
        <v>2.9122897032369743</v>
      </c>
      <c r="G152" s="690">
        <f>IFERROR($B$16*($B$15/(Main!$N$31+D152)),NA())</f>
        <v>2.0877102967630257</v>
      </c>
      <c r="H152" s="664">
        <f t="shared" si="21"/>
        <v>81.059680762167773</v>
      </c>
      <c r="I152" s="691">
        <f t="shared" si="13"/>
        <v>2.0877102967630255E-4</v>
      </c>
      <c r="J152" s="690">
        <f>IFERROR(($B$15/(Main!$N$31+D152))^2*(Main!$N$31+D152)*1000,NA())</f>
        <v>1.0438551483815131</v>
      </c>
      <c r="K152" s="274">
        <f t="shared" si="14"/>
        <v>-1.5000000000000031</v>
      </c>
      <c r="L152" s="274">
        <f t="shared" si="20"/>
        <v>1.49999999999999</v>
      </c>
      <c r="M152" s="271">
        <f t="shared" si="17"/>
        <v>7.0900247261067584E-3</v>
      </c>
      <c r="N152" s="692"/>
      <c r="O152" s="569">
        <v>79</v>
      </c>
      <c r="P152" s="697">
        <v>1669.5</v>
      </c>
      <c r="Q152" s="697">
        <v>1716.4</v>
      </c>
      <c r="R152" s="697">
        <v>1764.4</v>
      </c>
      <c r="S152" s="695">
        <f>IFERROR(Q152*($B$15/(Main!$N$31+Q152)),NA())</f>
        <v>0.73247755283192795</v>
      </c>
      <c r="T152" s="664">
        <f t="shared" si="18"/>
        <v>49.399999999999864</v>
      </c>
      <c r="U152" s="696">
        <f>IFERROR(($B$15/(Main!$N$31+Q152))^2*(Main!$N$31+Q152)*1000,NA())</f>
        <v>2.1337612235840364</v>
      </c>
      <c r="V152" s="274">
        <f t="shared" si="15"/>
        <v>-2.7324632952691732</v>
      </c>
      <c r="W152" s="274">
        <f t="shared" si="16"/>
        <v>2.7965509205313448</v>
      </c>
      <c r="X152" s="271">
        <f t="shared" si="19"/>
        <v>1.7917660413240277E-2</v>
      </c>
      <c r="Y152" s="436"/>
      <c r="Z152" s="12"/>
      <c r="AA152" s="12"/>
      <c r="AB152" s="12"/>
      <c r="AM152" s="224"/>
      <c r="AN152" s="224"/>
      <c r="AO152" s="224"/>
      <c r="AP152" s="224"/>
      <c r="AQ152" s="179"/>
      <c r="AR152" s="224"/>
      <c r="AS152" s="224"/>
      <c r="AT152" s="224"/>
    </row>
    <row r="153" spans="1:46" ht="15.75" x14ac:dyDescent="0.25">
      <c r="A153" s="505">
        <v>121</v>
      </c>
      <c r="B153" s="506">
        <v>80</v>
      </c>
      <c r="C153" s="664">
        <f>IFERROR('Device Resistance Tables'!C140,NA())</f>
        <v>13820.63257169433</v>
      </c>
      <c r="D153" s="554">
        <f>IFERROR('Device Resistance Tables'!D140,NA())</f>
        <v>14031.099057557696</v>
      </c>
      <c r="E153" s="664">
        <f>IFERROR('Device Resistance Tables'!F140,NA())</f>
        <v>14241.56554342106</v>
      </c>
      <c r="F153" s="690">
        <f>IFERROR(D153*($B$15/(Main!$N$31+D153)),NA())</f>
        <v>2.9193627440741139</v>
      </c>
      <c r="G153" s="690">
        <f>IFERROR($B$16*($B$15/(Main!$N$31+D153)),NA())</f>
        <v>2.0806372559258866</v>
      </c>
      <c r="H153" s="664">
        <f t="shared" si="21"/>
        <v>81.41596334461974</v>
      </c>
      <c r="I153" s="691">
        <f t="shared" si="13"/>
        <v>2.0806372559258867E-4</v>
      </c>
      <c r="J153" s="690">
        <f>IFERROR(($B$15/(Main!$N$31+D153))^2*(Main!$N$31+D153)*1000,NA())</f>
        <v>1.0403186279629431</v>
      </c>
      <c r="K153" s="274">
        <f t="shared" si="14"/>
        <v>-1.5000000000000038</v>
      </c>
      <c r="L153" s="274">
        <f t="shared" si="20"/>
        <v>1.4999999999999907</v>
      </c>
      <c r="M153" s="271">
        <f t="shared" si="17"/>
        <v>7.0730408371395548E-3</v>
      </c>
      <c r="N153" s="692"/>
      <c r="O153" s="569">
        <v>80</v>
      </c>
      <c r="P153" s="697">
        <v>1622.5</v>
      </c>
      <c r="Q153" s="697">
        <v>1668.5</v>
      </c>
      <c r="R153" s="697">
        <v>1715.7</v>
      </c>
      <c r="S153" s="695">
        <f>IFERROR(Q153*($B$15/(Main!$N$31+Q153)),NA())</f>
        <v>0.71495907785919355</v>
      </c>
      <c r="T153" s="664">
        <f t="shared" si="18"/>
        <v>47.900000000000091</v>
      </c>
      <c r="U153" s="696">
        <f>IFERROR(($B$15/(Main!$N$31+Q153))^2*(Main!$N$31+Q153)*1000,NA())</f>
        <v>2.1425204610704029</v>
      </c>
      <c r="V153" s="274">
        <f t="shared" si="15"/>
        <v>-2.7569673359304767</v>
      </c>
      <c r="W153" s="274">
        <f t="shared" si="16"/>
        <v>2.8288882229547525</v>
      </c>
      <c r="X153" s="271">
        <f t="shared" si="19"/>
        <v>1.7518474972734399E-2</v>
      </c>
      <c r="Y153" s="436"/>
      <c r="Z153" s="12"/>
      <c r="AA153" s="12"/>
      <c r="AB153" s="12"/>
      <c r="AM153" s="224"/>
      <c r="AN153" s="224"/>
      <c r="AO153" s="224"/>
      <c r="AP153" s="224"/>
      <c r="AQ153" s="179"/>
      <c r="AR153" s="224"/>
      <c r="AS153" s="224"/>
      <c r="AT153" s="224"/>
    </row>
    <row r="154" spans="1:46" ht="15.75" x14ac:dyDescent="0.25">
      <c r="A154" s="505">
        <v>122</v>
      </c>
      <c r="B154" s="506">
        <v>81</v>
      </c>
      <c r="C154" s="664">
        <f>IFERROR('Device Resistance Tables'!C141,NA())</f>
        <v>13901.179201549752</v>
      </c>
      <c r="D154" s="554">
        <f>IFERROR('Device Resistance Tables'!D141,NA())</f>
        <v>14112.872285837311</v>
      </c>
      <c r="E154" s="664">
        <f>IFERROR('Device Resistance Tables'!F141,NA())</f>
        <v>14324.56537012487</v>
      </c>
      <c r="F154" s="690">
        <f>IFERROR(D154*($B$15/(Main!$N$31+D154)),NA())</f>
        <v>2.9264187440097094</v>
      </c>
      <c r="G154" s="690">
        <f>IFERROR($B$16*($B$15/(Main!$N$31+D154)),NA())</f>
        <v>2.0735812559902906</v>
      </c>
      <c r="H154" s="664">
        <f t="shared" si="21"/>
        <v>81.773228279615068</v>
      </c>
      <c r="I154" s="691">
        <f t="shared" si="13"/>
        <v>2.0735812559902905E-4</v>
      </c>
      <c r="J154" s="690">
        <f>IFERROR(($B$15/(Main!$N$31+D154))^2*(Main!$N$31+D154)*1000,NA())</f>
        <v>1.0367906279951453</v>
      </c>
      <c r="K154" s="274">
        <f t="shared" si="14"/>
        <v>-1.4999999999999953</v>
      </c>
      <c r="L154" s="274">
        <f t="shared" si="20"/>
        <v>1.4999999999999953</v>
      </c>
      <c r="M154" s="271">
        <f t="shared" si="17"/>
        <v>7.0559999355954695E-3</v>
      </c>
      <c r="N154" s="692"/>
      <c r="O154" s="569">
        <v>81</v>
      </c>
      <c r="P154" s="697">
        <v>1577.2</v>
      </c>
      <c r="Q154" s="697">
        <v>1622.4</v>
      </c>
      <c r="R154" s="697">
        <v>1668.7</v>
      </c>
      <c r="S154" s="695">
        <f>IFERROR(Q154*($B$15/(Main!$N$31+Q154)),NA())</f>
        <v>0.6979625550660794</v>
      </c>
      <c r="T154" s="664">
        <f t="shared" si="18"/>
        <v>46.099999999999909</v>
      </c>
      <c r="U154" s="696">
        <f>IFERROR(($B$15/(Main!$N$31+Q154))^2*(Main!$N$31+Q154)*1000,NA())</f>
        <v>2.1510187224669606</v>
      </c>
      <c r="V154" s="274">
        <f t="shared" si="15"/>
        <v>-2.785996055226827</v>
      </c>
      <c r="W154" s="274">
        <f t="shared" si="16"/>
        <v>2.8537968441814563</v>
      </c>
      <c r="X154" s="271">
        <f t="shared" si="19"/>
        <v>1.6996522793114144E-2</v>
      </c>
      <c r="Y154" s="436"/>
      <c r="Z154" s="12"/>
      <c r="AA154" s="12"/>
      <c r="AB154" s="12"/>
      <c r="AM154" s="224"/>
      <c r="AN154" s="224"/>
      <c r="AO154" s="224"/>
      <c r="AP154" s="224"/>
      <c r="AQ154" s="179"/>
      <c r="AR154" s="224"/>
      <c r="AS154" s="224"/>
      <c r="AT154" s="224"/>
    </row>
    <row r="155" spans="1:46" ht="15.75" x14ac:dyDescent="0.25">
      <c r="A155" s="505">
        <v>123</v>
      </c>
      <c r="B155" s="506">
        <v>82</v>
      </c>
      <c r="C155" s="664">
        <f>IFERROR('Device Resistance Tables'!C142,NA())</f>
        <v>13982.078713595349</v>
      </c>
      <c r="D155" s="554">
        <f>IFERROR('Device Resistance Tables'!D142,NA())</f>
        <v>14195.003770147563</v>
      </c>
      <c r="E155" s="664">
        <f>IFERROR('Device Resistance Tables'!F142,NA())</f>
        <v>14407.928826699776</v>
      </c>
      <c r="F155" s="690">
        <f>IFERROR(D155*($B$15/(Main!$N$31+D155)),NA())</f>
        <v>2.9334576479094694</v>
      </c>
      <c r="G155" s="690">
        <f>IFERROR($B$16*($B$15/(Main!$N$31+D155)),NA())</f>
        <v>2.0665423520905306</v>
      </c>
      <c r="H155" s="664">
        <f t="shared" si="21"/>
        <v>82.131484310251835</v>
      </c>
      <c r="I155" s="691">
        <f t="shared" si="13"/>
        <v>2.0665423520905304E-4</v>
      </c>
      <c r="J155" s="690">
        <f>IFERROR(($B$15/(Main!$N$31+D155))^2*(Main!$N$31+D155)*1000,NA())</f>
        <v>1.0332711760452655</v>
      </c>
      <c r="K155" s="274">
        <f t="shared" si="14"/>
        <v>-1.500000000000006</v>
      </c>
      <c r="L155" s="274">
        <f t="shared" si="20"/>
        <v>1.4999999999999931</v>
      </c>
      <c r="M155" s="271">
        <f t="shared" si="17"/>
        <v>7.0389038997600295E-3</v>
      </c>
      <c r="N155" s="692"/>
      <c r="O155" s="569">
        <v>82</v>
      </c>
      <c r="P155" s="697">
        <v>1533.4</v>
      </c>
      <c r="Q155" s="697">
        <v>1577.7</v>
      </c>
      <c r="R155" s="697">
        <v>1623.2</v>
      </c>
      <c r="S155" s="695">
        <f>IFERROR(Q155*($B$15/(Main!$N$31+Q155)),NA())</f>
        <v>0.68135294574915573</v>
      </c>
      <c r="T155" s="664">
        <f t="shared" si="18"/>
        <v>44.700000000000045</v>
      </c>
      <c r="U155" s="696">
        <f>IFERROR(($B$15/(Main!$N$31+Q155))^2*(Main!$N$31+Q155)*1000,NA())</f>
        <v>2.1593235271254221</v>
      </c>
      <c r="V155" s="274">
        <f t="shared" si="15"/>
        <v>-2.8078848957342939</v>
      </c>
      <c r="W155" s="274">
        <f t="shared" si="16"/>
        <v>2.8839449832033974</v>
      </c>
      <c r="X155" s="271">
        <f t="shared" si="19"/>
        <v>1.6609609316923679E-2</v>
      </c>
      <c r="Y155" s="436"/>
      <c r="Z155" s="12"/>
      <c r="AA155" s="12"/>
      <c r="AB155" s="12"/>
      <c r="AM155" s="224"/>
      <c r="AN155" s="224"/>
      <c r="AO155" s="224"/>
      <c r="AP155" s="224"/>
      <c r="AQ155" s="179"/>
      <c r="AR155" s="224"/>
      <c r="AS155" s="224"/>
      <c r="AT155" s="224"/>
    </row>
    <row r="156" spans="1:46" ht="15.75" x14ac:dyDescent="0.25">
      <c r="A156" s="505">
        <v>124</v>
      </c>
      <c r="B156" s="506">
        <v>83</v>
      </c>
      <c r="C156" s="664">
        <f>IFERROR('Device Resistance Tables'!C143,NA())</f>
        <v>14063.332092672286</v>
      </c>
      <c r="D156" s="554">
        <f>IFERROR('Device Resistance Tables'!D143,NA())</f>
        <v>14277.494510327195</v>
      </c>
      <c r="E156" s="664">
        <f>IFERROR('Device Resistance Tables'!F143,NA())</f>
        <v>14491.656927982101</v>
      </c>
      <c r="F156" s="690">
        <f>IFERROR(D156*($B$15/(Main!$N$31+D156)),NA())</f>
        <v>2.9404794024881382</v>
      </c>
      <c r="G156" s="690">
        <f>IFERROR($B$16*($B$15/(Main!$N$31+D156)),NA())</f>
        <v>2.0595205975118613</v>
      </c>
      <c r="H156" s="664">
        <f t="shared" si="21"/>
        <v>82.490740179631757</v>
      </c>
      <c r="I156" s="691">
        <f t="shared" si="13"/>
        <v>2.0595205975118612E-4</v>
      </c>
      <c r="J156" s="690">
        <f>IFERROR(($B$15/(Main!$N$31+D156))^2*(Main!$N$31+D156)*1000,NA())</f>
        <v>1.0297602987559307</v>
      </c>
      <c r="K156" s="274">
        <f t="shared" si="14"/>
        <v>-1.500000000000004</v>
      </c>
      <c r="L156" s="274">
        <f t="shared" si="20"/>
        <v>1.4999999999999913</v>
      </c>
      <c r="M156" s="271">
        <f t="shared" si="17"/>
        <v>7.0217545786688262E-3</v>
      </c>
      <c r="N156" s="692"/>
      <c r="O156" s="569">
        <v>83</v>
      </c>
      <c r="P156" s="697">
        <v>1490.9</v>
      </c>
      <c r="Q156" s="697">
        <v>1534.5</v>
      </c>
      <c r="R156" s="697">
        <v>1579.2</v>
      </c>
      <c r="S156" s="695">
        <f>IFERROR(Q156*($B$15/(Main!$N$31+Q156)),NA())</f>
        <v>0.66517837790974899</v>
      </c>
      <c r="T156" s="664">
        <f t="shared" si="18"/>
        <v>43.200000000000045</v>
      </c>
      <c r="U156" s="696">
        <f>IFERROR(($B$15/(Main!$N$31+Q156))^2*(Main!$N$31+Q156)*1000,NA())</f>
        <v>2.1674108110451256</v>
      </c>
      <c r="V156" s="274">
        <f t="shared" si="15"/>
        <v>-2.8413163897034805</v>
      </c>
      <c r="W156" s="274">
        <f t="shared" si="16"/>
        <v>2.9130009775171097</v>
      </c>
      <c r="X156" s="271">
        <f t="shared" si="19"/>
        <v>1.6174567839406739E-2</v>
      </c>
      <c r="Y156" s="436"/>
      <c r="Z156" s="12"/>
      <c r="AA156" s="12"/>
      <c r="AB156" s="12"/>
      <c r="AM156" s="224"/>
      <c r="AN156" s="224"/>
      <c r="AO156" s="224"/>
      <c r="AP156" s="224"/>
      <c r="AQ156" s="179"/>
      <c r="AR156" s="224"/>
      <c r="AS156" s="224"/>
      <c r="AT156" s="224"/>
    </row>
    <row r="157" spans="1:46" ht="15.75" x14ac:dyDescent="0.25">
      <c r="A157" s="505">
        <v>125</v>
      </c>
      <c r="B157" s="506">
        <v>84</v>
      </c>
      <c r="C157" s="664">
        <f>IFERROR('Device Resistance Tables'!C144,NA())</f>
        <v>14144.940332233662</v>
      </c>
      <c r="D157" s="554">
        <f>IFERROR('Device Resistance Tables'!D144,NA())</f>
        <v>14360.345514958033</v>
      </c>
      <c r="E157" s="664">
        <f>IFERROR('Device Resistance Tables'!F144,NA())</f>
        <v>14575.750697682402</v>
      </c>
      <c r="F157" s="690">
        <f>IFERROR(D157*($B$15/(Main!$N$31+D157)),NA())</f>
        <v>2.9474839562805712</v>
      </c>
      <c r="G157" s="690">
        <f>IFERROR($B$16*($B$15/(Main!$N$31+D157)),NA())</f>
        <v>2.0525160437194292</v>
      </c>
      <c r="H157" s="664">
        <f t="shared" si="21"/>
        <v>82.851004630838361</v>
      </c>
      <c r="I157" s="691">
        <f t="shared" si="13"/>
        <v>2.0525160437194292E-4</v>
      </c>
      <c r="J157" s="690">
        <f>IFERROR(($B$15/(Main!$N$31+D157))^2*(Main!$N$31+D157)*1000,NA())</f>
        <v>1.0262580218597146</v>
      </c>
      <c r="K157" s="274">
        <f t="shared" si="14"/>
        <v>-1.5000000000000042</v>
      </c>
      <c r="L157" s="274">
        <f t="shared" si="20"/>
        <v>1.4999999999999916</v>
      </c>
      <c r="M157" s="271">
        <f t="shared" si="17"/>
        <v>7.0045537924330326E-3</v>
      </c>
      <c r="N157" s="692"/>
      <c r="O157" s="569">
        <v>84</v>
      </c>
      <c r="P157" s="697">
        <v>1449.9</v>
      </c>
      <c r="Q157" s="697">
        <v>1492.7</v>
      </c>
      <c r="R157" s="697">
        <v>1536.5</v>
      </c>
      <c r="S157" s="695">
        <f>IFERROR(Q157*($B$15/(Main!$N$31+Q157)),NA())</f>
        <v>0.64941223559302863</v>
      </c>
      <c r="T157" s="664">
        <f t="shared" si="18"/>
        <v>41.799999999999955</v>
      </c>
      <c r="U157" s="696">
        <f>IFERROR(($B$15/(Main!$N$31+Q157))^2*(Main!$N$31+Q157)*1000,NA())</f>
        <v>2.1752938822034857</v>
      </c>
      <c r="V157" s="274">
        <f t="shared" si="15"/>
        <v>-2.867287465666239</v>
      </c>
      <c r="W157" s="274">
        <f t="shared" si="16"/>
        <v>2.9342801634621796</v>
      </c>
      <c r="X157" s="271">
        <f t="shared" si="19"/>
        <v>1.5766142316720355E-2</v>
      </c>
      <c r="Y157" s="436"/>
      <c r="Z157" s="12"/>
      <c r="AA157" s="12"/>
      <c r="AB157" s="12"/>
      <c r="AM157" s="224"/>
      <c r="AN157" s="224"/>
      <c r="AO157" s="224"/>
      <c r="AP157" s="224"/>
      <c r="AQ157" s="179"/>
      <c r="AR157" s="224"/>
      <c r="AS157" s="224"/>
      <c r="AT157" s="224"/>
    </row>
    <row r="158" spans="1:46" ht="15.75" x14ac:dyDescent="0.25">
      <c r="A158" s="505">
        <v>126</v>
      </c>
      <c r="B158" s="506">
        <v>85</v>
      </c>
      <c r="C158" s="664">
        <f>IFERROR('Device Resistance Tables'!C145,NA())</f>
        <v>14226.904434344529</v>
      </c>
      <c r="D158" s="554">
        <f>IFERROR('Device Resistance Tables'!D145,NA())</f>
        <v>14443.557801365005</v>
      </c>
      <c r="E158" s="664">
        <f>IFERROR('Device Resistance Tables'!F145,NA())</f>
        <v>14660.211168385478</v>
      </c>
      <c r="F158" s="690">
        <f>IFERROR(D158*($B$15/(Main!$N$31+D158)),NA())</f>
        <v>2.9544712596131224</v>
      </c>
      <c r="G158" s="690">
        <f>IFERROR($B$16*($B$15/(Main!$N$31+D158)),NA())</f>
        <v>2.045528740386878</v>
      </c>
      <c r="H158" s="664">
        <f t="shared" si="21"/>
        <v>83.212286406971543</v>
      </c>
      <c r="I158" s="691">
        <f t="shared" si="13"/>
        <v>2.045528740386878E-4</v>
      </c>
      <c r="J158" s="690">
        <f>IFERROR(($B$15/(Main!$N$31+D158))^2*(Main!$N$31+D158)*1000,NA())</f>
        <v>1.022764370193439</v>
      </c>
      <c r="K158" s="274">
        <f t="shared" si="14"/>
        <v>-1.5000000000000018</v>
      </c>
      <c r="L158" s="274">
        <f t="shared" si="20"/>
        <v>1.4999999999999893</v>
      </c>
      <c r="M158" s="271">
        <f t="shared" si="17"/>
        <v>6.9873033325511535E-3</v>
      </c>
      <c r="N158" s="692"/>
      <c r="O158" s="569">
        <v>85</v>
      </c>
      <c r="P158" s="697">
        <v>1410.1</v>
      </c>
      <c r="Q158" s="697">
        <v>1452.1</v>
      </c>
      <c r="R158" s="697">
        <v>1495.2</v>
      </c>
      <c r="S158" s="695">
        <f>IFERROR(Q158*($B$15/(Main!$N$31+Q158)),NA())</f>
        <v>0.63398852612184664</v>
      </c>
      <c r="T158" s="664">
        <f t="shared" si="18"/>
        <v>40.600000000000136</v>
      </c>
      <c r="U158" s="696">
        <f>IFERROR(($B$15/(Main!$N$31+Q158))^2*(Main!$N$31+Q158)*1000,NA())</f>
        <v>2.1830057369390765</v>
      </c>
      <c r="V158" s="274">
        <f t="shared" si="15"/>
        <v>-2.8923627849321671</v>
      </c>
      <c r="W158" s="274">
        <f t="shared" si="16"/>
        <v>2.968115143585162</v>
      </c>
      <c r="X158" s="271">
        <f t="shared" si="19"/>
        <v>1.542370947118199E-2</v>
      </c>
      <c r="Y158" s="436"/>
      <c r="Z158" s="12"/>
      <c r="AA158" s="12"/>
      <c r="AB158" s="12"/>
      <c r="AM158" s="224"/>
      <c r="AN158" s="224"/>
      <c r="AO158" s="224"/>
      <c r="AP158" s="224"/>
      <c r="AQ158" s="179"/>
      <c r="AR158" s="224"/>
      <c r="AS158" s="224"/>
      <c r="AT158" s="224"/>
    </row>
    <row r="159" spans="1:46" ht="15.75" x14ac:dyDescent="0.25">
      <c r="A159" s="505">
        <v>127</v>
      </c>
      <c r="B159" s="506">
        <v>86</v>
      </c>
      <c r="C159" s="664">
        <f>IFERROR('Device Resistance Tables'!C146,NA())</f>
        <v>14309.225409681872</v>
      </c>
      <c r="D159" s="554">
        <f>IFERROR('Device Resistance Tables'!D146,NA())</f>
        <v>14527.132395616114</v>
      </c>
      <c r="E159" s="664">
        <f>IFERROR('Device Resistance Tables'!F146,NA())</f>
        <v>14745.039381550354</v>
      </c>
      <c r="F159" s="690">
        <f>IFERROR(D159*($B$15/(Main!$N$31+D159)),NA())</f>
        <v>2.9614412645753561</v>
      </c>
      <c r="G159" s="690">
        <f>IFERROR($B$16*($B$15/(Main!$N$31+D159)),NA())</f>
        <v>2.0385587354246439</v>
      </c>
      <c r="H159" s="664">
        <f t="shared" si="21"/>
        <v>83.574594251109374</v>
      </c>
      <c r="I159" s="691">
        <f t="shared" si="13"/>
        <v>2.0385587354246438E-4</v>
      </c>
      <c r="J159" s="690">
        <f>IFERROR(($B$15/(Main!$N$31+D159))^2*(Main!$N$31+D159)*1000,NA())</f>
        <v>1.0192793677123217</v>
      </c>
      <c r="K159" s="274">
        <f t="shared" si="14"/>
        <v>-1.4999999999999998</v>
      </c>
      <c r="L159" s="274">
        <f t="shared" si="20"/>
        <v>1.4999999999999873</v>
      </c>
      <c r="M159" s="271">
        <f t="shared" si="17"/>
        <v>6.9700049622336557E-3</v>
      </c>
      <c r="N159" s="692"/>
      <c r="O159" s="569">
        <v>86</v>
      </c>
      <c r="P159" s="697">
        <v>1371.7</v>
      </c>
      <c r="Q159" s="697">
        <v>1412.9</v>
      </c>
      <c r="R159" s="697">
        <v>1455.2</v>
      </c>
      <c r="S159" s="695">
        <f>IFERROR(Q159*($B$15/(Main!$N$31+Q159)),NA())</f>
        <v>0.61899254352530908</v>
      </c>
      <c r="T159" s="664">
        <f t="shared" si="18"/>
        <v>39.199999999999818</v>
      </c>
      <c r="U159" s="696">
        <f>IFERROR(($B$15/(Main!$N$31+Q159))^2*(Main!$N$31+Q159)*1000,NA())</f>
        <v>2.1905037282373452</v>
      </c>
      <c r="V159" s="274">
        <f t="shared" si="15"/>
        <v>-2.915988392667566</v>
      </c>
      <c r="W159" s="274">
        <f t="shared" si="16"/>
        <v>2.9938424516950919</v>
      </c>
      <c r="X159" s="271">
        <f t="shared" si="19"/>
        <v>1.499598259653756E-2</v>
      </c>
      <c r="Y159" s="436"/>
      <c r="Z159" s="12"/>
      <c r="AA159" s="12"/>
      <c r="AB159" s="12"/>
      <c r="AM159" s="224"/>
      <c r="AN159" s="224"/>
      <c r="AO159" s="224"/>
      <c r="AP159" s="224"/>
      <c r="AQ159" s="179"/>
      <c r="AR159" s="224"/>
      <c r="AS159" s="224"/>
      <c r="AT159" s="224"/>
    </row>
    <row r="160" spans="1:46" ht="15.75" x14ac:dyDescent="0.25">
      <c r="A160" s="505">
        <v>128</v>
      </c>
      <c r="B160" s="506">
        <v>87</v>
      </c>
      <c r="C160" s="664">
        <f>IFERROR('Device Resistance Tables'!C147,NA())</f>
        <v>14391.904277534633</v>
      </c>
      <c r="D160" s="554">
        <f>IFERROR('Device Resistance Tables'!D147,NA())</f>
        <v>14611.070332522471</v>
      </c>
      <c r="E160" s="664">
        <f>IFERROR('Device Resistance Tables'!F147,NA())</f>
        <v>14830.236387510307</v>
      </c>
      <c r="F160" s="690">
        <f>IFERROR(D160*($B$15/(Main!$N$31+D160)),NA())</f>
        <v>2.9683939249920739</v>
      </c>
      <c r="G160" s="690">
        <f>IFERROR($B$16*($B$15/(Main!$N$31+D160)),NA())</f>
        <v>2.0316060750079266</v>
      </c>
      <c r="H160" s="664">
        <f t="shared" si="21"/>
        <v>83.937936906357208</v>
      </c>
      <c r="I160" s="691">
        <f t="shared" si="13"/>
        <v>2.0316060750079267E-4</v>
      </c>
      <c r="J160" s="690">
        <f>IFERROR(($B$15/(Main!$N$31+D160))^2*(Main!$N$31+D160)*1000,NA())</f>
        <v>1.0158030375039633</v>
      </c>
      <c r="K160" s="274">
        <f t="shared" si="14"/>
        <v>-1.5000000000000058</v>
      </c>
      <c r="L160" s="274">
        <f t="shared" si="20"/>
        <v>1.4999999999999933</v>
      </c>
      <c r="M160" s="271">
        <f t="shared" si="17"/>
        <v>6.9526604167178263E-3</v>
      </c>
      <c r="N160" s="692"/>
      <c r="O160" s="569">
        <v>87</v>
      </c>
      <c r="P160" s="697">
        <v>1334.4</v>
      </c>
      <c r="Q160" s="697">
        <v>1374.9</v>
      </c>
      <c r="R160" s="697">
        <v>1416.5</v>
      </c>
      <c r="S160" s="695">
        <f>IFERROR(Q160*($B$15/(Main!$N$31+Q160)),NA())</f>
        <v>0.60435696137988026</v>
      </c>
      <c r="T160" s="664">
        <f t="shared" si="18"/>
        <v>38</v>
      </c>
      <c r="U160" s="696">
        <f>IFERROR(($B$15/(Main!$N$31+Q160))^2*(Main!$N$31+Q160)*1000,NA())</f>
        <v>2.1978215193100596</v>
      </c>
      <c r="V160" s="274">
        <f t="shared" si="15"/>
        <v>-2.9456687759109754</v>
      </c>
      <c r="W160" s="274">
        <f t="shared" si="16"/>
        <v>3.0256745945159582</v>
      </c>
      <c r="X160" s="271">
        <f t="shared" si="19"/>
        <v>1.4635582145428816E-2</v>
      </c>
      <c r="Y160" s="436"/>
      <c r="Z160" s="12"/>
      <c r="AA160" s="12"/>
      <c r="AB160" s="12"/>
      <c r="AM160" s="224"/>
      <c r="AN160" s="224"/>
      <c r="AO160" s="224"/>
      <c r="AP160" s="224"/>
      <c r="AQ160" s="179"/>
      <c r="AR160" s="224"/>
      <c r="AS160" s="224"/>
      <c r="AT160" s="224"/>
    </row>
    <row r="161" spans="1:46" ht="15.75" x14ac:dyDescent="0.25">
      <c r="A161" s="505">
        <v>129</v>
      </c>
      <c r="B161" s="506">
        <v>88</v>
      </c>
      <c r="C161" s="664">
        <f>IFERROR('Device Resistance Tables'!C148,NA())</f>
        <v>14474.9420658037</v>
      </c>
      <c r="D161" s="554">
        <f>IFERROR('Device Resistance Tables'!D148,NA())</f>
        <v>14695.372655638273</v>
      </c>
      <c r="E161" s="664">
        <f>IFERROR('Device Resistance Tables'!F148,NA())</f>
        <v>14915.803245472845</v>
      </c>
      <c r="F161" s="690">
        <f>IFERROR(D161*($B$15/(Main!$N$31+D161)),NA())</f>
        <v>2.9753291963956512</v>
      </c>
      <c r="G161" s="690">
        <f>IFERROR($B$16*($B$15/(Main!$N$31+D161)),NA())</f>
        <v>2.0246708036043484</v>
      </c>
      <c r="H161" s="664">
        <f t="shared" si="21"/>
        <v>84.30232311580221</v>
      </c>
      <c r="I161" s="691">
        <f t="shared" si="13"/>
        <v>2.0246708036043484E-4</v>
      </c>
      <c r="J161" s="690">
        <f>IFERROR(($B$15/(Main!$N$31+D161))^2*(Main!$N$31+D161)*1000,NA())</f>
        <v>1.0123354018021742</v>
      </c>
      <c r="K161" s="274">
        <f t="shared" si="14"/>
        <v>-1.4999999999999978</v>
      </c>
      <c r="L161" s="274">
        <f t="shared" ref="L161:L192" si="22">IFERROR(((E161-D161)/D161)*100,NA())</f>
        <v>1.4999999999999853</v>
      </c>
      <c r="M161" s="271">
        <f t="shared" si="17"/>
        <v>6.9352714035773033E-3</v>
      </c>
      <c r="N161" s="692"/>
      <c r="O161" s="569">
        <v>88</v>
      </c>
      <c r="P161" s="697">
        <v>1298.4000000000001</v>
      </c>
      <c r="Q161" s="697">
        <v>1338.1</v>
      </c>
      <c r="R161" s="697">
        <v>1379</v>
      </c>
      <c r="S161" s="695">
        <f>IFERROR(Q161*($B$15/(Main!$N$31+Q161)),NA())</f>
        <v>0.59009005036117157</v>
      </c>
      <c r="T161" s="664">
        <f t="shared" si="18"/>
        <v>36.800000000000182</v>
      </c>
      <c r="U161" s="696">
        <f>IFERROR(($B$15/(Main!$N$31+Q161))^2*(Main!$N$31+Q161)*1000,NA())</f>
        <v>2.2049549748194144</v>
      </c>
      <c r="V161" s="274">
        <f t="shared" si="15"/>
        <v>-2.9668933562513877</v>
      </c>
      <c r="W161" s="274">
        <f t="shared" si="16"/>
        <v>3.0565727524101409</v>
      </c>
      <c r="X161" s="271">
        <f t="shared" si="19"/>
        <v>1.4266911018708694E-2</v>
      </c>
      <c r="Y161" s="436"/>
      <c r="Z161" s="12"/>
      <c r="AA161" s="12"/>
      <c r="AB161" s="12"/>
      <c r="AM161" s="224"/>
      <c r="AN161" s="224"/>
      <c r="AO161" s="224"/>
      <c r="AP161" s="224"/>
      <c r="AQ161" s="179"/>
      <c r="AR161" s="224"/>
      <c r="AS161" s="224"/>
      <c r="AT161" s="224"/>
    </row>
    <row r="162" spans="1:46" ht="15.75" x14ac:dyDescent="0.25">
      <c r="A162" s="505">
        <v>130</v>
      </c>
      <c r="B162" s="506">
        <v>89</v>
      </c>
      <c r="C162" s="664">
        <f>IFERROR('Device Resistance Tables'!C149,NA())</f>
        <v>14558.339811001906</v>
      </c>
      <c r="D162" s="554">
        <f>IFERROR('Device Resistance Tables'!D149,NA())</f>
        <v>14780.040417260818</v>
      </c>
      <c r="E162" s="664">
        <f>IFERROR('Device Resistance Tables'!F149,NA())</f>
        <v>15001.741023519729</v>
      </c>
      <c r="F162" s="690">
        <f>IFERROR(D162*($B$15/(Main!$N$31+D162)),NA())</f>
        <v>2.982247035998701</v>
      </c>
      <c r="G162" s="690">
        <f>IFERROR($B$16*($B$15/(Main!$N$31+D162)),NA())</f>
        <v>2.017752964001299</v>
      </c>
      <c r="H162" s="664">
        <f t="shared" ref="H162:H193" si="23">IFERROR(D162-D161,NA())</f>
        <v>84.667761622544276</v>
      </c>
      <c r="I162" s="691">
        <f t="shared" ref="I162:I198" si="24">$F162/$D162</f>
        <v>2.017752964001299E-4</v>
      </c>
      <c r="J162" s="690">
        <f>IFERROR(($B$15/(Main!$N$31+D162))^2*(Main!$N$31+D162)*1000,NA())</f>
        <v>1.0088764820006495</v>
      </c>
      <c r="K162" s="274">
        <f t="shared" ref="K162:K223" si="25">IFERROR(((D162-C162)/D162)*-100,NA())</f>
        <v>-1.4999999999999958</v>
      </c>
      <c r="L162" s="274">
        <f t="shared" si="22"/>
        <v>1.4999999999999958</v>
      </c>
      <c r="M162" s="271">
        <f t="shared" si="17"/>
        <v>6.9178396030498135E-3</v>
      </c>
      <c r="N162" s="692"/>
      <c r="O162" s="569">
        <v>89</v>
      </c>
      <c r="P162" s="697">
        <v>1263.5</v>
      </c>
      <c r="Q162" s="697">
        <v>1302.5</v>
      </c>
      <c r="R162" s="697">
        <v>1342.6</v>
      </c>
      <c r="S162" s="695">
        <f>IFERROR(Q162*($B$15/(Main!$N$31+Q162)),NA())</f>
        <v>0.57619995576199956</v>
      </c>
      <c r="T162" s="664">
        <f t="shared" si="18"/>
        <v>35.599999999999909</v>
      </c>
      <c r="U162" s="696">
        <f>IFERROR(($B$15/(Main!$N$31+Q162))^2*(Main!$N$31+Q162)*1000,NA())</f>
        <v>2.2119000221190004</v>
      </c>
      <c r="V162" s="274">
        <f t="shared" ref="V162:V223" si="26">IFERROR(((Q162-P162)/Q162)*-100,NA())</f>
        <v>-2.9942418426103647</v>
      </c>
      <c r="W162" s="274">
        <f t="shared" ref="W162:W223" si="27">IFERROR(((R162-Q162)/Q162)*100,NA())</f>
        <v>3.0786948176583424</v>
      </c>
      <c r="X162" s="271">
        <f t="shared" si="19"/>
        <v>1.3890094599172009E-2</v>
      </c>
      <c r="Y162" s="436"/>
      <c r="Z162" s="12"/>
      <c r="AA162" s="12"/>
      <c r="AB162" s="12"/>
      <c r="AM162" s="224"/>
      <c r="AN162" s="224"/>
      <c r="AO162" s="224"/>
      <c r="AP162" s="224"/>
      <c r="AQ162" s="179"/>
      <c r="AR162" s="224"/>
      <c r="AS162" s="224"/>
      <c r="AT162" s="224"/>
    </row>
    <row r="163" spans="1:46" ht="15.75" x14ac:dyDescent="0.25">
      <c r="A163" s="505">
        <v>131</v>
      </c>
      <c r="B163" s="506">
        <v>90</v>
      </c>
      <c r="C163" s="664">
        <f>IFERROR('Device Resistance Tables'!C150,NA())</f>
        <v>14642.098558254023</v>
      </c>
      <c r="D163" s="554">
        <f>IFERROR('Device Resistance Tables'!D150,NA())</f>
        <v>14865.074678430481</v>
      </c>
      <c r="E163" s="664">
        <f>IFERROR('Device Resistance Tables'!F150,NA())</f>
        <v>15088.050798606937</v>
      </c>
      <c r="F163" s="690">
        <f>IFERROR(D163*($B$15/(Main!$N$31+D163)),NA())</f>
        <v>2.9891474026670379</v>
      </c>
      <c r="G163" s="690">
        <f>IFERROR($B$16*($B$15/(Main!$N$31+D163)),NA())</f>
        <v>2.0108525973329621</v>
      </c>
      <c r="H163" s="664">
        <f t="shared" si="23"/>
        <v>85.034261169663296</v>
      </c>
      <c r="I163" s="691">
        <f t="shared" si="24"/>
        <v>2.0108525973329622E-4</v>
      </c>
      <c r="J163" s="690">
        <f>IFERROR(($B$15/(Main!$N$31+D163))^2*(Main!$N$31+D163)*1000,NA())</f>
        <v>1.005426298666481</v>
      </c>
      <c r="K163" s="274">
        <f t="shared" si="25"/>
        <v>-1.5000000000000033</v>
      </c>
      <c r="L163" s="274">
        <f t="shared" si="22"/>
        <v>1.4999999999999909</v>
      </c>
      <c r="M163" s="271">
        <f t="shared" ref="M163:M223" si="28">IFERROR(F163-F162,NA())</f>
        <v>6.9003666683369325E-3</v>
      </c>
      <c r="N163" s="692"/>
      <c r="O163" s="569">
        <v>90</v>
      </c>
      <c r="P163" s="697">
        <v>1229.5999999999999</v>
      </c>
      <c r="Q163" s="697">
        <v>1268</v>
      </c>
      <c r="R163" s="697">
        <v>1307.4000000000001</v>
      </c>
      <c r="S163" s="695">
        <f>IFERROR(Q163*($B$15/(Main!$N$31+Q163)),NA())</f>
        <v>0.56265530706425282</v>
      </c>
      <c r="T163" s="664">
        <f t="shared" ref="T163:T223" si="29">IFERROR(Q162-Q163,NA())</f>
        <v>34.5</v>
      </c>
      <c r="U163" s="696">
        <f>IFERROR(($B$15/(Main!$N$31+Q163))^2*(Main!$N$31+Q163)*1000,NA())</f>
        <v>2.2186723464678741</v>
      </c>
      <c r="V163" s="274">
        <f t="shared" si="26"/>
        <v>-3.0283911671924364</v>
      </c>
      <c r="W163" s="274">
        <f t="shared" si="27"/>
        <v>3.1072555205047392</v>
      </c>
      <c r="X163" s="271">
        <f t="shared" ref="X163:X223" si="30">IFERROR(S162-S163,NA())</f>
        <v>1.3544648697746742E-2</v>
      </c>
      <c r="Y163" s="436"/>
      <c r="Z163" s="12"/>
      <c r="AA163" s="12"/>
      <c r="AB163" s="12"/>
      <c r="AM163" s="224"/>
      <c r="AN163" s="224"/>
      <c r="AO163" s="224"/>
      <c r="AP163" s="224"/>
      <c r="AQ163" s="179"/>
      <c r="AR163" s="224"/>
      <c r="AS163" s="224"/>
      <c r="AT163" s="224"/>
    </row>
    <row r="164" spans="1:46" ht="15.75" x14ac:dyDescent="0.25">
      <c r="A164" s="505">
        <v>132</v>
      </c>
      <c r="B164" s="506">
        <v>91</v>
      </c>
      <c r="C164" s="664">
        <f>IFERROR('Device Resistance Tables'!C151,NA())</f>
        <v>14726.219361296775</v>
      </c>
      <c r="D164" s="554">
        <f>IFERROR('Device Resistance Tables'!D151,NA())</f>
        <v>14950.476508930737</v>
      </c>
      <c r="E164" s="664">
        <f>IFERROR('Device Resistance Tables'!F151,NA())</f>
        <v>15174.733656564697</v>
      </c>
      <c r="F164" s="690">
        <f>IFERROR(D164*($B$15/(Main!$N$31+D164)),NA())</f>
        <v>2.9960302568929666</v>
      </c>
      <c r="G164" s="690">
        <f>IFERROR($B$16*($B$15/(Main!$N$31+D164)),NA())</f>
        <v>2.0039697431070334</v>
      </c>
      <c r="H164" s="664">
        <f t="shared" si="23"/>
        <v>85.401830500255528</v>
      </c>
      <c r="I164" s="691">
        <f t="shared" si="24"/>
        <v>2.0039697431070333E-4</v>
      </c>
      <c r="J164" s="690">
        <f>IFERROR(($B$15/(Main!$N$31+D164))^2*(Main!$N$31+D164)*1000,NA())</f>
        <v>1.0019848715535167</v>
      </c>
      <c r="K164" s="274">
        <f t="shared" si="25"/>
        <v>-1.5000000000000044</v>
      </c>
      <c r="L164" s="274">
        <f t="shared" si="22"/>
        <v>1.4999999999999922</v>
      </c>
      <c r="M164" s="271">
        <f t="shared" si="28"/>
        <v>6.882854225928714E-3</v>
      </c>
      <c r="N164" s="692"/>
      <c r="O164" s="569">
        <v>91</v>
      </c>
      <c r="P164" s="697">
        <v>1196.5999999999999</v>
      </c>
      <c r="Q164" s="697">
        <v>1234.3</v>
      </c>
      <c r="R164" s="697">
        <v>1273</v>
      </c>
      <c r="S164" s="695">
        <f>IFERROR(Q164*($B$15/(Main!$N$31+Q164)),NA())</f>
        <v>0.54934441843283521</v>
      </c>
      <c r="T164" s="664">
        <f t="shared" si="29"/>
        <v>33.700000000000045</v>
      </c>
      <c r="U164" s="696">
        <f>IFERROR(($B$15/(Main!$N$31+Q164))^2*(Main!$N$31+Q164)*1000,NA())</f>
        <v>2.2253277907835822</v>
      </c>
      <c r="V164" s="274">
        <f t="shared" si="26"/>
        <v>-3.0543627967268936</v>
      </c>
      <c r="W164" s="274">
        <f t="shared" si="27"/>
        <v>3.1353803775419307</v>
      </c>
      <c r="X164" s="271">
        <f t="shared" si="30"/>
        <v>1.3310888631417606E-2</v>
      </c>
      <c r="Y164" s="436"/>
      <c r="Z164" s="12"/>
      <c r="AA164" s="12"/>
      <c r="AB164" s="12"/>
      <c r="AM164" s="224"/>
      <c r="AN164" s="224"/>
      <c r="AO164" s="224"/>
      <c r="AP164" s="224"/>
      <c r="AQ164" s="179"/>
      <c r="AR164" s="224"/>
      <c r="AS164" s="224"/>
      <c r="AT164" s="224"/>
    </row>
    <row r="165" spans="1:46" ht="15.75" x14ac:dyDescent="0.25">
      <c r="A165" s="505">
        <v>133</v>
      </c>
      <c r="B165" s="506">
        <v>92</v>
      </c>
      <c r="C165" s="664">
        <f>IFERROR('Device Resistance Tables'!C152,NA())</f>
        <v>14810.703282478837</v>
      </c>
      <c r="D165" s="554">
        <f>IFERROR('Device Resistance Tables'!D152,NA())</f>
        <v>15036.246987288159</v>
      </c>
      <c r="E165" s="664">
        <f>IFERROR('Device Resistance Tables'!F152,NA())</f>
        <v>15261.79069209748</v>
      </c>
      <c r="F165" s="690">
        <f>IFERROR(D165*($B$15/(Main!$N$31+D165)),NA())</f>
        <v>3.0028955607688772</v>
      </c>
      <c r="G165" s="690">
        <f>IFERROR($B$16*($B$15/(Main!$N$31+D165)),NA())</f>
        <v>1.9971044392311224</v>
      </c>
      <c r="H165" s="664">
        <f t="shared" si="23"/>
        <v>85.770478357422689</v>
      </c>
      <c r="I165" s="691">
        <f t="shared" si="24"/>
        <v>1.9971044392311224E-4</v>
      </c>
      <c r="J165" s="690">
        <f>IFERROR(($B$15/(Main!$N$31+D165))^2*(Main!$N$31+D165)*1000,NA())</f>
        <v>0.99855221961556118</v>
      </c>
      <c r="K165" s="274">
        <f t="shared" si="25"/>
        <v>-1.5000000000000018</v>
      </c>
      <c r="L165" s="274">
        <f t="shared" si="22"/>
        <v>1.4999999999999898</v>
      </c>
      <c r="M165" s="271">
        <f t="shared" si="28"/>
        <v>6.8653038759105556E-3</v>
      </c>
      <c r="N165" s="692"/>
      <c r="O165" s="569">
        <v>92</v>
      </c>
      <c r="P165" s="697">
        <v>1164.7</v>
      </c>
      <c r="Q165" s="697">
        <v>1201.5999999999999</v>
      </c>
      <c r="R165" s="697">
        <v>1239.5999999999999</v>
      </c>
      <c r="S165" s="695">
        <f>IFERROR(Q165*($B$15/(Main!$N$31+Q165)),NA())</f>
        <v>0.53635194972146838</v>
      </c>
      <c r="T165" s="664">
        <f t="shared" si="29"/>
        <v>32.700000000000045</v>
      </c>
      <c r="U165" s="696">
        <f>IFERROR(($B$15/(Main!$N$31+Q165))^2*(Main!$N$31+Q165)*1000,NA())</f>
        <v>2.2318240251392658</v>
      </c>
      <c r="V165" s="274">
        <f t="shared" si="26"/>
        <v>-3.0709054593874723</v>
      </c>
      <c r="W165" s="274">
        <f t="shared" si="27"/>
        <v>3.1624500665778967</v>
      </c>
      <c r="X165" s="271">
        <f t="shared" si="30"/>
        <v>1.2992468711366834E-2</v>
      </c>
      <c r="Y165" s="436"/>
      <c r="Z165" s="12"/>
      <c r="AA165" s="12"/>
      <c r="AB165" s="12"/>
      <c r="AM165" s="224"/>
      <c r="AN165" s="224"/>
      <c r="AO165" s="224"/>
      <c r="AP165" s="224"/>
      <c r="AQ165" s="179"/>
      <c r="AR165" s="224"/>
      <c r="AS165" s="224"/>
      <c r="AT165" s="224"/>
    </row>
    <row r="166" spans="1:46" ht="15.75" x14ac:dyDescent="0.25">
      <c r="A166" s="505">
        <v>134</v>
      </c>
      <c r="B166" s="506">
        <v>93</v>
      </c>
      <c r="C166" s="664">
        <f>IFERROR('Device Resistance Tables'!C153,NA())</f>
        <v>14895.551392760817</v>
      </c>
      <c r="D166" s="554">
        <f>IFERROR('Device Resistance Tables'!D153,NA())</f>
        <v>15122.387200772404</v>
      </c>
      <c r="E166" s="664">
        <f>IFERROR('Device Resistance Tables'!F153,NA())</f>
        <v>15349.223008783989</v>
      </c>
      <c r="F166" s="690">
        <f>IFERROR(D166*($B$15/(Main!$N$31+D166)),NA())</f>
        <v>3.0097432779611517</v>
      </c>
      <c r="G166" s="690">
        <f>IFERROR($B$16*($B$15/(Main!$N$31+D166)),NA())</f>
        <v>1.9902567220388481</v>
      </c>
      <c r="H166" s="664">
        <f t="shared" si="23"/>
        <v>86.140213484244669</v>
      </c>
      <c r="I166" s="691">
        <f t="shared" si="24"/>
        <v>1.9902567220388481E-4</v>
      </c>
      <c r="J166" s="690">
        <f>IFERROR(($B$15/(Main!$N$31+D166))^2*(Main!$N$31+D166)*1000,NA())</f>
        <v>0.99512836101942403</v>
      </c>
      <c r="K166" s="274">
        <f t="shared" si="25"/>
        <v>-1.5000000000000049</v>
      </c>
      <c r="L166" s="274">
        <f t="shared" si="22"/>
        <v>1.4999999999999927</v>
      </c>
      <c r="M166" s="271">
        <f t="shared" si="28"/>
        <v>6.847717192274505E-3</v>
      </c>
      <c r="N166" s="692"/>
      <c r="O166" s="569">
        <v>93</v>
      </c>
      <c r="P166" s="697">
        <v>1133.7</v>
      </c>
      <c r="Q166" s="697">
        <v>1170</v>
      </c>
      <c r="R166" s="697">
        <v>1207.3</v>
      </c>
      <c r="S166" s="695">
        <f>IFERROR(Q166*($B$15/(Main!$N$31+Q166)),NA())</f>
        <v>0.52372426141450312</v>
      </c>
      <c r="T166" s="664">
        <f t="shared" si="29"/>
        <v>31.599999999999909</v>
      </c>
      <c r="U166" s="696">
        <f>IFERROR(($B$15/(Main!$N$31+Q166))^2*(Main!$N$31+Q166)*1000,NA())</f>
        <v>2.2381378692927485</v>
      </c>
      <c r="V166" s="274">
        <f t="shared" si="26"/>
        <v>-3.1025641025640986</v>
      </c>
      <c r="W166" s="274">
        <f t="shared" si="27"/>
        <v>3.1880341880341843</v>
      </c>
      <c r="X166" s="271">
        <f t="shared" si="30"/>
        <v>1.2627688306965257E-2</v>
      </c>
      <c r="Y166" s="436"/>
      <c r="Z166" s="12"/>
      <c r="AA166" s="12"/>
      <c r="AB166" s="12"/>
      <c r="AM166" s="224"/>
      <c r="AN166" s="224"/>
      <c r="AO166" s="224"/>
      <c r="AP166" s="224"/>
      <c r="AQ166" s="179"/>
      <c r="AR166" s="224"/>
      <c r="AS166" s="224"/>
      <c r="AT166" s="224"/>
    </row>
    <row r="167" spans="1:46" ht="15.75" x14ac:dyDescent="0.25">
      <c r="A167" s="505">
        <v>135</v>
      </c>
      <c r="B167" s="506">
        <v>94</v>
      </c>
      <c r="C167" s="664">
        <f>IFERROR('Device Resistance Tables'!C154,NA())</f>
        <v>14980.764771715281</v>
      </c>
      <c r="D167" s="554">
        <f>IFERROR('Device Resistance Tables'!D154,NA())</f>
        <v>15208.898245396225</v>
      </c>
      <c r="E167" s="664">
        <f>IFERROR('Device Resistance Tables'!F154,NA())</f>
        <v>15437.031719077168</v>
      </c>
      <c r="F167" s="690">
        <f>IFERROR(D167*($B$15/(Main!$N$31+D167)),NA())</f>
        <v>3.0165733736843796</v>
      </c>
      <c r="G167" s="690">
        <f>IFERROR($B$16*($B$15/(Main!$N$31+D167)),NA())</f>
        <v>1.9834266263156206</v>
      </c>
      <c r="H167" s="664">
        <f t="shared" si="23"/>
        <v>86.511044623821363</v>
      </c>
      <c r="I167" s="691">
        <f t="shared" si="24"/>
        <v>1.9834266263156207E-4</v>
      </c>
      <c r="J167" s="690">
        <f>IFERROR(($B$15/(Main!$N$31+D167))^2*(Main!$N$31+D167)*1000,NA())</f>
        <v>0.99171331315781042</v>
      </c>
      <c r="K167" s="274">
        <f t="shared" si="25"/>
        <v>-1.500000000000004</v>
      </c>
      <c r="L167" s="274">
        <f t="shared" si="22"/>
        <v>1.4999999999999922</v>
      </c>
      <c r="M167" s="271">
        <f t="shared" si="28"/>
        <v>6.8300957232279025E-3</v>
      </c>
      <c r="N167" s="692"/>
      <c r="O167" s="569">
        <v>94</v>
      </c>
      <c r="P167" s="697">
        <v>1103.7</v>
      </c>
      <c r="Q167" s="697">
        <v>1139.3</v>
      </c>
      <c r="R167" s="697">
        <v>1176</v>
      </c>
      <c r="S167" s="695">
        <f>IFERROR(Q167*($B$15/(Main!$N$31+Q167)),NA())</f>
        <v>0.51138760963435759</v>
      </c>
      <c r="T167" s="664">
        <f t="shared" si="29"/>
        <v>30.700000000000045</v>
      </c>
      <c r="U167" s="696">
        <f>IFERROR(($B$15/(Main!$N$31+Q167))^2*(Main!$N$31+Q167)*1000,NA())</f>
        <v>2.2443061951828209</v>
      </c>
      <c r="V167" s="274">
        <f t="shared" si="26"/>
        <v>-3.1247257087685343</v>
      </c>
      <c r="W167" s="274">
        <f t="shared" si="27"/>
        <v>3.2212762222417313</v>
      </c>
      <c r="X167" s="271">
        <f t="shared" si="30"/>
        <v>1.2336651780145536E-2</v>
      </c>
      <c r="Y167" s="436"/>
      <c r="Z167" s="12"/>
      <c r="AA167" s="12"/>
      <c r="AB167" s="12"/>
      <c r="AM167" s="224"/>
      <c r="AN167" s="224"/>
      <c r="AO167" s="224"/>
      <c r="AP167" s="224"/>
      <c r="AQ167" s="179"/>
      <c r="AR167" s="224"/>
      <c r="AS167" s="224"/>
      <c r="AT167" s="224"/>
    </row>
    <row r="168" spans="1:46" ht="15.75" x14ac:dyDescent="0.25">
      <c r="A168" s="505">
        <v>136</v>
      </c>
      <c r="B168" s="506">
        <v>95</v>
      </c>
      <c r="C168" s="664">
        <f>IFERROR('Device Resistance Tables'!C155,NA())</f>
        <v>15066.344507526734</v>
      </c>
      <c r="D168" s="554">
        <f>IFERROR('Device Resistance Tables'!D155,NA())</f>
        <v>15295.781225915465</v>
      </c>
      <c r="E168" s="664">
        <f>IFERROR('Device Resistance Tables'!F155,NA())</f>
        <v>15525.217944304195</v>
      </c>
      <c r="F168" s="690">
        <f>IFERROR(D168*($B$15/(Main!$N$31+D168)),NA())</f>
        <v>3.0233858146758825</v>
      </c>
      <c r="G168" s="690">
        <f>IFERROR($B$16*($B$15/(Main!$N$31+D168)),NA())</f>
        <v>1.9766141853241173</v>
      </c>
      <c r="H168" s="664">
        <f t="shared" si="23"/>
        <v>86.882980519239936</v>
      </c>
      <c r="I168" s="691">
        <f t="shared" si="24"/>
        <v>1.9766141853241173E-4</v>
      </c>
      <c r="J168" s="690">
        <f>IFERROR(($B$15/(Main!$N$31+D168))^2*(Main!$N$31+D168)*1000,NA())</f>
        <v>0.98830709266205874</v>
      </c>
      <c r="K168" s="274">
        <f t="shared" si="25"/>
        <v>-1.4999999999999976</v>
      </c>
      <c r="L168" s="274">
        <f t="shared" si="22"/>
        <v>1.4999999999999858</v>
      </c>
      <c r="M168" s="271">
        <f t="shared" si="28"/>
        <v>6.8124409915029105E-3</v>
      </c>
      <c r="N168" s="692"/>
      <c r="O168" s="569">
        <v>95</v>
      </c>
      <c r="P168" s="697">
        <v>1074.5999999999999</v>
      </c>
      <c r="Q168" s="697">
        <v>1109.5999999999999</v>
      </c>
      <c r="R168" s="697">
        <v>1145.5999999999999</v>
      </c>
      <c r="S168" s="695">
        <f>IFERROR(Q168*($B$15/(Main!$N$31+Q168)),NA())</f>
        <v>0.49938791675667887</v>
      </c>
      <c r="T168" s="664">
        <f t="shared" si="29"/>
        <v>29.700000000000045</v>
      </c>
      <c r="U168" s="696">
        <f>IFERROR(($B$15/(Main!$N$31+Q168))^2*(Main!$N$31+Q168)*1000,NA())</f>
        <v>2.2503060416216605</v>
      </c>
      <c r="V168" s="274">
        <f t="shared" si="26"/>
        <v>-3.1542898341744778</v>
      </c>
      <c r="W168" s="274">
        <f t="shared" si="27"/>
        <v>3.2444124008651771</v>
      </c>
      <c r="X168" s="271">
        <f>IFERROR(S167-S168,NA())</f>
        <v>1.1999692877678714E-2</v>
      </c>
      <c r="Y168" s="436"/>
      <c r="Z168" s="12"/>
      <c r="AA168" s="12"/>
      <c r="AB168" s="12"/>
      <c r="AM168" s="224"/>
      <c r="AN168" s="224"/>
      <c r="AO168" s="224"/>
      <c r="AP168" s="224"/>
      <c r="AQ168" s="179"/>
      <c r="AR168" s="224"/>
      <c r="AS168" s="224"/>
      <c r="AT168" s="224"/>
    </row>
    <row r="169" spans="1:46" ht="15.75" x14ac:dyDescent="0.25">
      <c r="A169" s="505">
        <v>137</v>
      </c>
      <c r="B169" s="506">
        <v>96</v>
      </c>
      <c r="C169" s="664">
        <f>IFERROR('Device Resistance Tables'!C156,NA())</f>
        <v>15152.291696991631</v>
      </c>
      <c r="D169" s="554">
        <f>IFERROR('Device Resistance Tables'!D156,NA())</f>
        <v>15383.037255829067</v>
      </c>
      <c r="E169" s="664">
        <f>IFERROR('Device Resistance Tables'!F156,NA())</f>
        <v>15613.782814666502</v>
      </c>
      <c r="F169" s="690">
        <f>IFERROR(D169*($B$15/(Main!$N$31+D169)),NA())</f>
        <v>3.0301805691705472</v>
      </c>
      <c r="G169" s="690">
        <f>IFERROR($B$16*($B$15/(Main!$N$31+D169)),NA())</f>
        <v>1.9698194308294523</v>
      </c>
      <c r="H169" s="664">
        <f t="shared" si="23"/>
        <v>87.256029913602106</v>
      </c>
      <c r="I169" s="691">
        <f t="shared" si="24"/>
        <v>1.9698194308294522E-4</v>
      </c>
      <c r="J169" s="690">
        <f>IFERROR(($B$15/(Main!$N$31+D169))^2*(Main!$N$31+D169)*1000,NA())</f>
        <v>0.98490971541472616</v>
      </c>
      <c r="K169" s="274">
        <f t="shared" si="25"/>
        <v>-1.4999999999999998</v>
      </c>
      <c r="L169" s="274">
        <f t="shared" si="22"/>
        <v>1.4999999999999878</v>
      </c>
      <c r="M169" s="271">
        <f t="shared" si="28"/>
        <v>6.794754494664712E-3</v>
      </c>
      <c r="N169" s="692"/>
      <c r="O169" s="569">
        <v>96</v>
      </c>
      <c r="P169" s="697">
        <v>1046.4000000000001</v>
      </c>
      <c r="Q169" s="697">
        <v>1080.7</v>
      </c>
      <c r="R169" s="697">
        <v>1116.0999999999999</v>
      </c>
      <c r="S169" s="695">
        <f>IFERROR(Q169*($B$15/(Main!$N$31+Q169)),NA())</f>
        <v>0.4876496972212947</v>
      </c>
      <c r="T169" s="664">
        <f t="shared" si="29"/>
        <v>28.899999999999864</v>
      </c>
      <c r="U169" s="696">
        <f>IFERROR(($B$15/(Main!$N$31+Q169))^2*(Main!$N$31+Q169)*1000,NA())</f>
        <v>2.2561751513893524</v>
      </c>
      <c r="V169" s="274">
        <f t="shared" si="26"/>
        <v>-3.1738687887480292</v>
      </c>
      <c r="W169" s="274">
        <f t="shared" si="27"/>
        <v>3.275654668270553</v>
      </c>
      <c r="X169" s="271">
        <f t="shared" si="30"/>
        <v>1.1738219535384176E-2</v>
      </c>
      <c r="Y169" s="436"/>
      <c r="Z169" s="12"/>
      <c r="AA169" s="12"/>
      <c r="AB169" s="12"/>
      <c r="AM169" s="224"/>
      <c r="AN169" s="224"/>
      <c r="AO169" s="224"/>
      <c r="AP169" s="224"/>
      <c r="AQ169" s="179"/>
      <c r="AR169" s="224"/>
      <c r="AS169" s="224"/>
      <c r="AT169" s="224"/>
    </row>
    <row r="170" spans="1:46" ht="15.75" x14ac:dyDescent="0.25">
      <c r="A170" s="505">
        <v>138</v>
      </c>
      <c r="B170" s="506">
        <v>97</v>
      </c>
      <c r="C170" s="664">
        <f>IFERROR('Device Resistance Tables'!C157,NA())</f>
        <v>15238.607445518366</v>
      </c>
      <c r="D170" s="554">
        <f>IFERROR('Device Resistance Tables'!D157,NA())</f>
        <v>15470.667457379051</v>
      </c>
      <c r="E170" s="664">
        <f>IFERROR('Device Resistance Tables'!F157,NA())</f>
        <v>15702.727469239735</v>
      </c>
      <c r="F170" s="690">
        <f>IFERROR(D170*($B$15/(Main!$N$31+D170)),NA())</f>
        <v>3.0369576068759594</v>
      </c>
      <c r="G170" s="690">
        <f>IFERROR($B$16*($B$15/(Main!$N$31+D170)),NA())</f>
        <v>1.9630423931240408</v>
      </c>
      <c r="H170" s="664">
        <f t="shared" si="23"/>
        <v>87.630201549984122</v>
      </c>
      <c r="I170" s="691">
        <f t="shared" si="24"/>
        <v>1.9630423931240408E-4</v>
      </c>
      <c r="J170" s="690">
        <f>IFERROR(($B$15/(Main!$N$31+D170))^2*(Main!$N$31+D170)*1000,NA())</f>
        <v>0.9815211965620203</v>
      </c>
      <c r="K170" s="274">
        <f t="shared" si="25"/>
        <v>-1.4999999999999971</v>
      </c>
      <c r="L170" s="274">
        <f t="shared" si="22"/>
        <v>1.4999999999999853</v>
      </c>
      <c r="M170" s="271">
        <f t="shared" si="28"/>
        <v>6.7770377054121589E-3</v>
      </c>
      <c r="N170" s="692"/>
      <c r="O170" s="569">
        <v>97</v>
      </c>
      <c r="P170" s="697">
        <v>1019</v>
      </c>
      <c r="Q170" s="697">
        <v>1052.8</v>
      </c>
      <c r="R170" s="697">
        <v>1087.5</v>
      </c>
      <c r="S170" s="695">
        <f>IFERROR(Q170*($B$15/(Main!$N$31+Q170)),NA())</f>
        <v>0.47625940938042849</v>
      </c>
      <c r="T170" s="664">
        <f t="shared" si="29"/>
        <v>27.900000000000091</v>
      </c>
      <c r="U170" s="696">
        <f>IFERROR(($B$15/(Main!$N$31+Q170))^2*(Main!$N$31+Q170)*1000,NA())</f>
        <v>2.2618702953097856</v>
      </c>
      <c r="V170" s="274">
        <f t="shared" si="26"/>
        <v>-3.2104863221884461</v>
      </c>
      <c r="W170" s="274">
        <f t="shared" si="27"/>
        <v>3.2959726443769046</v>
      </c>
      <c r="X170" s="271">
        <f t="shared" si="30"/>
        <v>1.1390287840866209E-2</v>
      </c>
      <c r="Y170" s="436"/>
      <c r="Z170" s="12"/>
      <c r="AA170" s="12"/>
      <c r="AB170" s="12"/>
      <c r="AM170" s="224"/>
      <c r="AN170" s="224"/>
      <c r="AO170" s="224"/>
      <c r="AP170" s="224"/>
      <c r="AQ170" s="179"/>
      <c r="AR170" s="224"/>
      <c r="AS170" s="224"/>
      <c r="AT170" s="224"/>
    </row>
    <row r="171" spans="1:46" ht="15.75" x14ac:dyDescent="0.25">
      <c r="A171" s="505">
        <v>139</v>
      </c>
      <c r="B171" s="506">
        <v>98</v>
      </c>
      <c r="C171" s="664">
        <f>IFERROR('Device Resistance Tables'!C158,NA())</f>
        <v>15325.292867127291</v>
      </c>
      <c r="D171" s="554">
        <f>IFERROR('Device Resistance Tables'!D158,NA())</f>
        <v>15558.67296155055</v>
      </c>
      <c r="E171" s="664">
        <f>IFERROR('Device Resistance Tables'!F158,NA())</f>
        <v>15792.053055973807</v>
      </c>
      <c r="F171" s="690">
        <f>IFERROR(D171*($B$15/(Main!$N$31+D171)),NA())</f>
        <v>3.043716898947844</v>
      </c>
      <c r="G171" s="690">
        <f>IFERROR($B$16*($B$15/(Main!$N$31+D171)),NA())</f>
        <v>1.956283101052156</v>
      </c>
      <c r="H171" s="664">
        <f t="shared" si="23"/>
        <v>88.005504171498615</v>
      </c>
      <c r="I171" s="691">
        <f t="shared" si="24"/>
        <v>1.9562831010521559E-4</v>
      </c>
      <c r="J171" s="690">
        <f>IFERROR(($B$15/(Main!$N$31+D171))^2*(Main!$N$31+D171)*1000,NA())</f>
        <v>0.97814155052607799</v>
      </c>
      <c r="K171" s="274">
        <f t="shared" si="25"/>
        <v>-1.5000000000000042</v>
      </c>
      <c r="L171" s="274">
        <f t="shared" si="22"/>
        <v>1.4999999999999927</v>
      </c>
      <c r="M171" s="271">
        <f t="shared" si="28"/>
        <v>6.7592920718846372E-3</v>
      </c>
      <c r="N171" s="692"/>
      <c r="O171" s="569">
        <v>98</v>
      </c>
      <c r="P171" s="697">
        <v>992.5</v>
      </c>
      <c r="Q171" s="697">
        <v>1025.5999999999999</v>
      </c>
      <c r="R171" s="697">
        <v>1059.8</v>
      </c>
      <c r="S171" s="695">
        <f>IFERROR(Q171*($B$15/(Main!$N$31+Q171)),NA())</f>
        <v>0.46509940502104186</v>
      </c>
      <c r="T171" s="664">
        <f t="shared" si="29"/>
        <v>27.200000000000045</v>
      </c>
      <c r="U171" s="696">
        <f>IFERROR(($B$15/(Main!$N$31+Q171))^2*(Main!$N$31+Q171)*1000,NA())</f>
        <v>2.2674502974894786</v>
      </c>
      <c r="V171" s="274">
        <f t="shared" si="26"/>
        <v>-3.2273790951637982</v>
      </c>
      <c r="W171" s="274">
        <f t="shared" si="27"/>
        <v>3.3346333853354184</v>
      </c>
      <c r="X171" s="271">
        <f t="shared" si="30"/>
        <v>1.1160004359386633E-2</v>
      </c>
      <c r="Y171" s="436"/>
      <c r="Z171" s="12"/>
      <c r="AA171" s="12"/>
      <c r="AB171" s="12"/>
      <c r="AM171" s="224"/>
      <c r="AN171" s="224"/>
      <c r="AO171" s="224"/>
      <c r="AP171" s="224"/>
      <c r="AQ171" s="179"/>
      <c r="AR171" s="224"/>
      <c r="AS171" s="224"/>
      <c r="AT171" s="224"/>
    </row>
    <row r="172" spans="1:46" ht="15.75" x14ac:dyDescent="0.25">
      <c r="A172" s="505">
        <v>140</v>
      </c>
      <c r="B172" s="506">
        <v>99</v>
      </c>
      <c r="C172" s="664">
        <f>IFERROR('Device Resistance Tables'!C159,NA())</f>
        <v>15412.349084450696</v>
      </c>
      <c r="D172" s="554">
        <f>IFERROR('Device Resistance Tables'!D159,NA())</f>
        <v>15647.054908071772</v>
      </c>
      <c r="E172" s="664">
        <f>IFERROR('Device Resistance Tables'!F159,NA())</f>
        <v>15881.760731692846</v>
      </c>
      <c r="F172" s="690">
        <f>IFERROR(D172*($B$15/(Main!$N$31+D172)),NA())</f>
        <v>3.0504584179658094</v>
      </c>
      <c r="G172" s="690">
        <f>IFERROR($B$16*($B$15/(Main!$N$31+D172)),NA())</f>
        <v>1.9495415820341908</v>
      </c>
      <c r="H172" s="664">
        <f t="shared" si="23"/>
        <v>88.381946521221835</v>
      </c>
      <c r="I172" s="691">
        <f t="shared" si="24"/>
        <v>1.9495415820341909E-4</v>
      </c>
      <c r="J172" s="690">
        <f>IFERROR(($B$15/(Main!$N$31+D172))^2*(Main!$N$31+D172)*1000,NA())</f>
        <v>0.97477079101709563</v>
      </c>
      <c r="K172" s="274">
        <f t="shared" si="25"/>
        <v>-1.4999999999999962</v>
      </c>
      <c r="L172" s="274">
        <f t="shared" si="22"/>
        <v>1.4999999999999845</v>
      </c>
      <c r="M172" s="271">
        <f t="shared" si="28"/>
        <v>6.7415190179653806E-3</v>
      </c>
      <c r="N172" s="692"/>
      <c r="O172" s="569">
        <v>99</v>
      </c>
      <c r="P172" s="697">
        <v>966.8</v>
      </c>
      <c r="Q172" s="697">
        <v>999.3</v>
      </c>
      <c r="R172" s="697">
        <v>1032.8</v>
      </c>
      <c r="S172" s="695">
        <f>IFERROR(Q172*($B$15/(Main!$N$31+Q172)),NA())</f>
        <v>0.45425617993872341</v>
      </c>
      <c r="T172" s="664">
        <f t="shared" si="29"/>
        <v>26.299999999999955</v>
      </c>
      <c r="U172" s="696">
        <f>IFERROR(($B$15/(Main!$N$31+Q172))^2*(Main!$N$31+Q172)*1000,NA())</f>
        <v>2.2728719100306387</v>
      </c>
      <c r="V172" s="274">
        <f t="shared" si="26"/>
        <v>-3.2522765936155307</v>
      </c>
      <c r="W172" s="274">
        <f t="shared" si="27"/>
        <v>3.3523466426498554</v>
      </c>
      <c r="X172" s="271">
        <f t="shared" si="30"/>
        <v>1.0843225082318442E-2</v>
      </c>
      <c r="Y172" s="436"/>
      <c r="Z172" s="12"/>
      <c r="AA172" s="12"/>
      <c r="AB172" s="12"/>
      <c r="AM172" s="224"/>
      <c r="AN172" s="224"/>
      <c r="AO172" s="224"/>
      <c r="AP172" s="224"/>
      <c r="AQ172" s="179"/>
      <c r="AR172" s="224"/>
      <c r="AS172" s="224"/>
      <c r="AT172" s="224"/>
    </row>
    <row r="173" spans="1:46" ht="15.75" x14ac:dyDescent="0.25">
      <c r="A173" s="505">
        <v>141</v>
      </c>
      <c r="B173" s="506">
        <v>100</v>
      </c>
      <c r="C173" s="664">
        <f>IFERROR('Device Resistance Tables'!C160,NA())</f>
        <v>15499.77722873281</v>
      </c>
      <c r="D173" s="554">
        <f>IFERROR('Device Resistance Tables'!D160,NA())</f>
        <v>15735.81444541402</v>
      </c>
      <c r="E173" s="664">
        <f>IFERROR('Device Resistance Tables'!F160,NA())</f>
        <v>15971.851662095229</v>
      </c>
      <c r="F173" s="690">
        <f>IFERROR(D173*($B$15/(Main!$N$31+D173)),NA())</f>
        <v>3.0571821379093862</v>
      </c>
      <c r="G173" s="690">
        <f>IFERROR($B$16*($B$15/(Main!$N$31+D173)),NA())</f>
        <v>1.9428178620906138</v>
      </c>
      <c r="H173" s="664">
        <f t="shared" si="23"/>
        <v>88.759537342248223</v>
      </c>
      <c r="I173" s="691">
        <f t="shared" si="24"/>
        <v>1.9428178620906137E-4</v>
      </c>
      <c r="J173" s="690">
        <f>IFERROR(($B$15/(Main!$N$31+D173))^2*(Main!$N$31+D173)*1000,NA())</f>
        <v>0.9714089310453069</v>
      </c>
      <c r="K173" s="274">
        <f t="shared" si="25"/>
        <v>-1.5000000000000002</v>
      </c>
      <c r="L173" s="274">
        <f t="shared" si="22"/>
        <v>1.4999999999999887</v>
      </c>
      <c r="M173" s="271">
        <f t="shared" si="28"/>
        <v>6.7237199435767891E-3</v>
      </c>
      <c r="N173" s="692"/>
      <c r="O173" s="569">
        <v>100</v>
      </c>
      <c r="P173" s="697">
        <v>941.9</v>
      </c>
      <c r="Q173" s="697">
        <v>973.8</v>
      </c>
      <c r="R173" s="697">
        <v>1006.7</v>
      </c>
      <c r="S173" s="695">
        <f>IFERROR(Q173*($B$15/(Main!$N$31+Q173)),NA())</f>
        <v>0.44369316007217191</v>
      </c>
      <c r="T173" s="664">
        <f t="shared" si="29"/>
        <v>25.5</v>
      </c>
      <c r="U173" s="696">
        <f>IFERROR(($B$15/(Main!$N$31+Q173))^2*(Main!$N$31+Q173)*1000,NA())</f>
        <v>2.278153419963914</v>
      </c>
      <c r="V173" s="274">
        <f t="shared" si="26"/>
        <v>-3.2758266584514253</v>
      </c>
      <c r="W173" s="274">
        <f t="shared" si="27"/>
        <v>3.3785171493119832</v>
      </c>
      <c r="X173" s="271">
        <f t="shared" si="30"/>
        <v>1.0563019866551504E-2</v>
      </c>
      <c r="Y173" s="436"/>
      <c r="Z173" s="12"/>
      <c r="AA173" s="12"/>
      <c r="AB173" s="12"/>
      <c r="AM173" s="224"/>
      <c r="AN173" s="224"/>
      <c r="AO173" s="224"/>
      <c r="AP173" s="224"/>
      <c r="AQ173" s="179"/>
      <c r="AR173" s="224"/>
      <c r="AS173" s="224"/>
      <c r="AT173" s="224"/>
    </row>
    <row r="174" spans="1:46" ht="15.75" x14ac:dyDescent="0.25">
      <c r="A174" s="505">
        <v>142</v>
      </c>
      <c r="B174" s="506">
        <v>101</v>
      </c>
      <c r="C174" s="664">
        <f>IFERROR('Device Resistance Tables'!C161,NA())</f>
        <v>15587.578439829826</v>
      </c>
      <c r="D174" s="554">
        <f>IFERROR('Device Resistance Tables'!D161,NA())</f>
        <v>15824.952730791701</v>
      </c>
      <c r="E174" s="664">
        <f>IFERROR('Device Resistance Tables'!F161,NA())</f>
        <v>16062.327021753576</v>
      </c>
      <c r="F174" s="690">
        <f>IFERROR(D174*($B$15/(Main!$N$31+D174)),NA())</f>
        <v>3.0638880341343735</v>
      </c>
      <c r="G174" s="690">
        <f>IFERROR($B$16*($B$15/(Main!$N$31+D174)),NA())</f>
        <v>1.9361119658656265</v>
      </c>
      <c r="H174" s="664">
        <f t="shared" si="23"/>
        <v>89.138285377681314</v>
      </c>
      <c r="I174" s="691">
        <f t="shared" si="24"/>
        <v>1.9361119658656265E-4</v>
      </c>
      <c r="J174" s="690">
        <f>IFERROR(($B$15/(Main!$N$31+D174))^2*(Main!$N$31+D174)*1000,NA())</f>
        <v>0.96805598293281325</v>
      </c>
      <c r="K174" s="274">
        <f t="shared" si="25"/>
        <v>-1.5000000000000024</v>
      </c>
      <c r="L174" s="274">
        <f t="shared" si="22"/>
        <v>1.4999999999999907</v>
      </c>
      <c r="M174" s="271">
        <f t="shared" si="28"/>
        <v>6.7058962249872955E-3</v>
      </c>
      <c r="N174" s="692"/>
      <c r="O174" s="569">
        <v>101</v>
      </c>
      <c r="P174" s="697">
        <v>917.9</v>
      </c>
      <c r="Q174" s="697">
        <v>949.2</v>
      </c>
      <c r="R174" s="697">
        <v>981.6</v>
      </c>
      <c r="S174" s="695">
        <f>IFERROR(Q174*($B$15/(Main!$N$31+Q174)),NA())</f>
        <v>0.43345632557629776</v>
      </c>
      <c r="T174" s="664">
        <f t="shared" si="29"/>
        <v>24.599999999999909</v>
      </c>
      <c r="U174" s="696">
        <f>IFERROR(($B$15/(Main!$N$31+Q174))^2*(Main!$N$31+Q174)*1000,NA())</f>
        <v>2.283271837211851</v>
      </c>
      <c r="V174" s="274">
        <f t="shared" si="26"/>
        <v>-3.2975136957437914</v>
      </c>
      <c r="W174" s="274">
        <f t="shared" si="27"/>
        <v>3.4134007585334998</v>
      </c>
      <c r="X174" s="271">
        <f t="shared" si="30"/>
        <v>1.0236834495874148E-2</v>
      </c>
      <c r="Y174" s="436"/>
      <c r="Z174" s="12"/>
      <c r="AA174" s="12"/>
      <c r="AB174" s="12"/>
      <c r="AM174" s="224"/>
      <c r="AN174" s="224"/>
      <c r="AO174" s="224"/>
      <c r="AP174" s="224"/>
      <c r="AQ174" s="179"/>
      <c r="AR174" s="224"/>
      <c r="AS174" s="224"/>
      <c r="AT174" s="224"/>
    </row>
    <row r="175" spans="1:46" ht="15.75" x14ac:dyDescent="0.25">
      <c r="A175" s="505">
        <v>143</v>
      </c>
      <c r="B175" s="506">
        <v>102</v>
      </c>
      <c r="C175" s="664">
        <f>IFERROR('Device Resistance Tables'!C162,NA())</f>
        <v>15675.753866209865</v>
      </c>
      <c r="D175" s="554">
        <f>IFERROR('Device Resistance Tables'!D162,NA())</f>
        <v>15914.470930162299</v>
      </c>
      <c r="E175" s="664">
        <f>IFERROR('Device Resistance Tables'!F162,NA())</f>
        <v>16153.187994114733</v>
      </c>
      <c r="F175" s="690">
        <f>IFERROR(D175*($B$15/(Main!$N$31+D175)),NA())</f>
        <v>3.0705760833494713</v>
      </c>
      <c r="G175" s="690">
        <f>IFERROR($B$16*($B$15/(Main!$N$31+D175)),NA())</f>
        <v>1.929423916650528</v>
      </c>
      <c r="H175" s="664">
        <f t="shared" si="23"/>
        <v>89.518199370597358</v>
      </c>
      <c r="I175" s="691">
        <f t="shared" si="24"/>
        <v>1.929423916650528E-4</v>
      </c>
      <c r="J175" s="690">
        <f>IFERROR(($B$15/(Main!$N$31+D175))^2*(Main!$N$31+D175)*1000,NA())</f>
        <v>0.96471195832526402</v>
      </c>
      <c r="K175" s="274">
        <f t="shared" si="25"/>
        <v>-1.4999999999999958</v>
      </c>
      <c r="L175" s="274">
        <f t="shared" si="22"/>
        <v>1.4999999999999958</v>
      </c>
      <c r="M175" s="271">
        <f t="shared" si="28"/>
        <v>6.6880492150978021E-3</v>
      </c>
      <c r="N175" s="692"/>
      <c r="O175" s="569">
        <v>102</v>
      </c>
      <c r="P175" s="697">
        <v>894.6</v>
      </c>
      <c r="Q175" s="697">
        <v>925.4</v>
      </c>
      <c r="R175" s="697">
        <v>957.1</v>
      </c>
      <c r="S175" s="695">
        <f>IFERROR(Q175*($B$15/(Main!$N$31+Q175)),NA())</f>
        <v>0.42350852142713313</v>
      </c>
      <c r="T175" s="664">
        <f t="shared" si="29"/>
        <v>23.800000000000068</v>
      </c>
      <c r="U175" s="696">
        <f>IFERROR(($B$15/(Main!$N$31+Q175))^2*(Main!$N$31+Q175)*1000,NA())</f>
        <v>2.2882457392864337</v>
      </c>
      <c r="V175" s="274">
        <f t="shared" si="26"/>
        <v>-3.3282904689863795</v>
      </c>
      <c r="W175" s="274">
        <f t="shared" si="27"/>
        <v>3.4255457099632638</v>
      </c>
      <c r="X175" s="271">
        <f t="shared" si="30"/>
        <v>9.9478041491646296E-3</v>
      </c>
      <c r="Y175" s="436"/>
      <c r="Z175" s="12"/>
      <c r="AA175" s="12"/>
      <c r="AB175" s="12"/>
      <c r="AM175" s="224"/>
      <c r="AN175" s="224"/>
      <c r="AO175" s="224"/>
      <c r="AP175" s="224"/>
      <c r="AQ175" s="179"/>
      <c r="AR175" s="224"/>
      <c r="AS175" s="224"/>
      <c r="AT175" s="224"/>
    </row>
    <row r="176" spans="1:46" ht="15.75" x14ac:dyDescent="0.25">
      <c r="A176" s="505">
        <v>144</v>
      </c>
      <c r="B176" s="506">
        <v>103</v>
      </c>
      <c r="C176" s="664">
        <f>IFERROR('Device Resistance Tables'!C163,NA())</f>
        <v>15764.304664953006</v>
      </c>
      <c r="D176" s="554">
        <f>IFERROR('Device Resistance Tables'!D163,NA())</f>
        <v>16004.370218226402</v>
      </c>
      <c r="E176" s="664">
        <f>IFERROR('Device Resistance Tables'!F163,NA())</f>
        <v>16244.435771499797</v>
      </c>
      <c r="F176" s="690">
        <f>IFERROR(D176*($B$15/(Main!$N$31+D176)),NA())</f>
        <v>3.0772462635932203</v>
      </c>
      <c r="G176" s="690">
        <f>IFERROR($B$16*($B$15/(Main!$N$31+D176)),NA())</f>
        <v>1.9227537364067797</v>
      </c>
      <c r="H176" s="664">
        <f t="shared" si="23"/>
        <v>89.89928806410353</v>
      </c>
      <c r="I176" s="691">
        <f t="shared" si="24"/>
        <v>1.9227537364067797E-4</v>
      </c>
      <c r="J176" s="690">
        <f>IFERROR(($B$15/(Main!$N$31+D176))^2*(Main!$N$31+D176)*1000,NA())</f>
        <v>0.96137686820338986</v>
      </c>
      <c r="K176" s="274">
        <f t="shared" si="25"/>
        <v>-1.5000000000000016</v>
      </c>
      <c r="L176" s="274">
        <f t="shared" si="22"/>
        <v>1.4999999999999902</v>
      </c>
      <c r="M176" s="271">
        <f t="shared" si="28"/>
        <v>6.670180243748991E-3</v>
      </c>
      <c r="N176" s="692"/>
      <c r="O176" s="569">
        <v>103</v>
      </c>
      <c r="P176" s="697">
        <v>872</v>
      </c>
      <c r="Q176" s="697">
        <v>902.2</v>
      </c>
      <c r="R176" s="697">
        <v>933.4</v>
      </c>
      <c r="S176" s="695">
        <f>IFERROR(Q176*($B$15/(Main!$N$31+Q176)),NA())</f>
        <v>0.41376969785914769</v>
      </c>
      <c r="T176" s="664">
        <f t="shared" si="29"/>
        <v>23.199999999999932</v>
      </c>
      <c r="U176" s="696">
        <f>IFERROR(($B$15/(Main!$N$31+Q176))^2*(Main!$N$31+Q176)*1000,NA())</f>
        <v>2.2931151510704262</v>
      </c>
      <c r="V176" s="274">
        <f t="shared" si="26"/>
        <v>-3.3473730880070987</v>
      </c>
      <c r="W176" s="274">
        <f t="shared" si="27"/>
        <v>3.4582132564841417</v>
      </c>
      <c r="X176" s="271">
        <f t="shared" si="30"/>
        <v>9.738823567985444E-3</v>
      </c>
      <c r="Y176" s="436"/>
      <c r="Z176" s="12"/>
      <c r="AA176" s="12"/>
      <c r="AB176" s="12"/>
      <c r="AM176" s="224"/>
      <c r="AN176" s="224"/>
      <c r="AO176" s="224"/>
      <c r="AP176" s="224"/>
      <c r="AQ176" s="179"/>
      <c r="AR176" s="224"/>
      <c r="AS176" s="224"/>
      <c r="AT176" s="224"/>
    </row>
    <row r="177" spans="1:46" ht="15.75" x14ac:dyDescent="0.25">
      <c r="A177" s="505">
        <v>145</v>
      </c>
      <c r="B177" s="506">
        <v>104</v>
      </c>
      <c r="C177" s="664">
        <f>IFERROR('Device Resistance Tables'!C164,NA())</f>
        <v>15853.232001751272</v>
      </c>
      <c r="D177" s="554">
        <f>IFERROR('Device Resistance Tables'!D164,NA())</f>
        <v>16094.651778427688</v>
      </c>
      <c r="E177" s="664">
        <f>IFERROR('Device Resistance Tables'!F164,NA())</f>
        <v>16336.071555104101</v>
      </c>
      <c r="F177" s="690">
        <f>IFERROR(D177*($B$15/(Main!$N$31+D177)),NA())</f>
        <v>3.0838985542112218</v>
      </c>
      <c r="G177" s="690">
        <f>IFERROR($B$16*($B$15/(Main!$N$31+D177)),NA())</f>
        <v>1.9161014457887779</v>
      </c>
      <c r="H177" s="664">
        <f t="shared" si="23"/>
        <v>90.281560201285174</v>
      </c>
      <c r="I177" s="691">
        <f t="shared" si="24"/>
        <v>1.916101445788778E-4</v>
      </c>
      <c r="J177" s="690">
        <f>IFERROR(($B$15/(Main!$N$31+D177))^2*(Main!$N$31+D177)*1000,NA())</f>
        <v>0.95805072289438897</v>
      </c>
      <c r="K177" s="274">
        <f t="shared" si="25"/>
        <v>-1.5000000000000011</v>
      </c>
      <c r="L177" s="274">
        <f t="shared" si="22"/>
        <v>1.4999999999999898</v>
      </c>
      <c r="M177" s="271">
        <f t="shared" si="28"/>
        <v>6.652290618001544E-3</v>
      </c>
      <c r="N177" s="692"/>
      <c r="O177" s="569">
        <v>104</v>
      </c>
      <c r="P177" s="697">
        <v>850.1</v>
      </c>
      <c r="Q177" s="697">
        <v>879.8</v>
      </c>
      <c r="R177" s="697">
        <v>910.4</v>
      </c>
      <c r="S177" s="695">
        <f>IFERROR(Q177*($B$15/(Main!$N$31+Q177)),NA())</f>
        <v>0.40432728542804097</v>
      </c>
      <c r="T177" s="664">
        <f t="shared" si="29"/>
        <v>22.400000000000091</v>
      </c>
      <c r="U177" s="696">
        <f>IFERROR(($B$15/(Main!$N$31+Q177))^2*(Main!$N$31+Q177)*1000,NA())</f>
        <v>2.2978363572859797</v>
      </c>
      <c r="V177" s="274">
        <f t="shared" si="26"/>
        <v>-3.3757672198226794</v>
      </c>
      <c r="W177" s="274">
        <f t="shared" si="27"/>
        <v>3.4780631961809529</v>
      </c>
      <c r="X177" s="271">
        <f t="shared" si="30"/>
        <v>9.442412431106717E-3</v>
      </c>
      <c r="Y177" s="436"/>
      <c r="Z177" s="12"/>
      <c r="AA177" s="12"/>
      <c r="AB177" s="12"/>
      <c r="AM177" s="224"/>
      <c r="AN177" s="224"/>
      <c r="AO177" s="224"/>
      <c r="AP177" s="224"/>
      <c r="AQ177" s="179"/>
      <c r="AR177" s="224"/>
      <c r="AS177" s="224"/>
      <c r="AT177" s="224"/>
    </row>
    <row r="178" spans="1:46" ht="15.75" x14ac:dyDescent="0.25">
      <c r="A178" s="505">
        <v>146</v>
      </c>
      <c r="B178" s="506">
        <v>105</v>
      </c>
      <c r="C178" s="664">
        <f>IFERROR('Device Resistance Tables'!C165,NA())</f>
        <v>15942.537050908622</v>
      </c>
      <c r="D178" s="554">
        <f>IFERROR('Device Resistance Tables'!D165,NA())</f>
        <v>16185.316802952917</v>
      </c>
      <c r="E178" s="664">
        <f>IFERROR('Device Resistance Tables'!F165,NA())</f>
        <v>16428.09655499721</v>
      </c>
      <c r="F178" s="690">
        <f>IFERROR(D178*($B$15/(Main!$N$31+D178)),NA())</f>
        <v>3.0905329358336613</v>
      </c>
      <c r="G178" s="690">
        <f>IFERROR($B$16*($B$15/(Main!$N$31+D178)),NA())</f>
        <v>1.9094670641663385</v>
      </c>
      <c r="H178" s="664">
        <f t="shared" si="23"/>
        <v>90.665024525229455</v>
      </c>
      <c r="I178" s="691">
        <f t="shared" si="24"/>
        <v>1.9094670641663385E-4</v>
      </c>
      <c r="J178" s="690">
        <f>IFERROR(($B$15/(Main!$N$31+D178))^2*(Main!$N$31+D178)*1000,NA())</f>
        <v>0.95473353208316913</v>
      </c>
      <c r="K178" s="274">
        <f t="shared" si="25"/>
        <v>-1.5000000000000051</v>
      </c>
      <c r="L178" s="274">
        <f t="shared" si="22"/>
        <v>1.4999999999999938</v>
      </c>
      <c r="M178" s="271">
        <f t="shared" si="28"/>
        <v>6.6343816224394558E-3</v>
      </c>
      <c r="N178" s="692"/>
      <c r="O178" s="569">
        <v>105</v>
      </c>
      <c r="P178" s="697">
        <v>828.8</v>
      </c>
      <c r="Q178" s="697">
        <v>858</v>
      </c>
      <c r="R178" s="697">
        <v>888.1</v>
      </c>
      <c r="S178" s="695">
        <f>IFERROR(Q178*($B$15/(Main!$N$31+Q178)),NA())</f>
        <v>0.39510038681156751</v>
      </c>
      <c r="T178" s="664">
        <f t="shared" si="29"/>
        <v>21.799999999999955</v>
      </c>
      <c r="U178" s="696">
        <f>IFERROR(($B$15/(Main!$N$31+Q178))^2*(Main!$N$31+Q178)*1000,NA())</f>
        <v>2.3024498065942161</v>
      </c>
      <c r="V178" s="274">
        <f t="shared" si="26"/>
        <v>-3.4032634032634088</v>
      </c>
      <c r="W178" s="274">
        <f t="shared" si="27"/>
        <v>3.5081585081585107</v>
      </c>
      <c r="X178" s="271">
        <f t="shared" si="30"/>
        <v>9.2268986164734668E-3</v>
      </c>
      <c r="Y178" s="436"/>
      <c r="Z178" s="12"/>
      <c r="AA178" s="12"/>
      <c r="AB178" s="12"/>
      <c r="AM178" s="224"/>
      <c r="AN178" s="224"/>
      <c r="AO178" s="224"/>
      <c r="AP178" s="224"/>
      <c r="AQ178" s="179"/>
      <c r="AR178" s="224"/>
      <c r="AS178" s="224"/>
      <c r="AT178" s="224"/>
    </row>
    <row r="179" spans="1:46" ht="15.75" x14ac:dyDescent="0.25">
      <c r="A179" s="505">
        <v>147</v>
      </c>
      <c r="B179" s="506">
        <v>106</v>
      </c>
      <c r="C179" s="664">
        <f>IFERROR('Device Resistance Tables'!C166,NA())</f>
        <v>16032.220995340975</v>
      </c>
      <c r="D179" s="554">
        <f>IFERROR('Device Resistance Tables'!D166,NA())</f>
        <v>16276.366492731955</v>
      </c>
      <c r="E179" s="664">
        <f>IFERROR('Device Resistance Tables'!F166,NA())</f>
        <v>16520.511990122934</v>
      </c>
      <c r="F179" s="690">
        <f>IFERROR(D179*($B$15/(Main!$N$31+D179)),NA())</f>
        <v>3.0971493903531142</v>
      </c>
      <c r="G179" s="690">
        <f>IFERROR($B$16*($B$15/(Main!$N$31+D179)),NA())</f>
        <v>1.9028506096468856</v>
      </c>
      <c r="H179" s="664">
        <f t="shared" si="23"/>
        <v>91.04968977903809</v>
      </c>
      <c r="I179" s="691">
        <f t="shared" si="24"/>
        <v>1.9028506096468856E-4</v>
      </c>
      <c r="J179" s="690">
        <f>IFERROR(($B$15/(Main!$N$31+D179))^2*(Main!$N$31+D179)*1000,NA())</f>
        <v>0.9514253048234429</v>
      </c>
      <c r="K179" s="274">
        <f t="shared" si="25"/>
        <v>-1.5000000000000064</v>
      </c>
      <c r="L179" s="274">
        <f t="shared" si="22"/>
        <v>1.4999999999999953</v>
      </c>
      <c r="M179" s="271">
        <f t="shared" si="28"/>
        <v>6.616454519452919E-3</v>
      </c>
      <c r="N179" s="692"/>
      <c r="O179" s="569">
        <v>106</v>
      </c>
      <c r="P179" s="697">
        <v>808.1</v>
      </c>
      <c r="Q179" s="697">
        <v>836.8</v>
      </c>
      <c r="R179" s="697">
        <v>866.4</v>
      </c>
      <c r="S179" s="695">
        <f>IFERROR(Q179*($B$15/(Main!$N$31+Q179)),NA())</f>
        <v>0.38609183522811164</v>
      </c>
      <c r="T179" s="664">
        <f t="shared" si="29"/>
        <v>21.200000000000045</v>
      </c>
      <c r="U179" s="696">
        <f>IFERROR(($B$15/(Main!$N$31+Q179))^2*(Main!$N$31+Q179)*1000,NA())</f>
        <v>2.3069540823859445</v>
      </c>
      <c r="V179" s="274">
        <f t="shared" si="26"/>
        <v>-3.4297323135755176</v>
      </c>
      <c r="W179" s="274">
        <f t="shared" si="27"/>
        <v>3.5372848948374789</v>
      </c>
      <c r="X179" s="271">
        <f t="shared" si="30"/>
        <v>9.0085515834558705E-3</v>
      </c>
      <c r="Y179" s="436"/>
      <c r="Z179" s="12"/>
      <c r="AA179" s="12"/>
      <c r="AB179" s="12"/>
      <c r="AM179" s="224"/>
      <c r="AN179" s="224"/>
      <c r="AO179" s="224"/>
      <c r="AP179" s="224"/>
      <c r="AQ179" s="179"/>
      <c r="AR179" s="224"/>
      <c r="AS179" s="224"/>
      <c r="AT179" s="224"/>
    </row>
    <row r="180" spans="1:46" ht="15.75" x14ac:dyDescent="0.25">
      <c r="A180" s="505">
        <v>148</v>
      </c>
      <c r="B180" s="506">
        <v>107</v>
      </c>
      <c r="C180" s="664">
        <f>IFERROR('Device Resistance Tables'!C167,NA())</f>
        <v>16122.28502657619</v>
      </c>
      <c r="D180" s="554">
        <f>IFERROR('Device Resistance Tables'!D167,NA())</f>
        <v>16367.802057437757</v>
      </c>
      <c r="E180" s="664">
        <f>IFERROR('Device Resistance Tables'!F167,NA())</f>
        <v>16613.319088299322</v>
      </c>
      <c r="F180" s="690">
        <f>IFERROR(D180*($B$15/(Main!$N$31+D180)),NA())</f>
        <v>3.1037479009026407</v>
      </c>
      <c r="G180" s="690">
        <f>IFERROR($B$16*($B$15/(Main!$N$31+D180)),NA())</f>
        <v>1.8962520990973586</v>
      </c>
      <c r="H180" s="664">
        <f t="shared" si="23"/>
        <v>91.43556470580188</v>
      </c>
      <c r="I180" s="691">
        <f t="shared" si="24"/>
        <v>1.8962520990973585E-4</v>
      </c>
      <c r="J180" s="690">
        <f>IFERROR(($B$15/(Main!$N$31+D180))^2*(Main!$N$31+D180)*1000,NA())</f>
        <v>0.94812604954867918</v>
      </c>
      <c r="K180" s="274">
        <f t="shared" si="25"/>
        <v>-1.500000000000004</v>
      </c>
      <c r="L180" s="274">
        <f t="shared" si="22"/>
        <v>1.4999999999999929</v>
      </c>
      <c r="M180" s="271">
        <f t="shared" si="28"/>
        <v>6.5985105495265373E-3</v>
      </c>
      <c r="N180" s="692"/>
      <c r="O180" s="569">
        <v>107</v>
      </c>
      <c r="P180" s="697">
        <v>788.1</v>
      </c>
      <c r="Q180" s="697">
        <v>816.2</v>
      </c>
      <c r="R180" s="697">
        <v>845.3</v>
      </c>
      <c r="S180" s="695">
        <f>IFERROR(Q180*($B$15/(Main!$N$31+Q180)),NA())</f>
        <v>0.37730441374974572</v>
      </c>
      <c r="T180" s="664">
        <f t="shared" si="29"/>
        <v>20.599999999999909</v>
      </c>
      <c r="U180" s="696">
        <f>IFERROR(($B$15/(Main!$N$31+Q180))^2*(Main!$N$31+Q180)*1000,NA())</f>
        <v>2.3113477931251269</v>
      </c>
      <c r="V180" s="274">
        <f t="shared" si="26"/>
        <v>-3.4427836314628792</v>
      </c>
      <c r="W180" s="274">
        <f t="shared" si="27"/>
        <v>3.5653026219063841</v>
      </c>
      <c r="X180" s="271">
        <f t="shared" si="30"/>
        <v>8.7874214783659199E-3</v>
      </c>
      <c r="Y180" s="436"/>
      <c r="Z180" s="12"/>
      <c r="AA180" s="12"/>
      <c r="AB180" s="12"/>
      <c r="AM180" s="224"/>
      <c r="AN180" s="224"/>
      <c r="AO180" s="224"/>
      <c r="AP180" s="224"/>
      <c r="AQ180" s="179"/>
      <c r="AR180" s="224"/>
      <c r="AS180" s="224"/>
      <c r="AT180" s="224"/>
    </row>
    <row r="181" spans="1:46" ht="15.75" x14ac:dyDescent="0.25">
      <c r="A181" s="505">
        <v>149</v>
      </c>
      <c r="B181" s="506">
        <v>108</v>
      </c>
      <c r="C181" s="664">
        <f>IFERROR('Device Resistance Tables'!C168,NA())</f>
        <v>16212.730344754067</v>
      </c>
      <c r="D181" s="554">
        <f>IFERROR('Device Resistance Tables'!D168,NA())</f>
        <v>16459.624715486363</v>
      </c>
      <c r="E181" s="664">
        <f>IFERROR('Device Resistance Tables'!F168,NA())</f>
        <v>16706.519086218657</v>
      </c>
      <c r="F181" s="690">
        <f>IFERROR(D181*($B$15/(Main!$N$31+D181)),NA())</f>
        <v>3.1103284518341692</v>
      </c>
      <c r="G181" s="690">
        <f>IFERROR($B$16*($B$15/(Main!$N$31+D181)),NA())</f>
        <v>1.8896715481658308</v>
      </c>
      <c r="H181" s="664">
        <f t="shared" si="23"/>
        <v>91.822658048606172</v>
      </c>
      <c r="I181" s="691">
        <f t="shared" si="24"/>
        <v>1.8896715481658309E-4</v>
      </c>
      <c r="J181" s="690">
        <f>IFERROR(($B$15/(Main!$N$31+D181))^2*(Main!$N$31+D181)*1000,NA())</f>
        <v>0.94483577408291541</v>
      </c>
      <c r="K181" s="274">
        <f t="shared" si="25"/>
        <v>-1.5000000000000033</v>
      </c>
      <c r="L181" s="274">
        <f t="shared" si="22"/>
        <v>1.4999999999999922</v>
      </c>
      <c r="M181" s="271">
        <f t="shared" si="28"/>
        <v>6.5805509315284283E-3</v>
      </c>
      <c r="N181" s="692"/>
      <c r="O181" s="569">
        <v>108</v>
      </c>
      <c r="P181" s="697">
        <v>768.6</v>
      </c>
      <c r="Q181" s="697">
        <v>796.3</v>
      </c>
      <c r="R181" s="697">
        <v>824.8</v>
      </c>
      <c r="S181" s="695">
        <f>IFERROR(Q181*($B$15/(Main!$N$31+Q181)),NA())</f>
        <v>0.368783749988422</v>
      </c>
      <c r="T181" s="664">
        <f t="shared" si="29"/>
        <v>19.900000000000091</v>
      </c>
      <c r="U181" s="696">
        <f>IFERROR(($B$15/(Main!$N$31+Q181))^2*(Main!$N$31+Q181)*1000,NA())</f>
        <v>2.3156081250057894</v>
      </c>
      <c r="V181" s="274">
        <f t="shared" si="26"/>
        <v>-3.4785884716815185</v>
      </c>
      <c r="W181" s="274">
        <f t="shared" si="27"/>
        <v>3.5790531206831599</v>
      </c>
      <c r="X181" s="271">
        <f t="shared" si="30"/>
        <v>8.5206637613237102E-3</v>
      </c>
      <c r="Y181" s="436"/>
      <c r="Z181" s="12"/>
      <c r="AA181" s="12"/>
      <c r="AB181" s="12"/>
      <c r="AM181" s="224"/>
      <c r="AN181" s="224"/>
      <c r="AO181" s="224"/>
      <c r="AP181" s="224"/>
      <c r="AQ181" s="179"/>
      <c r="AR181" s="224"/>
      <c r="AS181" s="224"/>
      <c r="AT181" s="224"/>
    </row>
    <row r="182" spans="1:46" ht="15.75" x14ac:dyDescent="0.25">
      <c r="A182" s="505">
        <v>150</v>
      </c>
      <c r="B182" s="506">
        <v>109</v>
      </c>
      <c r="C182" s="664">
        <f>IFERROR('Device Resistance Tables'!C169,NA())</f>
        <v>16303.558158626362</v>
      </c>
      <c r="D182" s="554">
        <f>IFERROR('Device Resistance Tables'!D169,NA())</f>
        <v>16551.835694036916</v>
      </c>
      <c r="E182" s="664">
        <f>IFERROR('Device Resistance Tables'!F169,NA())</f>
        <v>16800.113229447466</v>
      </c>
      <c r="F182" s="690">
        <f>IFERROR(D182*($B$15/(Main!$N$31+D182)),NA())</f>
        <v>3.1168910286971556</v>
      </c>
      <c r="G182" s="690">
        <f>IFERROR($B$16*($B$15/(Main!$N$31+D182)),NA())</f>
        <v>1.8831089713028444</v>
      </c>
      <c r="H182" s="664">
        <f t="shared" si="23"/>
        <v>92.210978550552682</v>
      </c>
      <c r="I182" s="691">
        <f t="shared" si="24"/>
        <v>1.8831089713028444E-4</v>
      </c>
      <c r="J182" s="690">
        <f>IFERROR(($B$15/(Main!$N$31+D182))^2*(Main!$N$31+D182)*1000,NA())</f>
        <v>0.94155448565142219</v>
      </c>
      <c r="K182" s="274">
        <f t="shared" si="25"/>
        <v>-1.5000000000000033</v>
      </c>
      <c r="L182" s="274">
        <f t="shared" si="22"/>
        <v>1.4999999999999811</v>
      </c>
      <c r="M182" s="271">
        <f t="shared" si="28"/>
        <v>6.5625768629864467E-3</v>
      </c>
      <c r="N182" s="692"/>
      <c r="O182" s="569">
        <v>109</v>
      </c>
      <c r="P182" s="697">
        <v>749.7</v>
      </c>
      <c r="Q182" s="697">
        <v>776.9</v>
      </c>
      <c r="R182" s="697">
        <v>804.9</v>
      </c>
      <c r="S182" s="695">
        <f>IFERROR(Q182*($B$15/(Main!$N$31+Q182)),NA())</f>
        <v>0.36044688175634926</v>
      </c>
      <c r="T182" s="664">
        <f t="shared" si="29"/>
        <v>19.399999999999977</v>
      </c>
      <c r="U182" s="696">
        <f>IFERROR(($B$15/(Main!$N$31+Q182))^2*(Main!$N$31+Q182)*1000,NA())</f>
        <v>2.3197765591218258</v>
      </c>
      <c r="V182" s="274">
        <f t="shared" si="26"/>
        <v>-3.5010940919037115</v>
      </c>
      <c r="W182" s="274">
        <f t="shared" si="27"/>
        <v>3.6040674475479468</v>
      </c>
      <c r="X182" s="271">
        <f t="shared" si="30"/>
        <v>8.3368682320727472E-3</v>
      </c>
      <c r="Y182" s="436"/>
      <c r="Z182" s="12"/>
      <c r="AA182" s="12"/>
      <c r="AB182" s="12"/>
      <c r="AM182" s="224"/>
      <c r="AN182" s="224"/>
      <c r="AO182" s="224"/>
      <c r="AP182" s="224"/>
      <c r="AQ182" s="179"/>
      <c r="AR182" s="224"/>
      <c r="AS182" s="224"/>
      <c r="AT182" s="224"/>
    </row>
    <row r="183" spans="1:46" ht="15.75" x14ac:dyDescent="0.25">
      <c r="A183" s="505">
        <v>151</v>
      </c>
      <c r="B183" s="506">
        <v>110</v>
      </c>
      <c r="C183" s="664">
        <f>IFERROR('Device Resistance Tables'!C170,NA())</f>
        <v>16394.769685556766</v>
      </c>
      <c r="D183" s="554">
        <f>IFERROR('Device Resistance Tables'!D170,NA())</f>
        <v>16644.436228991643</v>
      </c>
      <c r="E183" s="664">
        <f>IFERROR('Device Resistance Tables'!F170,NA())</f>
        <v>16894.102772426515</v>
      </c>
      <c r="F183" s="690">
        <f>IFERROR(D183*($B$15/(Main!$N$31+D183)),NA())</f>
        <v>3.1234356182175356</v>
      </c>
      <c r="G183" s="690">
        <f>IFERROR($B$16*($B$15/(Main!$N$31+D183)),NA())</f>
        <v>1.8765643817824644</v>
      </c>
      <c r="H183" s="664">
        <f t="shared" si="23"/>
        <v>92.600534954726754</v>
      </c>
      <c r="I183" s="691">
        <f t="shared" si="24"/>
        <v>1.8765643817824645E-4</v>
      </c>
      <c r="J183" s="690">
        <f>IFERROR(($B$15/(Main!$N$31+D183))^2*(Main!$N$31+D183)*1000,NA())</f>
        <v>0.93828219089123233</v>
      </c>
      <c r="K183" s="274">
        <f t="shared" si="25"/>
        <v>-1.5000000000000087</v>
      </c>
      <c r="L183" s="274">
        <f t="shared" si="22"/>
        <v>1.4999999999999867</v>
      </c>
      <c r="M183" s="271">
        <f t="shared" si="28"/>
        <v>6.5445895203799509E-3</v>
      </c>
      <c r="N183" s="692"/>
      <c r="O183" s="569">
        <v>110</v>
      </c>
      <c r="P183" s="697">
        <v>731.3</v>
      </c>
      <c r="Q183" s="697">
        <v>758</v>
      </c>
      <c r="R183" s="697">
        <v>785.6</v>
      </c>
      <c r="S183" s="695">
        <f>IFERROR(Q183*($B$15/(Main!$N$31+Q183)),NA())</f>
        <v>0.35229596579289829</v>
      </c>
      <c r="T183" s="664">
        <f t="shared" si="29"/>
        <v>18.899999999999977</v>
      </c>
      <c r="U183" s="696">
        <f>IFERROR(($B$15/(Main!$N$31+Q183))^2*(Main!$N$31+Q183)*1000,NA())</f>
        <v>2.323852017103551</v>
      </c>
      <c r="V183" s="274">
        <f t="shared" si="26"/>
        <v>-3.5224274406332516</v>
      </c>
      <c r="W183" s="274">
        <f t="shared" si="27"/>
        <v>3.6411609498680768</v>
      </c>
      <c r="X183" s="271">
        <f t="shared" si="30"/>
        <v>8.1509159634509665E-3</v>
      </c>
      <c r="Y183" s="436"/>
      <c r="Z183" s="12"/>
      <c r="AA183" s="12"/>
      <c r="AB183" s="12"/>
      <c r="AM183" s="224"/>
      <c r="AN183" s="224"/>
      <c r="AO183" s="224"/>
      <c r="AP183" s="224"/>
      <c r="AQ183" s="179"/>
      <c r="AR183" s="224"/>
      <c r="AS183" s="224"/>
      <c r="AT183" s="224"/>
    </row>
    <row r="184" spans="1:46" ht="15.75" x14ac:dyDescent="0.25">
      <c r="A184" s="505">
        <v>152</v>
      </c>
      <c r="B184" s="506">
        <v>111</v>
      </c>
      <c r="C184" s="664">
        <f>IFERROR('Device Resistance Tables'!C171,NA())</f>
        <v>16486.366151520924</v>
      </c>
      <c r="D184" s="554">
        <f>IFERROR('Device Resistance Tables'!D171,NA())</f>
        <v>16737.427564995862</v>
      </c>
      <c r="E184" s="664">
        <f>IFERROR('Device Resistance Tables'!F171,NA())</f>
        <v>16988.488978470799</v>
      </c>
      <c r="F184" s="690">
        <f>IFERROR(D184*($B$15/(Main!$N$31+D184)),NA())</f>
        <v>3.1299622082769449</v>
      </c>
      <c r="G184" s="690">
        <f>IFERROR($B$16*($B$15/(Main!$N$31+D184)),NA())</f>
        <v>1.8700377917230548</v>
      </c>
      <c r="H184" s="664">
        <f t="shared" si="23"/>
        <v>92.991336004219193</v>
      </c>
      <c r="I184" s="691">
        <f t="shared" si="24"/>
        <v>1.8700377917230549E-4</v>
      </c>
      <c r="J184" s="690">
        <f>IFERROR(($B$15/(Main!$N$31+D184))^2*(Main!$N$31+D184)*1000,NA())</f>
        <v>0.93501889586152742</v>
      </c>
      <c r="K184" s="274">
        <f t="shared" si="25"/>
        <v>-1.4999999999999978</v>
      </c>
      <c r="L184" s="274">
        <f t="shared" si="22"/>
        <v>1.4999999999999978</v>
      </c>
      <c r="M184" s="271">
        <f t="shared" si="28"/>
        <v>6.5265900594093651E-3</v>
      </c>
      <c r="N184" s="692"/>
      <c r="O184" s="569">
        <v>111</v>
      </c>
      <c r="P184" s="697">
        <v>713.5</v>
      </c>
      <c r="Q184" s="697">
        <v>739.7</v>
      </c>
      <c r="R184" s="697">
        <v>766.8</v>
      </c>
      <c r="S184" s="695">
        <f>IFERROR(Q184*($B$15/(Main!$N$31+Q184)),NA())</f>
        <v>0.3443764723409406</v>
      </c>
      <c r="T184" s="664">
        <f t="shared" si="29"/>
        <v>18.299999999999955</v>
      </c>
      <c r="U184" s="696">
        <f>IFERROR(($B$15/(Main!$N$31+Q184))^2*(Main!$N$31+Q184)*1000,NA())</f>
        <v>2.327811763829529</v>
      </c>
      <c r="V184" s="274">
        <f t="shared" si="26"/>
        <v>-3.5419764769501203</v>
      </c>
      <c r="W184" s="274">
        <f t="shared" si="27"/>
        <v>3.6636474246315949</v>
      </c>
      <c r="X184" s="271">
        <f t="shared" si="30"/>
        <v>7.9194934519576932E-3</v>
      </c>
      <c r="Y184" s="436"/>
      <c r="Z184" s="12"/>
      <c r="AA184" s="12"/>
      <c r="AB184" s="12"/>
      <c r="AM184" s="224"/>
      <c r="AN184" s="224"/>
      <c r="AO184" s="224"/>
      <c r="AP184" s="224"/>
      <c r="AQ184" s="179"/>
      <c r="AR184" s="224"/>
      <c r="AS184" s="224"/>
      <c r="AT184" s="224"/>
    </row>
    <row r="185" spans="1:46" ht="15.75" x14ac:dyDescent="0.25">
      <c r="A185" s="505">
        <v>153</v>
      </c>
      <c r="B185" s="506">
        <v>112</v>
      </c>
      <c r="C185" s="664">
        <f>IFERROR('Device Resistance Tables'!C172,NA())</f>
        <v>16578.348791106426</v>
      </c>
      <c r="D185" s="554">
        <f>IFERROR('Device Resistance Tables'!D172,NA())</f>
        <v>16830.810955437995</v>
      </c>
      <c r="E185" s="664">
        <f>IFERROR('Device Resistance Tables'!F172,NA())</f>
        <v>17083.273119769565</v>
      </c>
      <c r="F185" s="690">
        <f>IFERROR(D185*($B$15/(Main!$N$31+D185)),NA())</f>
        <v>3.1364707878922258</v>
      </c>
      <c r="G185" s="690">
        <f>IFERROR($B$16*($B$15/(Main!$N$31+D185)),NA())</f>
        <v>1.863529212107774</v>
      </c>
      <c r="H185" s="664">
        <f t="shared" si="23"/>
        <v>93.383390442133532</v>
      </c>
      <c r="I185" s="691">
        <f t="shared" si="24"/>
        <v>1.863529212107774E-4</v>
      </c>
      <c r="J185" s="690">
        <f>IFERROR(($B$15/(Main!$N$31+D185))^2*(Main!$N$31+D185)*1000,NA())</f>
        <v>0.93176460605388689</v>
      </c>
      <c r="K185" s="274">
        <f t="shared" si="25"/>
        <v>-1.4999999999999976</v>
      </c>
      <c r="L185" s="274">
        <f t="shared" si="22"/>
        <v>1.4999999999999976</v>
      </c>
      <c r="M185" s="271">
        <f t="shared" si="28"/>
        <v>6.5085796152808406E-3</v>
      </c>
      <c r="N185" s="692"/>
      <c r="O185" s="569">
        <v>112</v>
      </c>
      <c r="P185" s="697">
        <v>696.2</v>
      </c>
      <c r="Q185" s="697">
        <v>721.9</v>
      </c>
      <c r="R185" s="697">
        <v>748.5</v>
      </c>
      <c r="S185" s="695">
        <f>IFERROR(Q185*($B$15/(Main!$N$31+Q185)),NA())</f>
        <v>0.33664742256503044</v>
      </c>
      <c r="T185" s="664">
        <f t="shared" si="29"/>
        <v>17.800000000000068</v>
      </c>
      <c r="U185" s="696">
        <f>IFERROR(($B$15/(Main!$N$31+Q185))^2*(Main!$N$31+Q185)*1000,NA())</f>
        <v>2.3316762887174849</v>
      </c>
      <c r="V185" s="274">
        <f t="shared" si="26"/>
        <v>-3.560049868402817</v>
      </c>
      <c r="W185" s="274">
        <f t="shared" si="27"/>
        <v>3.6847208754675198</v>
      </c>
      <c r="X185" s="271">
        <f t="shared" si="30"/>
        <v>7.7290497759101573E-3</v>
      </c>
      <c r="Y185" s="436"/>
      <c r="Z185" s="12"/>
      <c r="AA185" s="12"/>
      <c r="AB185" s="12"/>
      <c r="AM185" s="224"/>
      <c r="AN185" s="224"/>
      <c r="AO185" s="224"/>
      <c r="AP185" s="224"/>
      <c r="AQ185" s="179"/>
      <c r="AR185" s="224"/>
      <c r="AS185" s="224"/>
      <c r="AT185" s="224"/>
    </row>
    <row r="186" spans="1:46" ht="15.75" x14ac:dyDescent="0.25">
      <c r="A186" s="505">
        <v>154</v>
      </c>
      <c r="B186" s="506">
        <v>113</v>
      </c>
      <c r="C186" s="664">
        <f>IFERROR('Device Resistance Tables'!C173,NA())</f>
        <v>16670.718847512802</v>
      </c>
      <c r="D186" s="554">
        <f>IFERROR('Device Resistance Tables'!D173,NA())</f>
        <v>16924.587662449547</v>
      </c>
      <c r="E186" s="664">
        <f>IFERROR('Device Resistance Tables'!F173,NA())</f>
        <v>17178.456477386288</v>
      </c>
      <c r="F186" s="690">
        <f>IFERROR(D186*($B$15/(Main!$N$31+D186)),NA())</f>
        <v>3.142961347195202</v>
      </c>
      <c r="G186" s="690">
        <f>IFERROR($B$16*($B$15/(Main!$N$31+D186)),NA())</f>
        <v>1.8570386528047984</v>
      </c>
      <c r="H186" s="664">
        <f t="shared" si="23"/>
        <v>93.77670701155148</v>
      </c>
      <c r="I186" s="691">
        <f t="shared" si="24"/>
        <v>1.8570386528047984E-4</v>
      </c>
      <c r="J186" s="690">
        <f>IFERROR(($B$15/(Main!$N$31+D186))^2*(Main!$N$31+D186)*1000,NA())</f>
        <v>0.92851932640239931</v>
      </c>
      <c r="K186" s="274">
        <f t="shared" si="25"/>
        <v>-1.5000000000000073</v>
      </c>
      <c r="L186" s="274">
        <f t="shared" si="22"/>
        <v>1.4999999999999858</v>
      </c>
      <c r="M186" s="271">
        <f t="shared" si="28"/>
        <v>6.490559302976262E-3</v>
      </c>
      <c r="N186" s="692"/>
      <c r="O186" s="569">
        <v>113</v>
      </c>
      <c r="P186" s="697">
        <v>679.3</v>
      </c>
      <c r="Q186" s="697">
        <v>704.6</v>
      </c>
      <c r="R186" s="697">
        <v>730.8</v>
      </c>
      <c r="S186" s="695">
        <f>IFERROR(Q186*($B$15/(Main!$N$31+Q186)),NA())</f>
        <v>0.3291108495413187</v>
      </c>
      <c r="T186" s="664">
        <f t="shared" si="29"/>
        <v>17.299999999999955</v>
      </c>
      <c r="U186" s="696">
        <f>IFERROR(($B$15/(Main!$N$31+Q186))^2*(Main!$N$31+Q186)*1000,NA())</f>
        <v>2.3354445752293405</v>
      </c>
      <c r="V186" s="274">
        <f t="shared" si="26"/>
        <v>-3.5906897530513864</v>
      </c>
      <c r="W186" s="274">
        <f t="shared" si="27"/>
        <v>3.7184217996026017</v>
      </c>
      <c r="X186" s="271">
        <f t="shared" si="30"/>
        <v>7.5365730237117456E-3</v>
      </c>
      <c r="Y186" s="436"/>
      <c r="Z186" s="12"/>
      <c r="AA186" s="12"/>
      <c r="AB186" s="12"/>
      <c r="AM186" s="224"/>
      <c r="AN186" s="224"/>
      <c r="AO186" s="224"/>
      <c r="AP186" s="224"/>
      <c r="AQ186" s="179"/>
      <c r="AR186" s="224"/>
      <c r="AS186" s="224"/>
      <c r="AT186" s="224"/>
    </row>
    <row r="187" spans="1:46" ht="15.75" x14ac:dyDescent="0.25">
      <c r="A187" s="505">
        <v>155</v>
      </c>
      <c r="B187" s="506">
        <v>114</v>
      </c>
      <c r="C187" s="664">
        <f>IFERROR('Device Resistance Tables'!C174,NA())</f>
        <v>16763.477572551539</v>
      </c>
      <c r="D187" s="554">
        <f>IFERROR('Device Resistance Tables'!D174,NA())</f>
        <v>17018.758956905116</v>
      </c>
      <c r="E187" s="664">
        <f>IFERROR('Device Resistance Tables'!F174,NA())</f>
        <v>17274.040341258693</v>
      </c>
      <c r="F187" s="690">
        <f>IFERROR(D187*($B$15/(Main!$N$31+D187)),NA())</f>
        <v>3.1494338774127288</v>
      </c>
      <c r="G187" s="690">
        <f>IFERROR($B$16*($B$15/(Main!$N$31+D187)),NA())</f>
        <v>1.8505661225872709</v>
      </c>
      <c r="H187" s="664">
        <f t="shared" si="23"/>
        <v>94.171294455569296</v>
      </c>
      <c r="I187" s="691">
        <f t="shared" si="24"/>
        <v>1.850566122587271E-4</v>
      </c>
      <c r="J187" s="690">
        <f>IFERROR(($B$15/(Main!$N$31+D187))^2*(Main!$N$31+D187)*1000,NA())</f>
        <v>0.92528306129363547</v>
      </c>
      <c r="K187" s="274">
        <f t="shared" si="25"/>
        <v>-1.5000000000000009</v>
      </c>
      <c r="L187" s="274">
        <f t="shared" si="22"/>
        <v>1.5000000000000009</v>
      </c>
      <c r="M187" s="271">
        <f t="shared" si="28"/>
        <v>6.4725302175268062E-3</v>
      </c>
      <c r="N187" s="692"/>
      <c r="O187" s="569">
        <v>114</v>
      </c>
      <c r="P187" s="697">
        <v>663</v>
      </c>
      <c r="Q187" s="697">
        <v>687.8</v>
      </c>
      <c r="R187" s="697">
        <v>713.5</v>
      </c>
      <c r="S187" s="695">
        <f>IFERROR(Q187*($B$15/(Main!$N$31+Q187)),NA())</f>
        <v>0.32176874567263608</v>
      </c>
      <c r="T187" s="664">
        <f t="shared" si="29"/>
        <v>16.800000000000068</v>
      </c>
      <c r="U187" s="696">
        <f>IFERROR(($B$15/(Main!$N$31+Q187))^2*(Main!$N$31+Q187)*1000,NA())</f>
        <v>2.3391156271636824</v>
      </c>
      <c r="V187" s="274">
        <f t="shared" si="26"/>
        <v>-3.605699331200924</v>
      </c>
      <c r="W187" s="274">
        <f t="shared" si="27"/>
        <v>3.7365513230590355</v>
      </c>
      <c r="X187" s="271">
        <f t="shared" si="30"/>
        <v>7.3421038686826146E-3</v>
      </c>
      <c r="Y187" s="436"/>
      <c r="Z187" s="12"/>
      <c r="AA187" s="12"/>
      <c r="AB187" s="12"/>
      <c r="AM187" s="224"/>
      <c r="AN187" s="224"/>
      <c r="AO187" s="224"/>
      <c r="AP187" s="224"/>
      <c r="AQ187" s="179"/>
      <c r="AR187" s="224"/>
      <c r="AS187" s="224"/>
      <c r="AT187" s="224"/>
    </row>
    <row r="188" spans="1:46" ht="15.75" x14ac:dyDescent="0.25">
      <c r="A188" s="505">
        <v>156</v>
      </c>
      <c r="B188" s="506">
        <v>115</v>
      </c>
      <c r="C188" s="664">
        <f>IFERROR('Device Resistance Tables'!C175,NA())</f>
        <v>16856.626226646058</v>
      </c>
      <c r="D188" s="554">
        <f>IFERROR('Device Resistance Tables'!D175,NA())</f>
        <v>17113.326118422396</v>
      </c>
      <c r="E188" s="664">
        <f>IFERROR('Device Resistance Tables'!F175,NA())</f>
        <v>17370.02601019873</v>
      </c>
      <c r="F188" s="690">
        <f>IFERROR(D188*($B$15/(Main!$N$31+D188)),NA())</f>
        <v>3.1558883708470185</v>
      </c>
      <c r="G188" s="690">
        <f>IFERROR($B$16*($B$15/(Main!$N$31+D188)),NA())</f>
        <v>1.8441116291529811</v>
      </c>
      <c r="H188" s="664">
        <f t="shared" si="23"/>
        <v>94.567161517279601</v>
      </c>
      <c r="I188" s="691">
        <f t="shared" si="24"/>
        <v>1.8441116291529811E-4</v>
      </c>
      <c r="J188" s="690">
        <f>IFERROR(($B$15/(Main!$N$31+D188))^2*(Main!$N$31+D188)*1000,NA())</f>
        <v>0.92205581457649044</v>
      </c>
      <c r="K188" s="274">
        <f t="shared" si="25"/>
        <v>-1.5000000000000098</v>
      </c>
      <c r="L188" s="274">
        <f t="shared" si="22"/>
        <v>1.4999999999999885</v>
      </c>
      <c r="M188" s="271">
        <f t="shared" si="28"/>
        <v>6.4544934342896099E-3</v>
      </c>
      <c r="N188" s="692"/>
      <c r="O188" s="569">
        <v>115</v>
      </c>
      <c r="P188" s="697">
        <v>647.1</v>
      </c>
      <c r="Q188" s="697">
        <v>671.5</v>
      </c>
      <c r="R188" s="697">
        <v>696.8</v>
      </c>
      <c r="S188" s="695">
        <f>IFERROR(Q188*($B$15/(Main!$N$31+Q188)),NA())</f>
        <v>0.31462306142529167</v>
      </c>
      <c r="T188" s="664">
        <f t="shared" si="29"/>
        <v>16.299999999999955</v>
      </c>
      <c r="U188" s="696">
        <f>IFERROR(($B$15/(Main!$N$31+Q188))^2*(Main!$N$31+Q188)*1000,NA())</f>
        <v>2.3426884692873542</v>
      </c>
      <c r="V188" s="274">
        <f t="shared" si="26"/>
        <v>-3.6336559940431834</v>
      </c>
      <c r="W188" s="274">
        <f t="shared" si="27"/>
        <v>3.7676842889054289</v>
      </c>
      <c r="X188" s="271">
        <f t="shared" si="30"/>
        <v>7.1456842473444082E-3</v>
      </c>
      <c r="Y188" s="436"/>
      <c r="Z188" s="12"/>
      <c r="AA188" s="12"/>
      <c r="AB188" s="12"/>
      <c r="AM188" s="224"/>
      <c r="AN188" s="224"/>
      <c r="AO188" s="224"/>
      <c r="AP188" s="224"/>
      <c r="AQ188" s="179"/>
      <c r="AR188" s="224"/>
      <c r="AS188" s="224"/>
      <c r="AT188" s="224"/>
    </row>
    <row r="189" spans="1:46" ht="15.75" x14ac:dyDescent="0.25">
      <c r="A189" s="505">
        <v>157</v>
      </c>
      <c r="B189" s="506">
        <v>116</v>
      </c>
      <c r="C189" s="664">
        <f>IFERROR('Device Resistance Tables'!C176,NA())</f>
        <v>16950.166078831735</v>
      </c>
      <c r="D189" s="554">
        <f>IFERROR('Device Resistance Tables'!D176,NA())</f>
        <v>17208.290435362167</v>
      </c>
      <c r="E189" s="664">
        <f>IFERROR('Device Resistance Tables'!F176,NA())</f>
        <v>17466.414791892599</v>
      </c>
      <c r="F189" s="690">
        <f>IFERROR(D189*($B$15/(Main!$N$31+D189)),NA())</f>
        <v>3.162324820856226</v>
      </c>
      <c r="G189" s="690">
        <f>IFERROR($B$16*($B$15/(Main!$N$31+D189)),NA())</f>
        <v>1.837675179143774</v>
      </c>
      <c r="H189" s="664">
        <f t="shared" si="23"/>
        <v>94.964316939771379</v>
      </c>
      <c r="I189" s="691">
        <f t="shared" si="24"/>
        <v>1.8376751791437739E-4</v>
      </c>
      <c r="J189" s="690">
        <f>IFERROR(($B$15/(Main!$N$31+D189))^2*(Main!$N$31+D189)*1000,NA())</f>
        <v>0.91883758957188699</v>
      </c>
      <c r="K189" s="274">
        <f t="shared" si="25"/>
        <v>-1.4999999999999978</v>
      </c>
      <c r="L189" s="274">
        <f t="shared" si="22"/>
        <v>1.4999999999999978</v>
      </c>
      <c r="M189" s="271">
        <f t="shared" si="28"/>
        <v>6.4364500092075616E-3</v>
      </c>
      <c r="N189" s="692"/>
      <c r="O189" s="569">
        <v>116</v>
      </c>
      <c r="P189" s="697">
        <v>631.6</v>
      </c>
      <c r="Q189" s="697">
        <v>655.6</v>
      </c>
      <c r="R189" s="697">
        <v>680.5</v>
      </c>
      <c r="S189" s="695">
        <f>IFERROR(Q189*($B$15/(Main!$N$31+Q189)),NA())</f>
        <v>0.30763166785539997</v>
      </c>
      <c r="T189" s="664">
        <f t="shared" si="29"/>
        <v>15.899999999999977</v>
      </c>
      <c r="U189" s="696">
        <f>IFERROR(($B$15/(Main!$N$31+Q189))^2*(Main!$N$31+Q189)*1000,NA())</f>
        <v>2.3461841660723</v>
      </c>
      <c r="V189" s="274">
        <f t="shared" si="26"/>
        <v>-3.6607687614399023</v>
      </c>
      <c r="W189" s="274">
        <f t="shared" si="27"/>
        <v>3.798047589993895</v>
      </c>
      <c r="X189" s="271">
        <f t="shared" si="30"/>
        <v>6.9913935698917018E-3</v>
      </c>
      <c r="Y189" s="436"/>
      <c r="Z189" s="12"/>
      <c r="AA189" s="12"/>
      <c r="AB189" s="12"/>
      <c r="AM189" s="224"/>
      <c r="AN189" s="224"/>
      <c r="AO189" s="224"/>
      <c r="AP189" s="224"/>
      <c r="AQ189" s="179"/>
      <c r="AR189" s="224"/>
      <c r="AS189" s="224"/>
      <c r="AT189" s="224"/>
    </row>
    <row r="190" spans="1:46" ht="15.75" x14ac:dyDescent="0.25">
      <c r="A190" s="505">
        <v>158</v>
      </c>
      <c r="B190" s="506">
        <v>117</v>
      </c>
      <c r="C190" s="664">
        <f>IFERROR('Device Resistance Tables'!C177,NA())</f>
        <v>17044.098406755882</v>
      </c>
      <c r="D190" s="554">
        <f>IFERROR('Device Resistance Tables'!D177,NA())</f>
        <v>17303.653204828308</v>
      </c>
      <c r="E190" s="664">
        <f>IFERROR('Device Resistance Tables'!F177,NA())</f>
        <v>17563.20800290073</v>
      </c>
      <c r="F190" s="690">
        <f>IFERROR(D190*($B$15/(Main!$N$31+D190)),NA())</f>
        <v>3.1687432218353062</v>
      </c>
      <c r="G190" s="690">
        <f>IFERROR($B$16*($B$15/(Main!$N$31+D190)),NA())</f>
        <v>1.8312567781646936</v>
      </c>
      <c r="H190" s="664">
        <f t="shared" si="23"/>
        <v>95.36276946614089</v>
      </c>
      <c r="I190" s="691">
        <f t="shared" si="24"/>
        <v>1.8312567781646937E-4</v>
      </c>
      <c r="J190" s="690">
        <f>IFERROR(($B$15/(Main!$N$31+D190))^2*(Main!$N$31+D190)*1000,NA())</f>
        <v>0.91562838908234678</v>
      </c>
      <c r="K190" s="274">
        <f t="shared" si="25"/>
        <v>-1.5000000000000073</v>
      </c>
      <c r="L190" s="274">
        <f t="shared" si="22"/>
        <v>1.4999999999999865</v>
      </c>
      <c r="M190" s="271">
        <f t="shared" si="28"/>
        <v>6.4184009790801966E-3</v>
      </c>
      <c r="N190" s="692"/>
      <c r="O190" s="569">
        <v>117</v>
      </c>
      <c r="P190" s="697">
        <v>616.6</v>
      </c>
      <c r="Q190" s="697">
        <v>640.20000000000005</v>
      </c>
      <c r="R190" s="697">
        <v>664.6</v>
      </c>
      <c r="S190" s="695">
        <f>IFERROR(Q190*($B$15/(Main!$N$31+Q190)),NA())</f>
        <v>0.30084020977049303</v>
      </c>
      <c r="T190" s="664">
        <f t="shared" si="29"/>
        <v>15.399999999999977</v>
      </c>
      <c r="U190" s="696">
        <f>IFERROR(($B$15/(Main!$N$31+Q190))^2*(Main!$N$31+Q190)*1000,NA())</f>
        <v>2.3495798951147533</v>
      </c>
      <c r="V190" s="274">
        <f t="shared" si="26"/>
        <v>-3.6863480162449265</v>
      </c>
      <c r="W190" s="274">
        <f t="shared" si="27"/>
        <v>3.8113089659481374</v>
      </c>
      <c r="X190" s="271">
        <f t="shared" si="30"/>
        <v>6.7914580849069428E-3</v>
      </c>
      <c r="Y190" s="436"/>
      <c r="Z190" s="12"/>
      <c r="AA190" s="12"/>
      <c r="AB190" s="12"/>
      <c r="AM190" s="224"/>
      <c r="AN190" s="224"/>
      <c r="AO190" s="224"/>
      <c r="AP190" s="224"/>
      <c r="AQ190" s="179"/>
      <c r="AR190" s="224"/>
      <c r="AS190" s="224"/>
      <c r="AT190" s="224"/>
    </row>
    <row r="191" spans="1:46" ht="15.75" x14ac:dyDescent="0.25">
      <c r="A191" s="505">
        <v>159</v>
      </c>
      <c r="B191" s="506">
        <v>118</v>
      </c>
      <c r="C191" s="664">
        <f>IFERROR('Device Resistance Tables'!C178,NA())</f>
        <v>17138.424496677777</v>
      </c>
      <c r="D191" s="554">
        <f>IFERROR('Device Resistance Tables'!D178,NA())</f>
        <v>17399.415732667792</v>
      </c>
      <c r="E191" s="664">
        <f>IFERROR('Device Resistance Tables'!F178,NA())</f>
        <v>17660.406968657808</v>
      </c>
      <c r="F191" s="690">
        <f>IFERROR(D191*($B$15/(Main!$N$31+D191)),NA())</f>
        <v>3.1751435691971355</v>
      </c>
      <c r="G191" s="690">
        <f>IFERROR($B$16*($B$15/(Main!$N$31+D191)),NA())</f>
        <v>1.8248564308028645</v>
      </c>
      <c r="H191" s="664">
        <f t="shared" si="23"/>
        <v>95.762527839484392</v>
      </c>
      <c r="I191" s="691">
        <f t="shared" si="24"/>
        <v>1.8248564308028645E-4</v>
      </c>
      <c r="J191" s="690">
        <f>IFERROR(($B$15/(Main!$N$31+D191))^2*(Main!$N$31+D191)*1000,NA())</f>
        <v>0.91242821540143226</v>
      </c>
      <c r="K191" s="274">
        <f t="shared" si="25"/>
        <v>-1.4999999999999916</v>
      </c>
      <c r="L191" s="274">
        <f t="shared" si="22"/>
        <v>1.4999999999999916</v>
      </c>
      <c r="M191" s="271">
        <f t="shared" si="28"/>
        <v>6.4003473618292617E-3</v>
      </c>
      <c r="N191" s="692"/>
      <c r="O191" s="569">
        <v>118</v>
      </c>
      <c r="P191" s="697">
        <v>602</v>
      </c>
      <c r="Q191" s="697">
        <v>625.20000000000005</v>
      </c>
      <c r="R191" s="697">
        <v>649.20000000000005</v>
      </c>
      <c r="S191" s="695">
        <f>IFERROR(Q191*($B$15/(Main!$N$31+Q191)),NA())</f>
        <v>0.29420622670632085</v>
      </c>
      <c r="T191" s="664">
        <f t="shared" si="29"/>
        <v>15</v>
      </c>
      <c r="U191" s="696">
        <f>IFERROR(($B$15/(Main!$N$31+Q191))^2*(Main!$N$31+Q191)*1000,NA())</f>
        <v>2.3528968866468394</v>
      </c>
      <c r="V191" s="274">
        <f t="shared" si="26"/>
        <v>-3.7108125399872112</v>
      </c>
      <c r="W191" s="274">
        <f t="shared" si="27"/>
        <v>3.8387715930902107</v>
      </c>
      <c r="X191" s="271">
        <f t="shared" si="30"/>
        <v>6.6339830641721775E-3</v>
      </c>
      <c r="Y191" s="436"/>
      <c r="Z191" s="12"/>
      <c r="AA191" s="12"/>
      <c r="AB191" s="12"/>
      <c r="AM191" s="224"/>
      <c r="AN191" s="224"/>
      <c r="AO191" s="224"/>
      <c r="AP191" s="224"/>
      <c r="AQ191" s="179"/>
      <c r="AR191" s="224"/>
      <c r="AS191" s="224"/>
      <c r="AT191" s="224"/>
    </row>
    <row r="192" spans="1:46" ht="15.75" x14ac:dyDescent="0.25">
      <c r="A192" s="505">
        <v>160</v>
      </c>
      <c r="B192" s="506">
        <v>119</v>
      </c>
      <c r="C192" s="664">
        <f>IFERROR('Device Resistance Tables'!C179,NA())</f>
        <v>17233.145643468608</v>
      </c>
      <c r="D192" s="554">
        <f>IFERROR('Device Resistance Tables'!D179,NA())</f>
        <v>17495.579333470669</v>
      </c>
      <c r="E192" s="664">
        <f>IFERROR('Device Resistance Tables'!F179,NA())</f>
        <v>17758.013023472726</v>
      </c>
      <c r="F192" s="690">
        <f>IFERROR(D192*($B$15/(Main!$N$31+D192)),NA())</f>
        <v>3.1815258593538909</v>
      </c>
      <c r="G192" s="690">
        <f>IFERROR($B$16*($B$15/(Main!$N$31+D192)),NA())</f>
        <v>1.8184741406461096</v>
      </c>
      <c r="H192" s="664">
        <f t="shared" si="23"/>
        <v>96.163600802876317</v>
      </c>
      <c r="I192" s="691">
        <f t="shared" si="24"/>
        <v>1.8184741406461095E-4</v>
      </c>
      <c r="J192" s="690">
        <f>IFERROR(($B$15/(Main!$N$31+D192))^2*(Main!$N$31+D192)*1000,NA())</f>
        <v>0.90923707032305479</v>
      </c>
      <c r="K192" s="274">
        <f t="shared" si="25"/>
        <v>-1.500000000000004</v>
      </c>
      <c r="L192" s="274">
        <f t="shared" si="22"/>
        <v>1.4999999999999833</v>
      </c>
      <c r="M192" s="271">
        <f t="shared" si="28"/>
        <v>6.3822901567553991E-3</v>
      </c>
      <c r="N192" s="692"/>
      <c r="O192" s="569">
        <v>119</v>
      </c>
      <c r="P192" s="697">
        <v>587.79999999999995</v>
      </c>
      <c r="Q192" s="697">
        <v>610.6</v>
      </c>
      <c r="R192" s="697">
        <v>634.20000000000005</v>
      </c>
      <c r="S192" s="695">
        <f>IFERROR(Q192*($B$15/(Main!$N$31+Q192)),NA())</f>
        <v>0.28773113678774054</v>
      </c>
      <c r="T192" s="664">
        <f t="shared" si="29"/>
        <v>14.600000000000023</v>
      </c>
      <c r="U192" s="696">
        <f>IFERROR(($B$15/(Main!$N$31+Q192))^2*(Main!$N$31+Q192)*1000,NA())</f>
        <v>2.3561344316061295</v>
      </c>
      <c r="V192" s="274">
        <f t="shared" si="26"/>
        <v>-3.7340320995742005</v>
      </c>
      <c r="W192" s="274">
        <f t="shared" si="27"/>
        <v>3.8650507697346912</v>
      </c>
      <c r="X192" s="271">
        <f t="shared" si="30"/>
        <v>6.4750899185803124E-3</v>
      </c>
      <c r="Y192" s="436"/>
      <c r="Z192" s="12"/>
      <c r="AA192" s="12"/>
      <c r="AB192" s="12"/>
      <c r="AM192" s="224"/>
      <c r="AN192" s="224"/>
      <c r="AO192" s="224"/>
      <c r="AP192" s="224"/>
      <c r="AQ192" s="179"/>
      <c r="AR192" s="224"/>
      <c r="AS192" s="224"/>
      <c r="AT192" s="224"/>
    </row>
    <row r="193" spans="1:46" ht="15.75" x14ac:dyDescent="0.25">
      <c r="A193" s="505">
        <v>161</v>
      </c>
      <c r="B193" s="506">
        <v>120</v>
      </c>
      <c r="C193" s="664">
        <f>IFERROR('Device Resistance Tables'!C180,NA())</f>
        <v>17328.263150611547</v>
      </c>
      <c r="D193" s="554">
        <f>IFERROR('Device Resistance Tables'!D180,NA())</f>
        <v>17592.1453305701</v>
      </c>
      <c r="E193" s="664">
        <f>IFERROR('Device Resistance Tables'!F180,NA())</f>
        <v>17856.027510528649</v>
      </c>
      <c r="F193" s="690">
        <f>IFERROR(D193*($B$15/(Main!$N$31+D193)),NA())</f>
        <v>3.1878900896986933</v>
      </c>
      <c r="G193" s="690">
        <f>IFERROR($B$16*($B$15/(Main!$N$31+D193)),NA())</f>
        <v>1.8121099103013065</v>
      </c>
      <c r="H193" s="664">
        <f t="shared" si="23"/>
        <v>96.565997099431115</v>
      </c>
      <c r="I193" s="691">
        <f t="shared" si="24"/>
        <v>1.8121099103013066E-4</v>
      </c>
      <c r="J193" s="690">
        <f>IFERROR(($B$15/(Main!$N$31+D193))^2*(Main!$N$31+D193)*1000,NA())</f>
        <v>0.90605495515065326</v>
      </c>
      <c r="K193" s="274">
        <f t="shared" si="25"/>
        <v>-1.5000000000000087</v>
      </c>
      <c r="L193" s="274">
        <f t="shared" ref="L193:L223" si="31">IFERROR(((E193-D193)/D193)*100,NA())</f>
        <v>1.499999999999988</v>
      </c>
      <c r="M193" s="271">
        <f t="shared" si="28"/>
        <v>6.3642303448023796E-3</v>
      </c>
      <c r="N193" s="692"/>
      <c r="O193" s="569">
        <v>120</v>
      </c>
      <c r="P193" s="697">
        <v>574</v>
      </c>
      <c r="Q193" s="697">
        <v>596.4</v>
      </c>
      <c r="R193" s="697">
        <v>619.6</v>
      </c>
      <c r="S193" s="695">
        <f>IFERROR(Q193*($B$15/(Main!$N$31+Q193)),NA())</f>
        <v>0.2814163300743649</v>
      </c>
      <c r="T193" s="664">
        <f t="shared" si="29"/>
        <v>14.200000000000045</v>
      </c>
      <c r="U193" s="696">
        <f>IFERROR(($B$15/(Main!$N$31+Q193))^2*(Main!$N$31+Q193)*1000,NA())</f>
        <v>2.3592918349628174</v>
      </c>
      <c r="V193" s="274">
        <f t="shared" si="26"/>
        <v>-3.7558685446009354</v>
      </c>
      <c r="W193" s="274">
        <f t="shared" si="27"/>
        <v>3.8900067069081232</v>
      </c>
      <c r="X193" s="271">
        <f t="shared" si="30"/>
        <v>6.3148067133756425E-3</v>
      </c>
      <c r="Y193" s="436"/>
      <c r="Z193" s="12"/>
      <c r="AA193" s="12"/>
      <c r="AB193" s="12"/>
      <c r="AM193" s="224"/>
      <c r="AN193" s="224"/>
      <c r="AO193" s="224"/>
      <c r="AP193" s="224"/>
      <c r="AQ193" s="179"/>
      <c r="AR193" s="224"/>
      <c r="AS193" s="224"/>
      <c r="AT193" s="224"/>
    </row>
    <row r="194" spans="1:46" ht="15.75" x14ac:dyDescent="0.25">
      <c r="A194" s="505">
        <v>162</v>
      </c>
      <c r="B194" s="506">
        <v>121</v>
      </c>
      <c r="C194" s="664">
        <f>IFERROR('Device Resistance Tables'!C181,NA())</f>
        <v>17423.778330201698</v>
      </c>
      <c r="D194" s="554">
        <f>IFERROR('Device Resistance Tables'!D181,NA())</f>
        <v>17689.115056042334</v>
      </c>
      <c r="E194" s="664">
        <f>IFERROR('Device Resistance Tables'!F181,NA())</f>
        <v>17954.451781882966</v>
      </c>
      <c r="F194" s="690">
        <f>IFERROR(D194*($B$15/(Main!$N$31+D194)),NA())</f>
        <v>3.1942362585875066</v>
      </c>
      <c r="G194" s="690">
        <f>IFERROR($B$16*($B$15/(Main!$N$31+D194)),NA())</f>
        <v>1.8057637414124932</v>
      </c>
      <c r="H194" s="664">
        <f t="shared" ref="H194:H223" si="32">IFERROR(D194-D193,NA())</f>
        <v>96.969725472234131</v>
      </c>
      <c r="I194" s="691">
        <f t="shared" si="24"/>
        <v>1.8057637414124931E-4</v>
      </c>
      <c r="J194" s="690">
        <f>IFERROR(($B$15/(Main!$N$31+D194))^2*(Main!$N$31+D194)*1000,NA())</f>
        <v>0.90288187070624659</v>
      </c>
      <c r="K194" s="274">
        <f t="shared" si="25"/>
        <v>-1.500000000000006</v>
      </c>
      <c r="L194" s="274">
        <f t="shared" si="31"/>
        <v>1.4999999999999853</v>
      </c>
      <c r="M194" s="271">
        <f t="shared" si="28"/>
        <v>6.3461688888133416E-3</v>
      </c>
      <c r="N194" s="692"/>
      <c r="O194" s="569">
        <v>121</v>
      </c>
      <c r="P194" s="697">
        <v>560.6</v>
      </c>
      <c r="Q194" s="697">
        <v>582.6</v>
      </c>
      <c r="R194" s="697">
        <v>605.4</v>
      </c>
      <c r="S194" s="695">
        <f>IFERROR(Q194*($B$15/(Main!$N$31+Q194)),NA())</f>
        <v>0.27526316784155119</v>
      </c>
      <c r="T194" s="664">
        <f t="shared" si="29"/>
        <v>13.799999999999955</v>
      </c>
      <c r="U194" s="696">
        <f>IFERROR(($B$15/(Main!$N$31+Q194))^2*(Main!$N$31+Q194)*1000,NA())</f>
        <v>2.362368416079224</v>
      </c>
      <c r="V194" s="274">
        <f t="shared" si="26"/>
        <v>-3.7761757638173701</v>
      </c>
      <c r="W194" s="274">
        <f t="shared" si="27"/>
        <v>3.913491246137994</v>
      </c>
      <c r="X194" s="271">
        <f t="shared" si="30"/>
        <v>6.1531622328137026E-3</v>
      </c>
      <c r="Y194" s="436"/>
      <c r="Z194" s="12"/>
      <c r="AA194" s="12"/>
      <c r="AB194" s="12"/>
      <c r="AM194" s="224"/>
      <c r="AN194" s="224"/>
      <c r="AO194" s="224"/>
      <c r="AP194" s="224"/>
      <c r="AQ194" s="179"/>
      <c r="AR194" s="224"/>
      <c r="AS194" s="224"/>
      <c r="AT194" s="224"/>
    </row>
    <row r="195" spans="1:46" ht="15.75" x14ac:dyDescent="0.25">
      <c r="A195" s="505">
        <v>163</v>
      </c>
      <c r="B195" s="506">
        <v>122</v>
      </c>
      <c r="C195" s="664">
        <f>IFERROR('Device Resistance Tables'!C182,NA())</f>
        <v>17519.692502946102</v>
      </c>
      <c r="D195" s="554">
        <f>IFERROR('Device Resistance Tables'!D182,NA())</f>
        <v>17786.489850706701</v>
      </c>
      <c r="E195" s="664">
        <f>IFERROR('Device Resistance Tables'!F182,NA())</f>
        <v>18053.2871984673</v>
      </c>
      <c r="F195" s="690">
        <f>IFERROR(D195*($B$15/(Main!$N$31+D195)),NA())</f>
        <v>3.2005643653212879</v>
      </c>
      <c r="G195" s="690">
        <f>IFERROR($B$16*($B$15/(Main!$N$31+D195)),NA())</f>
        <v>1.7994356346787119</v>
      </c>
      <c r="H195" s="664">
        <f t="shared" si="32"/>
        <v>97.374794664367073</v>
      </c>
      <c r="I195" s="691">
        <f t="shared" si="24"/>
        <v>1.7994356346787119E-4</v>
      </c>
      <c r="J195" s="690">
        <f>IFERROR(($B$15/(Main!$N$31+D195))^2*(Main!$N$31+D195)*1000,NA())</f>
        <v>0.89971781733935585</v>
      </c>
      <c r="K195" s="274">
        <f t="shared" si="25"/>
        <v>-1.4999999999999927</v>
      </c>
      <c r="L195" s="274">
        <f t="shared" si="31"/>
        <v>1.4999999999999927</v>
      </c>
      <c r="M195" s="271">
        <f t="shared" si="28"/>
        <v>6.328106733781258E-3</v>
      </c>
      <c r="N195" s="692"/>
      <c r="O195" s="569">
        <v>122</v>
      </c>
      <c r="P195" s="697">
        <v>547.6</v>
      </c>
      <c r="Q195" s="697">
        <v>569.20000000000005</v>
      </c>
      <c r="R195" s="697">
        <v>591.6</v>
      </c>
      <c r="S195" s="695">
        <f>IFERROR(Q195*($B$15/(Main!$N$31+Q195)),NA())</f>
        <v>0.26927298187185406</v>
      </c>
      <c r="T195" s="664">
        <f t="shared" si="29"/>
        <v>13.399999999999977</v>
      </c>
      <c r="U195" s="696">
        <f>IFERROR(($B$15/(Main!$N$31+Q195))^2*(Main!$N$31+Q195)*1000,NA())</f>
        <v>2.3653635090640726</v>
      </c>
      <c r="V195" s="274">
        <f t="shared" si="26"/>
        <v>-3.7947997189037284</v>
      </c>
      <c r="W195" s="274">
        <f t="shared" si="27"/>
        <v>3.9353478566408953</v>
      </c>
      <c r="X195" s="271">
        <f t="shared" si="30"/>
        <v>5.9901859696971371E-3</v>
      </c>
      <c r="Y195" s="436"/>
      <c r="Z195" s="12"/>
      <c r="AA195" s="12"/>
      <c r="AB195" s="12"/>
      <c r="AM195" s="224"/>
      <c r="AN195" s="224"/>
      <c r="AO195" s="224"/>
      <c r="AP195" s="224"/>
      <c r="AQ195" s="179"/>
      <c r="AR195" s="224"/>
      <c r="AS195" s="224"/>
      <c r="AT195" s="224"/>
    </row>
    <row r="196" spans="1:46" ht="15.75" x14ac:dyDescent="0.25">
      <c r="A196" s="505">
        <v>164</v>
      </c>
      <c r="B196" s="506">
        <v>123</v>
      </c>
      <c r="C196" s="664">
        <f>IFERROR('Device Resistance Tables'!C183,NA())</f>
        <v>17616.006998163746</v>
      </c>
      <c r="D196" s="554">
        <f>IFERROR('Device Resistance Tables'!D183,NA())</f>
        <v>17884.271064125631</v>
      </c>
      <c r="E196" s="664">
        <f>IFERROR('Device Resistance Tables'!F183,NA())</f>
        <v>18152.535130087512</v>
      </c>
      <c r="F196" s="690">
        <f>IFERROR(D196*($B$15/(Main!$N$31+D196)),NA())</f>
        <v>3.2068744101283948</v>
      </c>
      <c r="G196" s="690">
        <f>IFERROR($B$16*($B$15/(Main!$N$31+D196)),NA())</f>
        <v>1.793125589871605</v>
      </c>
      <c r="H196" s="664">
        <f t="shared" si="32"/>
        <v>97.781213418929838</v>
      </c>
      <c r="I196" s="691">
        <f t="shared" si="24"/>
        <v>1.7931255898716051E-4</v>
      </c>
      <c r="J196" s="690">
        <f>IFERROR(($B$15/(Main!$N$31+D196))^2*(Main!$N$31+D196)*1000,NA())</f>
        <v>0.89656279493580271</v>
      </c>
      <c r="K196" s="274">
        <f t="shared" si="25"/>
        <v>-1.5000000000000009</v>
      </c>
      <c r="L196" s="274">
        <f t="shared" si="31"/>
        <v>1.4999999999999805</v>
      </c>
      <c r="M196" s="271">
        <f t="shared" si="28"/>
        <v>6.3100448071069515E-3</v>
      </c>
      <c r="N196" s="692"/>
      <c r="O196" s="569">
        <v>123</v>
      </c>
      <c r="P196" s="697">
        <v>534.9</v>
      </c>
      <c r="Q196" s="697">
        <v>556.20000000000005</v>
      </c>
      <c r="R196" s="697">
        <v>578.20000000000005</v>
      </c>
      <c r="S196" s="695">
        <f>IFERROR(Q196*($B$15/(Main!$N$31+Q196)),NA())</f>
        <v>0.26344707375760218</v>
      </c>
      <c r="T196" s="664">
        <f t="shared" si="29"/>
        <v>13</v>
      </c>
      <c r="U196" s="696">
        <f>IFERROR(($B$15/(Main!$N$31+Q196))^2*(Main!$N$31+Q196)*1000,NA())</f>
        <v>2.368276463121199</v>
      </c>
      <c r="V196" s="274">
        <f t="shared" si="26"/>
        <v>-3.8295577130528704</v>
      </c>
      <c r="W196" s="274">
        <f t="shared" si="27"/>
        <v>3.9554117224020136</v>
      </c>
      <c r="X196" s="271">
        <f t="shared" si="30"/>
        <v>5.8259081142518765E-3</v>
      </c>
      <c r="Y196" s="436"/>
      <c r="Z196" s="12"/>
      <c r="AA196" s="12"/>
      <c r="AB196" s="12"/>
      <c r="AM196" s="224"/>
      <c r="AN196" s="224"/>
      <c r="AO196" s="224"/>
      <c r="AP196" s="224"/>
      <c r="AQ196" s="179"/>
      <c r="AR196" s="224"/>
      <c r="AS196" s="224"/>
      <c r="AT196" s="224"/>
    </row>
    <row r="197" spans="1:46" ht="15.75" x14ac:dyDescent="0.25">
      <c r="A197" s="505">
        <v>165</v>
      </c>
      <c r="B197" s="506">
        <v>124</v>
      </c>
      <c r="C197" s="664">
        <f>IFERROR('Device Resistance Tables'!C184,NA())</f>
        <v>17712.723153785595</v>
      </c>
      <c r="D197" s="554">
        <f>IFERROR('Device Resistance Tables'!D184,NA())</f>
        <v>17982.460054604664</v>
      </c>
      <c r="E197" s="664">
        <f>IFERROR('Device Resistance Tables'!F184,NA())</f>
        <v>18252.196955423733</v>
      </c>
      <c r="F197" s="690">
        <f>IFERROR(D197*($B$15/(Main!$N$31+D197)),NA())</f>
        <v>3.2131663941472421</v>
      </c>
      <c r="G197" s="690">
        <f>IFERROR($B$16*($B$15/(Main!$N$31+D197)),NA())</f>
        <v>1.7868336058527574</v>
      </c>
      <c r="H197" s="664">
        <f t="shared" si="32"/>
        <v>98.188990479033237</v>
      </c>
      <c r="I197" s="691">
        <f t="shared" si="24"/>
        <v>1.7868336058527573E-4</v>
      </c>
      <c r="J197" s="690">
        <f>IFERROR(($B$15/(Main!$N$31+D197))^2*(Main!$N$31+D197)*1000,NA())</f>
        <v>0.89341680292637859</v>
      </c>
      <c r="K197" s="274">
        <f t="shared" si="25"/>
        <v>-1.4999999999999947</v>
      </c>
      <c r="L197" s="274">
        <f t="shared" si="31"/>
        <v>1.4999999999999947</v>
      </c>
      <c r="M197" s="271">
        <f t="shared" si="28"/>
        <v>6.2919840188473408E-3</v>
      </c>
      <c r="N197" s="692"/>
      <c r="O197" s="569">
        <v>124</v>
      </c>
      <c r="P197" s="697">
        <v>522.6</v>
      </c>
      <c r="Q197" s="697">
        <v>543.5</v>
      </c>
      <c r="R197" s="697">
        <v>565.1</v>
      </c>
      <c r="S197" s="695">
        <f>IFERROR(Q197*($B$15/(Main!$N$31+Q197)),NA())</f>
        <v>0.25774173661497607</v>
      </c>
      <c r="T197" s="664">
        <f t="shared" si="29"/>
        <v>12.700000000000045</v>
      </c>
      <c r="U197" s="696">
        <f>IFERROR(($B$15/(Main!$N$31+Q197))^2*(Main!$N$31+Q197)*1000,NA())</f>
        <v>2.3711291316925118</v>
      </c>
      <c r="V197" s="274">
        <f t="shared" si="26"/>
        <v>-3.8454461821527097</v>
      </c>
      <c r="W197" s="274">
        <f t="shared" si="27"/>
        <v>3.9742410303587898</v>
      </c>
      <c r="X197" s="271">
        <f t="shared" si="30"/>
        <v>5.7053371426261101E-3</v>
      </c>
      <c r="Y197" s="436"/>
      <c r="Z197" s="12"/>
      <c r="AA197" s="12"/>
      <c r="AB197" s="12"/>
      <c r="AM197" s="224"/>
      <c r="AN197" s="224"/>
      <c r="AO197" s="224"/>
      <c r="AP197" s="224"/>
      <c r="AQ197" s="179"/>
      <c r="AR197" s="224"/>
      <c r="AS197" s="224"/>
      <c r="AT197" s="224"/>
    </row>
    <row r="198" spans="1:46" ht="15.75" x14ac:dyDescent="0.25">
      <c r="A198" s="505">
        <v>166</v>
      </c>
      <c r="B198" s="506">
        <v>125</v>
      </c>
      <c r="C198" s="664">
        <f>IFERROR('Device Resistance Tables'!C185,NA())</f>
        <v>17809.842316354505</v>
      </c>
      <c r="D198" s="554">
        <f>IFERROR('Device Resistance Tables'!D185,NA())</f>
        <v>18081.05818919239</v>
      </c>
      <c r="E198" s="664">
        <f>IFERROR('Device Resistance Tables'!F185,NA())</f>
        <v>18352.274062030276</v>
      </c>
      <c r="F198" s="690">
        <f>IFERROR(D198*($B$15/(Main!$N$31+D198)),NA())</f>
        <v>3.2194403194092023</v>
      </c>
      <c r="G198" s="690">
        <f>IFERROR($B$16*($B$15/(Main!$N$31+D198)),NA())</f>
        <v>1.7805596805907975</v>
      </c>
      <c r="H198" s="664">
        <f t="shared" si="32"/>
        <v>98.598134587726236</v>
      </c>
      <c r="I198" s="691">
        <f t="shared" si="24"/>
        <v>1.7805596805907975E-4</v>
      </c>
      <c r="J198" s="690">
        <f>IFERROR(($B$15/(Main!$N$31+D198))^2*(Main!$N$31+D198)*1000,NA())</f>
        <v>0.89027984029539886</v>
      </c>
      <c r="K198" s="274">
        <f t="shared" si="25"/>
        <v>-1.4999999999999976</v>
      </c>
      <c r="L198" s="274">
        <f t="shared" si="31"/>
        <v>1.4999999999999976</v>
      </c>
      <c r="M198" s="271">
        <f t="shared" si="28"/>
        <v>6.2739252619601338E-3</v>
      </c>
      <c r="N198" s="692"/>
      <c r="O198" s="569">
        <v>125</v>
      </c>
      <c r="P198" s="697">
        <v>510.6</v>
      </c>
      <c r="Q198" s="697">
        <v>531.1</v>
      </c>
      <c r="R198" s="697">
        <v>552.4</v>
      </c>
      <c r="S198" s="695">
        <f>IFERROR(Q198*($B$15/(Main!$N$31+Q198)),NA())</f>
        <v>0.25215789423706925</v>
      </c>
      <c r="T198" s="664">
        <f t="shared" si="29"/>
        <v>12.399999999999977</v>
      </c>
      <c r="U198" s="696">
        <f>IFERROR(($B$15/(Main!$N$31+Q198))^2*(Main!$N$31+Q198)*1000,NA())</f>
        <v>2.3739210528814656</v>
      </c>
      <c r="V198" s="274">
        <f t="shared" si="26"/>
        <v>-3.8599133873093576</v>
      </c>
      <c r="W198" s="274">
        <f t="shared" si="27"/>
        <v>4.010544153643373</v>
      </c>
      <c r="X198" s="271">
        <f t="shared" si="30"/>
        <v>5.5838423779068225E-3</v>
      </c>
      <c r="Y198" s="436"/>
      <c r="Z198" s="12"/>
      <c r="AA198" s="12"/>
      <c r="AB198" s="12"/>
      <c r="AM198" s="224"/>
      <c r="AN198" s="224"/>
      <c r="AO198" s="224"/>
      <c r="AP198" s="224"/>
      <c r="AQ198" s="179"/>
      <c r="AR198" s="224"/>
      <c r="AS198" s="224"/>
      <c r="AT198" s="224"/>
    </row>
    <row r="199" spans="1:46" ht="15.75" x14ac:dyDescent="0.25">
      <c r="A199" s="505">
        <v>167</v>
      </c>
      <c r="B199" s="506">
        <v>126</v>
      </c>
      <c r="C199" s="664" t="e">
        <f>IFERROR('Device Resistance Tables'!C186,NA())</f>
        <v>#N/A</v>
      </c>
      <c r="D199" s="554" t="e">
        <f>IFERROR('Device Resistance Tables'!D186,NA())</f>
        <v>#N/A</v>
      </c>
      <c r="E199" s="664" t="e">
        <f>IFERROR('Device Resistance Tables'!F186,NA())</f>
        <v>#N/A</v>
      </c>
      <c r="F199" s="690" t="e">
        <f>IFERROR(D199*($B$15/(Main!$N$31+D199)),NA())</f>
        <v>#N/A</v>
      </c>
      <c r="G199" s="690" t="e">
        <f>IFERROR($B$16*($B$15/(Main!$N$31+D199)),NA())</f>
        <v>#N/A</v>
      </c>
      <c r="H199" s="664" t="e">
        <f t="shared" si="32"/>
        <v>#N/A</v>
      </c>
      <c r="I199" s="691" t="e">
        <f>IFERROR($F199/$D199,NA())</f>
        <v>#N/A</v>
      </c>
      <c r="J199" s="690" t="e">
        <f>IFERROR(($B$15/(Main!$N$31+D199))^2*(Main!$N$31+D199)*1000,NA())</f>
        <v>#N/A</v>
      </c>
      <c r="K199" s="274" t="e">
        <f t="shared" si="25"/>
        <v>#N/A</v>
      </c>
      <c r="L199" s="274" t="e">
        <f t="shared" si="31"/>
        <v>#N/A</v>
      </c>
      <c r="M199" s="271" t="e">
        <f t="shared" si="28"/>
        <v>#N/A</v>
      </c>
      <c r="N199" s="692"/>
      <c r="O199" s="569">
        <v>126</v>
      </c>
      <c r="P199" s="697" t="e">
        <v>#N/A</v>
      </c>
      <c r="Q199" s="697" t="e">
        <v>#N/A</v>
      </c>
      <c r="R199" s="697" t="e">
        <v>#N/A</v>
      </c>
      <c r="S199" s="695" t="e">
        <f>IFERROR(Q199*($B$15/(Main!$N$31+Q199)),NA())</f>
        <v>#N/A</v>
      </c>
      <c r="T199" s="664" t="e">
        <f t="shared" si="29"/>
        <v>#N/A</v>
      </c>
      <c r="U199" s="696" t="e">
        <f>IFERROR(($B$15/(Main!$N$31+Q199))^2*(Main!$N$31+Q199)*1000,NA())</f>
        <v>#N/A</v>
      </c>
      <c r="V199" s="274" t="e">
        <f t="shared" si="26"/>
        <v>#N/A</v>
      </c>
      <c r="W199" s="274" t="e">
        <f t="shared" si="27"/>
        <v>#N/A</v>
      </c>
      <c r="X199" s="271" t="e">
        <f t="shared" si="30"/>
        <v>#N/A</v>
      </c>
      <c r="Y199" s="436"/>
      <c r="Z199" s="12"/>
      <c r="AA199" s="12"/>
      <c r="AB199" s="12"/>
      <c r="AM199" s="224"/>
      <c r="AN199" s="224"/>
      <c r="AO199" s="224"/>
      <c r="AP199" s="224"/>
      <c r="AQ199" s="179"/>
      <c r="AR199" s="224"/>
      <c r="AS199" s="224"/>
      <c r="AT199" s="224"/>
    </row>
    <row r="200" spans="1:46" ht="15.75" x14ac:dyDescent="0.25">
      <c r="A200" s="505">
        <v>168</v>
      </c>
      <c r="B200" s="506">
        <v>127</v>
      </c>
      <c r="C200" s="664" t="e">
        <f>IFERROR('Device Resistance Tables'!C187,NA())</f>
        <v>#N/A</v>
      </c>
      <c r="D200" s="554" t="e">
        <f>IFERROR('Device Resistance Tables'!D187,NA())</f>
        <v>#N/A</v>
      </c>
      <c r="E200" s="664" t="e">
        <f>IFERROR('Device Resistance Tables'!F187,NA())</f>
        <v>#N/A</v>
      </c>
      <c r="F200" s="690" t="e">
        <f>IFERROR(D200*($B$15/(Main!$N$31+D200)),NA())</f>
        <v>#N/A</v>
      </c>
      <c r="G200" s="690" t="e">
        <f>IFERROR($B$16*($B$15/(Main!$N$31+D200)),NA())</f>
        <v>#N/A</v>
      </c>
      <c r="H200" s="664" t="e">
        <f t="shared" si="32"/>
        <v>#N/A</v>
      </c>
      <c r="I200" s="691" t="e">
        <f t="shared" ref="I200:I243" si="33">IFERROR($F200/$D200,NA())</f>
        <v>#N/A</v>
      </c>
      <c r="J200" s="690" t="e">
        <f>IFERROR(($B$15/(Main!$N$31+D200))^2*(Main!$N$31+D200)*1000,NA())</f>
        <v>#N/A</v>
      </c>
      <c r="K200" s="274" t="e">
        <f t="shared" si="25"/>
        <v>#N/A</v>
      </c>
      <c r="L200" s="274" t="e">
        <f t="shared" si="31"/>
        <v>#N/A</v>
      </c>
      <c r="M200" s="271" t="e">
        <f t="shared" si="28"/>
        <v>#N/A</v>
      </c>
      <c r="N200" s="692"/>
      <c r="O200" s="569">
        <v>127</v>
      </c>
      <c r="P200" s="697" t="e">
        <v>#N/A</v>
      </c>
      <c r="Q200" s="697" t="e">
        <v>#N/A</v>
      </c>
      <c r="R200" s="697" t="e">
        <v>#N/A</v>
      </c>
      <c r="S200" s="695" t="e">
        <f>IFERROR(Q200*($B$15/(Main!$N$31+Q200)),NA())</f>
        <v>#N/A</v>
      </c>
      <c r="T200" s="664" t="e">
        <f t="shared" si="29"/>
        <v>#N/A</v>
      </c>
      <c r="U200" s="696" t="e">
        <f>IFERROR(($B$15/(Main!$N$31+Q200))^2*(Main!$N$31+Q200)*1000,NA())</f>
        <v>#N/A</v>
      </c>
      <c r="V200" s="274" t="e">
        <f t="shared" si="26"/>
        <v>#N/A</v>
      </c>
      <c r="W200" s="274" t="e">
        <f t="shared" si="27"/>
        <v>#N/A</v>
      </c>
      <c r="X200" s="271" t="e">
        <f t="shared" si="30"/>
        <v>#N/A</v>
      </c>
      <c r="Y200" s="436"/>
      <c r="Z200" s="12"/>
      <c r="AA200" s="12"/>
      <c r="AB200" s="12"/>
      <c r="AM200" s="224"/>
      <c r="AN200" s="224"/>
      <c r="AO200" s="224"/>
      <c r="AP200" s="224"/>
      <c r="AQ200" s="179"/>
      <c r="AR200" s="224"/>
      <c r="AS200" s="224"/>
      <c r="AT200" s="224"/>
    </row>
    <row r="201" spans="1:46" ht="15.75" x14ac:dyDescent="0.25">
      <c r="A201" s="505">
        <v>169</v>
      </c>
      <c r="B201" s="506">
        <v>128</v>
      </c>
      <c r="C201" s="664" t="e">
        <f>IFERROR('Device Resistance Tables'!C188,NA())</f>
        <v>#N/A</v>
      </c>
      <c r="D201" s="554" t="e">
        <f>IFERROR('Device Resistance Tables'!D188,NA())</f>
        <v>#N/A</v>
      </c>
      <c r="E201" s="664" t="e">
        <f>IFERROR('Device Resistance Tables'!F188,NA())</f>
        <v>#N/A</v>
      </c>
      <c r="F201" s="690" t="e">
        <f>IFERROR(D201*($B$15/(Main!$N$31+D201)),NA())</f>
        <v>#N/A</v>
      </c>
      <c r="G201" s="690" t="e">
        <f>IFERROR($B$16*($B$15/(Main!$N$31+D201)),NA())</f>
        <v>#N/A</v>
      </c>
      <c r="H201" s="664" t="e">
        <f t="shared" si="32"/>
        <v>#N/A</v>
      </c>
      <c r="I201" s="691" t="e">
        <f t="shared" si="33"/>
        <v>#N/A</v>
      </c>
      <c r="J201" s="690" t="e">
        <f>IFERROR(($B$15/(Main!$N$31+D201))^2*(Main!$N$31+D201)*1000,NA())</f>
        <v>#N/A</v>
      </c>
      <c r="K201" s="274" t="e">
        <f t="shared" si="25"/>
        <v>#N/A</v>
      </c>
      <c r="L201" s="274" t="e">
        <f t="shared" si="31"/>
        <v>#N/A</v>
      </c>
      <c r="M201" s="271" t="e">
        <f t="shared" si="28"/>
        <v>#N/A</v>
      </c>
      <c r="N201" s="692"/>
      <c r="O201" s="569">
        <v>128</v>
      </c>
      <c r="P201" s="697" t="e">
        <v>#N/A</v>
      </c>
      <c r="Q201" s="697" t="e">
        <v>#N/A</v>
      </c>
      <c r="R201" s="697" t="e">
        <v>#N/A</v>
      </c>
      <c r="S201" s="695" t="e">
        <f>IFERROR(Q201*($B$15/(Main!$N$31+Q201)),NA())</f>
        <v>#N/A</v>
      </c>
      <c r="T201" s="664" t="e">
        <f t="shared" si="29"/>
        <v>#N/A</v>
      </c>
      <c r="U201" s="696" t="e">
        <f>IFERROR(($B$15/(Main!$N$31+Q201))^2*(Main!$N$31+Q201)*1000,NA())</f>
        <v>#N/A</v>
      </c>
      <c r="V201" s="274" t="e">
        <f t="shared" si="26"/>
        <v>#N/A</v>
      </c>
      <c r="W201" s="274" t="e">
        <f t="shared" si="27"/>
        <v>#N/A</v>
      </c>
      <c r="X201" s="271" t="e">
        <f t="shared" si="30"/>
        <v>#N/A</v>
      </c>
      <c r="Y201" s="436"/>
      <c r="Z201" s="12"/>
      <c r="AA201" s="12"/>
      <c r="AB201" s="12"/>
      <c r="AM201" s="224"/>
      <c r="AN201" s="224"/>
      <c r="AO201" s="224"/>
      <c r="AP201" s="224"/>
      <c r="AQ201" s="179"/>
      <c r="AR201" s="224"/>
      <c r="AS201" s="224"/>
      <c r="AT201" s="224"/>
    </row>
    <row r="202" spans="1:46" ht="15.75" x14ac:dyDescent="0.25">
      <c r="A202" s="505">
        <v>170</v>
      </c>
      <c r="B202" s="506">
        <v>129</v>
      </c>
      <c r="C202" s="664" t="e">
        <f>IFERROR('Device Resistance Tables'!C189,NA())</f>
        <v>#N/A</v>
      </c>
      <c r="D202" s="554" t="e">
        <f>IFERROR('Device Resistance Tables'!D189,NA())</f>
        <v>#N/A</v>
      </c>
      <c r="E202" s="664" t="e">
        <f>IFERROR('Device Resistance Tables'!F189,NA())</f>
        <v>#N/A</v>
      </c>
      <c r="F202" s="690" t="e">
        <f>IFERROR(D202*($B$15/(Main!$N$31+D202)),NA())</f>
        <v>#N/A</v>
      </c>
      <c r="G202" s="690" t="e">
        <f>IFERROR($B$16*($B$15/(Main!$N$31+D202)),NA())</f>
        <v>#N/A</v>
      </c>
      <c r="H202" s="664" t="e">
        <f t="shared" si="32"/>
        <v>#N/A</v>
      </c>
      <c r="I202" s="691" t="e">
        <f t="shared" si="33"/>
        <v>#N/A</v>
      </c>
      <c r="J202" s="690" t="e">
        <f>IFERROR(($B$15/(Main!$N$31+D202))^2*(Main!$N$31+D202)*1000,NA())</f>
        <v>#N/A</v>
      </c>
      <c r="K202" s="274" t="e">
        <f t="shared" si="25"/>
        <v>#N/A</v>
      </c>
      <c r="L202" s="274" t="e">
        <f t="shared" si="31"/>
        <v>#N/A</v>
      </c>
      <c r="M202" s="271" t="e">
        <f t="shared" si="28"/>
        <v>#N/A</v>
      </c>
      <c r="N202" s="692"/>
      <c r="O202" s="569">
        <v>129</v>
      </c>
      <c r="P202" s="697" t="e">
        <v>#N/A</v>
      </c>
      <c r="Q202" s="697" t="e">
        <v>#N/A</v>
      </c>
      <c r="R202" s="697" t="e">
        <v>#N/A</v>
      </c>
      <c r="S202" s="695" t="e">
        <f>IFERROR(Q202*($B$15/(Main!$N$31+Q202)),NA())</f>
        <v>#N/A</v>
      </c>
      <c r="T202" s="664" t="e">
        <f t="shared" si="29"/>
        <v>#N/A</v>
      </c>
      <c r="U202" s="696" t="e">
        <f>IFERROR(($B$15/(Main!$N$31+Q202))^2*(Main!$N$31+Q202)*1000,NA())</f>
        <v>#N/A</v>
      </c>
      <c r="V202" s="274" t="e">
        <f t="shared" si="26"/>
        <v>#N/A</v>
      </c>
      <c r="W202" s="274" t="e">
        <f t="shared" si="27"/>
        <v>#N/A</v>
      </c>
      <c r="X202" s="271" t="e">
        <f t="shared" si="30"/>
        <v>#N/A</v>
      </c>
      <c r="Y202" s="436"/>
      <c r="Z202" s="12"/>
      <c r="AA202" s="12"/>
      <c r="AB202" s="12"/>
      <c r="AM202" s="224"/>
      <c r="AN202" s="224"/>
      <c r="AO202" s="224"/>
      <c r="AP202" s="224"/>
      <c r="AQ202" s="179"/>
      <c r="AR202" s="224"/>
      <c r="AS202" s="224"/>
      <c r="AT202" s="224"/>
    </row>
    <row r="203" spans="1:46" ht="15.75" x14ac:dyDescent="0.25">
      <c r="A203" s="505">
        <v>171</v>
      </c>
      <c r="B203" s="506">
        <v>130</v>
      </c>
      <c r="C203" s="664" t="e">
        <f>IFERROR('Device Resistance Tables'!C190,NA())</f>
        <v>#N/A</v>
      </c>
      <c r="D203" s="554" t="e">
        <f>IFERROR('Device Resistance Tables'!D190,NA())</f>
        <v>#N/A</v>
      </c>
      <c r="E203" s="664" t="e">
        <f>IFERROR('Device Resistance Tables'!F190,NA())</f>
        <v>#N/A</v>
      </c>
      <c r="F203" s="690" t="e">
        <f>IFERROR(D203*($B$15/(Main!$N$31+D203)),NA())</f>
        <v>#N/A</v>
      </c>
      <c r="G203" s="690" t="e">
        <f>IFERROR($B$16*($B$15/(Main!$N$31+D203)),NA())</f>
        <v>#N/A</v>
      </c>
      <c r="H203" s="664" t="e">
        <f t="shared" si="32"/>
        <v>#N/A</v>
      </c>
      <c r="I203" s="691" t="e">
        <f t="shared" si="33"/>
        <v>#N/A</v>
      </c>
      <c r="J203" s="690" t="e">
        <f>IFERROR(($B$15/(Main!$N$31+D203))^2*(Main!$N$31+D203)*1000,NA())</f>
        <v>#N/A</v>
      </c>
      <c r="K203" s="274" t="e">
        <f t="shared" si="25"/>
        <v>#N/A</v>
      </c>
      <c r="L203" s="274" t="e">
        <f t="shared" si="31"/>
        <v>#N/A</v>
      </c>
      <c r="M203" s="271" t="e">
        <f t="shared" si="28"/>
        <v>#N/A</v>
      </c>
      <c r="N203" s="692"/>
      <c r="O203" s="569">
        <v>130</v>
      </c>
      <c r="P203" s="697" t="e">
        <v>#N/A</v>
      </c>
      <c r="Q203" s="697" t="e">
        <v>#N/A</v>
      </c>
      <c r="R203" s="697" t="e">
        <v>#N/A</v>
      </c>
      <c r="S203" s="695" t="e">
        <f>IFERROR(Q203*($B$15/(Main!$N$31+Q203)),NA())</f>
        <v>#N/A</v>
      </c>
      <c r="T203" s="664" t="e">
        <f t="shared" si="29"/>
        <v>#N/A</v>
      </c>
      <c r="U203" s="696" t="e">
        <f>IFERROR(($B$15/(Main!$N$31+Q203))^2*(Main!$N$31+Q203)*1000,NA())</f>
        <v>#N/A</v>
      </c>
      <c r="V203" s="274" t="e">
        <f t="shared" si="26"/>
        <v>#N/A</v>
      </c>
      <c r="W203" s="274" t="e">
        <f t="shared" si="27"/>
        <v>#N/A</v>
      </c>
      <c r="X203" s="271" t="e">
        <f t="shared" si="30"/>
        <v>#N/A</v>
      </c>
      <c r="Y203" s="436"/>
      <c r="Z203" s="12"/>
      <c r="AA203" s="12"/>
      <c r="AB203" s="12"/>
      <c r="AM203" s="224"/>
      <c r="AN203" s="224"/>
      <c r="AO203" s="224"/>
      <c r="AP203" s="224"/>
      <c r="AQ203" s="179"/>
      <c r="AR203" s="224"/>
      <c r="AS203" s="224"/>
      <c r="AT203" s="224"/>
    </row>
    <row r="204" spans="1:46" ht="15.75" x14ac:dyDescent="0.25">
      <c r="A204" s="505">
        <v>172</v>
      </c>
      <c r="B204" s="506">
        <v>131</v>
      </c>
      <c r="C204" s="664" t="e">
        <f>IFERROR('Device Resistance Tables'!C191,NA())</f>
        <v>#N/A</v>
      </c>
      <c r="D204" s="554" t="e">
        <f>IFERROR('Device Resistance Tables'!D191,NA())</f>
        <v>#N/A</v>
      </c>
      <c r="E204" s="664" t="e">
        <f>IFERROR('Device Resistance Tables'!F191,NA())</f>
        <v>#N/A</v>
      </c>
      <c r="F204" s="690" t="e">
        <f>IFERROR(D204*($B$15/(Main!$N$31+D204)),NA())</f>
        <v>#N/A</v>
      </c>
      <c r="G204" s="690" t="e">
        <f>IFERROR($B$16*($B$15/(Main!$N$31+D204)),NA())</f>
        <v>#N/A</v>
      </c>
      <c r="H204" s="664" t="e">
        <f t="shared" si="32"/>
        <v>#N/A</v>
      </c>
      <c r="I204" s="691" t="e">
        <f t="shared" si="33"/>
        <v>#N/A</v>
      </c>
      <c r="J204" s="690" t="e">
        <f>IFERROR(($B$15/(Main!$N$31+D204))^2*(Main!$N$31+D204)*1000,NA())</f>
        <v>#N/A</v>
      </c>
      <c r="K204" s="274" t="e">
        <f t="shared" si="25"/>
        <v>#N/A</v>
      </c>
      <c r="L204" s="274" t="e">
        <f t="shared" si="31"/>
        <v>#N/A</v>
      </c>
      <c r="M204" s="271" t="e">
        <f t="shared" si="28"/>
        <v>#N/A</v>
      </c>
      <c r="N204" s="692"/>
      <c r="O204" s="569">
        <v>131</v>
      </c>
      <c r="P204" s="697" t="e">
        <v>#N/A</v>
      </c>
      <c r="Q204" s="697" t="e">
        <v>#N/A</v>
      </c>
      <c r="R204" s="697" t="e">
        <v>#N/A</v>
      </c>
      <c r="S204" s="695" t="e">
        <f>IFERROR(Q204*($B$15/(Main!$N$31+Q204)),NA())</f>
        <v>#N/A</v>
      </c>
      <c r="T204" s="664" t="e">
        <f t="shared" si="29"/>
        <v>#N/A</v>
      </c>
      <c r="U204" s="696" t="e">
        <f>IFERROR(($B$15/(Main!$N$31+Q204))^2*(Main!$N$31+Q204)*1000,NA())</f>
        <v>#N/A</v>
      </c>
      <c r="V204" s="274" t="e">
        <f t="shared" si="26"/>
        <v>#N/A</v>
      </c>
      <c r="W204" s="274" t="e">
        <f t="shared" si="27"/>
        <v>#N/A</v>
      </c>
      <c r="X204" s="271" t="e">
        <f t="shared" si="30"/>
        <v>#N/A</v>
      </c>
      <c r="Y204" s="436"/>
      <c r="Z204" s="12"/>
      <c r="AA204" s="12"/>
      <c r="AB204" s="12"/>
      <c r="AM204" s="224"/>
      <c r="AN204" s="224"/>
      <c r="AO204" s="224"/>
      <c r="AP204" s="224"/>
      <c r="AQ204" s="179"/>
      <c r="AR204" s="224"/>
      <c r="AS204" s="224"/>
      <c r="AT204" s="224"/>
    </row>
    <row r="205" spans="1:46" ht="15.75" x14ac:dyDescent="0.25">
      <c r="A205" s="505">
        <v>173</v>
      </c>
      <c r="B205" s="506">
        <v>132</v>
      </c>
      <c r="C205" s="664" t="e">
        <f>IFERROR('Device Resistance Tables'!C192,NA())</f>
        <v>#N/A</v>
      </c>
      <c r="D205" s="554" t="e">
        <f>IFERROR('Device Resistance Tables'!D192,NA())</f>
        <v>#N/A</v>
      </c>
      <c r="E205" s="664" t="e">
        <f>IFERROR('Device Resistance Tables'!F192,NA())</f>
        <v>#N/A</v>
      </c>
      <c r="F205" s="690" t="e">
        <f>IFERROR(D205*($B$15/(Main!$N$31+D205)),NA())</f>
        <v>#N/A</v>
      </c>
      <c r="G205" s="690" t="e">
        <f>IFERROR($B$16*($B$15/(Main!$N$31+D205)),NA())</f>
        <v>#N/A</v>
      </c>
      <c r="H205" s="664" t="e">
        <f t="shared" si="32"/>
        <v>#N/A</v>
      </c>
      <c r="I205" s="691" t="e">
        <f t="shared" si="33"/>
        <v>#N/A</v>
      </c>
      <c r="J205" s="690" t="e">
        <f>IFERROR(($B$15/(Main!$N$31+D205))^2*(Main!$N$31+D205)*1000,NA())</f>
        <v>#N/A</v>
      </c>
      <c r="K205" s="274" t="e">
        <f t="shared" si="25"/>
        <v>#N/A</v>
      </c>
      <c r="L205" s="274" t="e">
        <f t="shared" si="31"/>
        <v>#N/A</v>
      </c>
      <c r="M205" s="271" t="e">
        <f t="shared" si="28"/>
        <v>#N/A</v>
      </c>
      <c r="N205" s="692"/>
      <c r="O205" s="569">
        <v>132</v>
      </c>
      <c r="P205" s="697" t="e">
        <v>#N/A</v>
      </c>
      <c r="Q205" s="697" t="e">
        <v>#N/A</v>
      </c>
      <c r="R205" s="697" t="e">
        <v>#N/A</v>
      </c>
      <c r="S205" s="695" t="e">
        <f>IFERROR(Q205*($B$15/(Main!$N$31+Q205)),NA())</f>
        <v>#N/A</v>
      </c>
      <c r="T205" s="664" t="e">
        <f t="shared" si="29"/>
        <v>#N/A</v>
      </c>
      <c r="U205" s="696" t="e">
        <f>IFERROR(($B$15/(Main!$N$31+Q205))^2*(Main!$N$31+Q205)*1000,NA())</f>
        <v>#N/A</v>
      </c>
      <c r="V205" s="274" t="e">
        <f t="shared" si="26"/>
        <v>#N/A</v>
      </c>
      <c r="W205" s="274" t="e">
        <f t="shared" si="27"/>
        <v>#N/A</v>
      </c>
      <c r="X205" s="271" t="e">
        <f t="shared" si="30"/>
        <v>#N/A</v>
      </c>
      <c r="Y205" s="436"/>
      <c r="Z205" s="12"/>
      <c r="AA205" s="12"/>
      <c r="AB205" s="12"/>
      <c r="AM205" s="224"/>
      <c r="AN205" s="224"/>
      <c r="AO205" s="224"/>
      <c r="AP205" s="224"/>
      <c r="AQ205" s="179"/>
      <c r="AR205" s="224"/>
      <c r="AS205" s="224"/>
      <c r="AT205" s="224"/>
    </row>
    <row r="206" spans="1:46" ht="15.75" x14ac:dyDescent="0.25">
      <c r="A206" s="505">
        <v>174</v>
      </c>
      <c r="B206" s="506">
        <v>133</v>
      </c>
      <c r="C206" s="664" t="e">
        <f>IFERROR('Device Resistance Tables'!C193,NA())</f>
        <v>#N/A</v>
      </c>
      <c r="D206" s="554" t="e">
        <f>IFERROR('Device Resistance Tables'!D193,NA())</f>
        <v>#N/A</v>
      </c>
      <c r="E206" s="664" t="e">
        <f>IFERROR('Device Resistance Tables'!F193,NA())</f>
        <v>#N/A</v>
      </c>
      <c r="F206" s="690" t="e">
        <f>IFERROR(D206*($B$15/(Main!$N$31+D206)),NA())</f>
        <v>#N/A</v>
      </c>
      <c r="G206" s="690" t="e">
        <f>IFERROR($B$16*($B$15/(Main!$N$31+D206)),NA())</f>
        <v>#N/A</v>
      </c>
      <c r="H206" s="664" t="e">
        <f t="shared" si="32"/>
        <v>#N/A</v>
      </c>
      <c r="I206" s="691" t="e">
        <f t="shared" si="33"/>
        <v>#N/A</v>
      </c>
      <c r="J206" s="690" t="e">
        <f>IFERROR(($B$15/(Main!$N$31+D206))^2*(Main!$N$31+D206)*1000,NA())</f>
        <v>#N/A</v>
      </c>
      <c r="K206" s="274" t="e">
        <f t="shared" si="25"/>
        <v>#N/A</v>
      </c>
      <c r="L206" s="274" t="e">
        <f t="shared" si="31"/>
        <v>#N/A</v>
      </c>
      <c r="M206" s="271" t="e">
        <f t="shared" si="28"/>
        <v>#N/A</v>
      </c>
      <c r="N206" s="692"/>
      <c r="O206" s="569">
        <v>133</v>
      </c>
      <c r="P206" s="697" t="e">
        <v>#N/A</v>
      </c>
      <c r="Q206" s="697" t="e">
        <v>#N/A</v>
      </c>
      <c r="R206" s="697" t="e">
        <v>#N/A</v>
      </c>
      <c r="S206" s="695" t="e">
        <f>IFERROR(Q206*($B$15/(Main!$N$31+Q206)),NA())</f>
        <v>#N/A</v>
      </c>
      <c r="T206" s="664" t="e">
        <f t="shared" si="29"/>
        <v>#N/A</v>
      </c>
      <c r="U206" s="696" t="e">
        <f>IFERROR(($B$15/(Main!$N$31+Q206))^2*(Main!$N$31+Q206)*1000,NA())</f>
        <v>#N/A</v>
      </c>
      <c r="V206" s="274" t="e">
        <f t="shared" si="26"/>
        <v>#N/A</v>
      </c>
      <c r="W206" s="274" t="e">
        <f t="shared" si="27"/>
        <v>#N/A</v>
      </c>
      <c r="X206" s="271" t="e">
        <f t="shared" si="30"/>
        <v>#N/A</v>
      </c>
      <c r="Y206" s="436"/>
      <c r="Z206" s="12"/>
      <c r="AA206" s="12"/>
      <c r="AB206" s="12"/>
      <c r="AM206" s="224"/>
      <c r="AN206" s="224"/>
      <c r="AO206" s="224"/>
      <c r="AP206" s="224"/>
      <c r="AQ206" s="179"/>
      <c r="AR206" s="224"/>
      <c r="AS206" s="224"/>
      <c r="AT206" s="224"/>
    </row>
    <row r="207" spans="1:46" ht="15.75" x14ac:dyDescent="0.25">
      <c r="A207" s="505">
        <v>175</v>
      </c>
      <c r="B207" s="506">
        <v>134</v>
      </c>
      <c r="C207" s="664" t="e">
        <f>IFERROR('Device Resistance Tables'!C194,NA())</f>
        <v>#N/A</v>
      </c>
      <c r="D207" s="554" t="e">
        <f>IFERROR('Device Resistance Tables'!D194,NA())</f>
        <v>#N/A</v>
      </c>
      <c r="E207" s="664" t="e">
        <f>IFERROR('Device Resistance Tables'!F194,NA())</f>
        <v>#N/A</v>
      </c>
      <c r="F207" s="690" t="e">
        <f>IFERROR(D207*($B$15/(Main!$N$31+D207)),NA())</f>
        <v>#N/A</v>
      </c>
      <c r="G207" s="690" t="e">
        <f>IFERROR($B$16*($B$15/(Main!$N$31+D207)),NA())</f>
        <v>#N/A</v>
      </c>
      <c r="H207" s="664" t="e">
        <f t="shared" si="32"/>
        <v>#N/A</v>
      </c>
      <c r="I207" s="691" t="e">
        <f t="shared" si="33"/>
        <v>#N/A</v>
      </c>
      <c r="J207" s="690" t="e">
        <f>IFERROR(($B$15/(Main!$N$31+D207))^2*(Main!$N$31+D207)*1000,NA())</f>
        <v>#N/A</v>
      </c>
      <c r="K207" s="274" t="e">
        <f t="shared" si="25"/>
        <v>#N/A</v>
      </c>
      <c r="L207" s="274" t="e">
        <f t="shared" si="31"/>
        <v>#N/A</v>
      </c>
      <c r="M207" s="271" t="e">
        <f t="shared" si="28"/>
        <v>#N/A</v>
      </c>
      <c r="N207" s="692"/>
      <c r="O207" s="569">
        <v>134</v>
      </c>
      <c r="P207" s="697" t="e">
        <v>#N/A</v>
      </c>
      <c r="Q207" s="697" t="e">
        <v>#N/A</v>
      </c>
      <c r="R207" s="697" t="e">
        <v>#N/A</v>
      </c>
      <c r="S207" s="695" t="e">
        <f>IFERROR(Q207*($B$15/(Main!$N$31+Q207)),NA())</f>
        <v>#N/A</v>
      </c>
      <c r="T207" s="664" t="e">
        <f t="shared" si="29"/>
        <v>#N/A</v>
      </c>
      <c r="U207" s="696" t="e">
        <f>IFERROR(($B$15/(Main!$N$31+Q207))^2*(Main!$N$31+Q207)*1000,NA())</f>
        <v>#N/A</v>
      </c>
      <c r="V207" s="274" t="e">
        <f t="shared" si="26"/>
        <v>#N/A</v>
      </c>
      <c r="W207" s="274" t="e">
        <f t="shared" si="27"/>
        <v>#N/A</v>
      </c>
      <c r="X207" s="271" t="e">
        <f t="shared" si="30"/>
        <v>#N/A</v>
      </c>
      <c r="Y207" s="436"/>
      <c r="Z207" s="12"/>
      <c r="AA207" s="12"/>
      <c r="AB207" s="12"/>
      <c r="AM207" s="224"/>
      <c r="AN207" s="224"/>
      <c r="AO207" s="224"/>
      <c r="AP207" s="224"/>
      <c r="AQ207" s="179"/>
      <c r="AR207" s="224"/>
      <c r="AS207" s="224"/>
      <c r="AT207" s="224"/>
    </row>
    <row r="208" spans="1:46" ht="15.75" x14ac:dyDescent="0.25">
      <c r="A208" s="505">
        <v>176</v>
      </c>
      <c r="B208" s="506">
        <v>135</v>
      </c>
      <c r="C208" s="664" t="e">
        <f>IFERROR('Device Resistance Tables'!C195,NA())</f>
        <v>#N/A</v>
      </c>
      <c r="D208" s="554" t="e">
        <f>IFERROR('Device Resistance Tables'!D195,NA())</f>
        <v>#N/A</v>
      </c>
      <c r="E208" s="664" t="e">
        <f>IFERROR('Device Resistance Tables'!F195,NA())</f>
        <v>#N/A</v>
      </c>
      <c r="F208" s="690" t="e">
        <f>IFERROR(D208*($B$15/(Main!$N$31+D208)),NA())</f>
        <v>#N/A</v>
      </c>
      <c r="G208" s="690" t="e">
        <f>IFERROR($B$16*($B$15/(Main!$N$31+D208)),NA())</f>
        <v>#N/A</v>
      </c>
      <c r="H208" s="664" t="e">
        <f t="shared" si="32"/>
        <v>#N/A</v>
      </c>
      <c r="I208" s="691" t="e">
        <f t="shared" si="33"/>
        <v>#N/A</v>
      </c>
      <c r="J208" s="690" t="e">
        <f>IFERROR(($B$15/(Main!$N$31+D208))^2*(Main!$N$31+D208)*1000,NA())</f>
        <v>#N/A</v>
      </c>
      <c r="K208" s="274" t="e">
        <f t="shared" si="25"/>
        <v>#N/A</v>
      </c>
      <c r="L208" s="274" t="e">
        <f t="shared" si="31"/>
        <v>#N/A</v>
      </c>
      <c r="M208" s="271" t="e">
        <f t="shared" si="28"/>
        <v>#N/A</v>
      </c>
      <c r="N208" s="692"/>
      <c r="O208" s="569">
        <v>135</v>
      </c>
      <c r="P208" s="697" t="e">
        <v>#N/A</v>
      </c>
      <c r="Q208" s="697" t="e">
        <v>#N/A</v>
      </c>
      <c r="R208" s="697" t="e">
        <v>#N/A</v>
      </c>
      <c r="S208" s="695" t="e">
        <f>IFERROR(Q208*($B$15/(Main!$N$31+Q208)),NA())</f>
        <v>#N/A</v>
      </c>
      <c r="T208" s="664" t="e">
        <f t="shared" si="29"/>
        <v>#N/A</v>
      </c>
      <c r="U208" s="696" t="e">
        <f>IFERROR(($B$15/(Main!$N$31+Q208))^2*(Main!$N$31+Q208)*1000,NA())</f>
        <v>#N/A</v>
      </c>
      <c r="V208" s="274" t="e">
        <f t="shared" si="26"/>
        <v>#N/A</v>
      </c>
      <c r="W208" s="274" t="e">
        <f t="shared" si="27"/>
        <v>#N/A</v>
      </c>
      <c r="X208" s="271" t="e">
        <f t="shared" si="30"/>
        <v>#N/A</v>
      </c>
      <c r="Y208" s="436"/>
      <c r="Z208" s="12"/>
      <c r="AA208" s="12"/>
      <c r="AB208" s="12"/>
      <c r="AM208" s="224"/>
      <c r="AN208" s="224"/>
      <c r="AO208" s="224"/>
      <c r="AP208" s="224"/>
      <c r="AQ208" s="179"/>
      <c r="AR208" s="224"/>
      <c r="AS208" s="224"/>
      <c r="AT208" s="224"/>
    </row>
    <row r="209" spans="1:46" ht="15.75" x14ac:dyDescent="0.25">
      <c r="A209" s="505">
        <v>177</v>
      </c>
      <c r="B209" s="506">
        <v>136</v>
      </c>
      <c r="C209" s="664" t="e">
        <f>IFERROR('Device Resistance Tables'!C196,NA())</f>
        <v>#N/A</v>
      </c>
      <c r="D209" s="554" t="e">
        <f>IFERROR('Device Resistance Tables'!D196,NA())</f>
        <v>#N/A</v>
      </c>
      <c r="E209" s="664" t="e">
        <f>IFERROR('Device Resistance Tables'!F196,NA())</f>
        <v>#N/A</v>
      </c>
      <c r="F209" s="690" t="e">
        <f>IFERROR(D209*($B$15/(Main!$N$31+D209)),NA())</f>
        <v>#N/A</v>
      </c>
      <c r="G209" s="690" t="e">
        <f>IFERROR($B$16*($B$15/(Main!$N$31+D209)),NA())</f>
        <v>#N/A</v>
      </c>
      <c r="H209" s="664" t="e">
        <f t="shared" si="32"/>
        <v>#N/A</v>
      </c>
      <c r="I209" s="691" t="e">
        <f t="shared" si="33"/>
        <v>#N/A</v>
      </c>
      <c r="J209" s="690" t="e">
        <f>IFERROR(($B$15/(Main!$N$31+D209))^2*(Main!$N$31+D209)*1000,NA())</f>
        <v>#N/A</v>
      </c>
      <c r="K209" s="274" t="e">
        <f t="shared" si="25"/>
        <v>#N/A</v>
      </c>
      <c r="L209" s="274" t="e">
        <f t="shared" si="31"/>
        <v>#N/A</v>
      </c>
      <c r="M209" s="271" t="e">
        <f t="shared" si="28"/>
        <v>#N/A</v>
      </c>
      <c r="N209" s="692"/>
      <c r="O209" s="569">
        <v>136</v>
      </c>
      <c r="P209" s="697" t="e">
        <v>#N/A</v>
      </c>
      <c r="Q209" s="697" t="e">
        <v>#N/A</v>
      </c>
      <c r="R209" s="697" t="e">
        <v>#N/A</v>
      </c>
      <c r="S209" s="695" t="e">
        <f>IFERROR(Q209*($B$15/(Main!$N$31+Q209)),NA())</f>
        <v>#N/A</v>
      </c>
      <c r="T209" s="664" t="e">
        <f t="shared" si="29"/>
        <v>#N/A</v>
      </c>
      <c r="U209" s="696" t="e">
        <f>IFERROR(($B$15/(Main!$N$31+Q209))^2*(Main!$N$31+Q209)*1000,NA())</f>
        <v>#N/A</v>
      </c>
      <c r="V209" s="274" t="e">
        <f t="shared" si="26"/>
        <v>#N/A</v>
      </c>
      <c r="W209" s="274" t="e">
        <f t="shared" si="27"/>
        <v>#N/A</v>
      </c>
      <c r="X209" s="271" t="e">
        <f t="shared" si="30"/>
        <v>#N/A</v>
      </c>
      <c r="Y209" s="436"/>
      <c r="Z209" s="12"/>
      <c r="AA209" s="12"/>
      <c r="AB209" s="12"/>
      <c r="AM209" s="224"/>
      <c r="AN209" s="224"/>
      <c r="AO209" s="224"/>
      <c r="AP209" s="224"/>
      <c r="AQ209" s="179"/>
      <c r="AR209" s="224"/>
      <c r="AS209" s="224"/>
      <c r="AT209" s="224"/>
    </row>
    <row r="210" spans="1:46" ht="15.75" x14ac:dyDescent="0.25">
      <c r="A210" s="505">
        <v>178</v>
      </c>
      <c r="B210" s="506">
        <v>137</v>
      </c>
      <c r="C210" s="664" t="e">
        <f>IFERROR('Device Resistance Tables'!C197,NA())</f>
        <v>#N/A</v>
      </c>
      <c r="D210" s="554" t="e">
        <f>IFERROR('Device Resistance Tables'!D197,NA())</f>
        <v>#N/A</v>
      </c>
      <c r="E210" s="664" t="e">
        <f>IFERROR('Device Resistance Tables'!F197,NA())</f>
        <v>#N/A</v>
      </c>
      <c r="F210" s="690" t="e">
        <f>IFERROR(D210*($B$15/(Main!$N$31+D210)),NA())</f>
        <v>#N/A</v>
      </c>
      <c r="G210" s="690" t="e">
        <f>IFERROR($B$16*($B$15/(Main!$N$31+D210)),NA())</f>
        <v>#N/A</v>
      </c>
      <c r="H210" s="664" t="e">
        <f t="shared" si="32"/>
        <v>#N/A</v>
      </c>
      <c r="I210" s="691" t="e">
        <f t="shared" si="33"/>
        <v>#N/A</v>
      </c>
      <c r="J210" s="690" t="e">
        <f>IFERROR(($B$15/(Main!$N$31+D210))^2*(Main!$N$31+D210)*1000,NA())</f>
        <v>#N/A</v>
      </c>
      <c r="K210" s="274" t="e">
        <f t="shared" si="25"/>
        <v>#N/A</v>
      </c>
      <c r="L210" s="274" t="e">
        <f t="shared" si="31"/>
        <v>#N/A</v>
      </c>
      <c r="M210" s="271" t="e">
        <f t="shared" si="28"/>
        <v>#N/A</v>
      </c>
      <c r="N210" s="692"/>
      <c r="O210" s="569">
        <v>137</v>
      </c>
      <c r="P210" s="697" t="e">
        <v>#N/A</v>
      </c>
      <c r="Q210" s="697" t="e">
        <v>#N/A</v>
      </c>
      <c r="R210" s="697" t="e">
        <v>#N/A</v>
      </c>
      <c r="S210" s="695" t="e">
        <f>IFERROR(Q210*($B$15/(Main!$N$31+Q210)),NA())</f>
        <v>#N/A</v>
      </c>
      <c r="T210" s="664" t="e">
        <f t="shared" si="29"/>
        <v>#N/A</v>
      </c>
      <c r="U210" s="696" t="e">
        <f>IFERROR(($B$15/(Main!$N$31+Q210))^2*(Main!$N$31+Q210)*1000,NA())</f>
        <v>#N/A</v>
      </c>
      <c r="V210" s="274" t="e">
        <f t="shared" si="26"/>
        <v>#N/A</v>
      </c>
      <c r="W210" s="274" t="e">
        <f t="shared" si="27"/>
        <v>#N/A</v>
      </c>
      <c r="X210" s="271" t="e">
        <f t="shared" si="30"/>
        <v>#N/A</v>
      </c>
      <c r="Y210" s="436"/>
      <c r="Z210" s="12"/>
      <c r="AA210" s="12"/>
      <c r="AB210" s="12"/>
      <c r="AM210" s="224"/>
      <c r="AN210" s="224"/>
      <c r="AO210" s="224"/>
      <c r="AP210" s="224"/>
      <c r="AQ210" s="179"/>
      <c r="AR210" s="224"/>
      <c r="AS210" s="224"/>
      <c r="AT210" s="224"/>
    </row>
    <row r="211" spans="1:46" ht="15.75" x14ac:dyDescent="0.25">
      <c r="A211" s="505">
        <v>179</v>
      </c>
      <c r="B211" s="506">
        <v>138</v>
      </c>
      <c r="C211" s="664" t="e">
        <f>IFERROR('Device Resistance Tables'!C198,NA())</f>
        <v>#N/A</v>
      </c>
      <c r="D211" s="554" t="e">
        <f>IFERROR('Device Resistance Tables'!D198,NA())</f>
        <v>#N/A</v>
      </c>
      <c r="E211" s="664" t="e">
        <f>IFERROR('Device Resistance Tables'!F198,NA())</f>
        <v>#N/A</v>
      </c>
      <c r="F211" s="690" t="e">
        <f>IFERROR(D211*($B$15/(Main!$N$31+D211)),NA())</f>
        <v>#N/A</v>
      </c>
      <c r="G211" s="690" t="e">
        <f>IFERROR($B$16*($B$15/(Main!$N$31+D211)),NA())</f>
        <v>#N/A</v>
      </c>
      <c r="H211" s="664" t="e">
        <f t="shared" si="32"/>
        <v>#N/A</v>
      </c>
      <c r="I211" s="691" t="e">
        <f t="shared" si="33"/>
        <v>#N/A</v>
      </c>
      <c r="J211" s="690" t="e">
        <f>IFERROR(($B$15/(Main!$N$31+D211))^2*(Main!$N$31+D211)*1000,NA())</f>
        <v>#N/A</v>
      </c>
      <c r="K211" s="274" t="e">
        <f t="shared" si="25"/>
        <v>#N/A</v>
      </c>
      <c r="L211" s="274" t="e">
        <f t="shared" si="31"/>
        <v>#N/A</v>
      </c>
      <c r="M211" s="271" t="e">
        <f t="shared" si="28"/>
        <v>#N/A</v>
      </c>
      <c r="N211" s="692"/>
      <c r="O211" s="569">
        <v>138</v>
      </c>
      <c r="P211" s="697" t="e">
        <v>#N/A</v>
      </c>
      <c r="Q211" s="697" t="e">
        <v>#N/A</v>
      </c>
      <c r="R211" s="697" t="e">
        <v>#N/A</v>
      </c>
      <c r="S211" s="695" t="e">
        <f>IFERROR(Q211*($B$15/(Main!$N$31+Q211)),NA())</f>
        <v>#N/A</v>
      </c>
      <c r="T211" s="664" t="e">
        <f t="shared" si="29"/>
        <v>#N/A</v>
      </c>
      <c r="U211" s="696" t="e">
        <f>IFERROR(($B$15/(Main!$N$31+Q211))^2*(Main!$N$31+Q211)*1000,NA())</f>
        <v>#N/A</v>
      </c>
      <c r="V211" s="274" t="e">
        <f t="shared" si="26"/>
        <v>#N/A</v>
      </c>
      <c r="W211" s="274" t="e">
        <f t="shared" si="27"/>
        <v>#N/A</v>
      </c>
      <c r="X211" s="271" t="e">
        <f t="shared" si="30"/>
        <v>#N/A</v>
      </c>
      <c r="Y211" s="436"/>
      <c r="Z211" s="12"/>
      <c r="AA211" s="12"/>
      <c r="AB211" s="12"/>
      <c r="AM211" s="224"/>
      <c r="AN211" s="224"/>
      <c r="AO211" s="224"/>
      <c r="AP211" s="224"/>
      <c r="AQ211" s="179"/>
      <c r="AR211" s="224"/>
      <c r="AS211" s="224"/>
      <c r="AT211" s="224"/>
    </row>
    <row r="212" spans="1:46" ht="15.75" x14ac:dyDescent="0.25">
      <c r="A212" s="505">
        <v>180</v>
      </c>
      <c r="B212" s="506">
        <v>139</v>
      </c>
      <c r="C212" s="664" t="e">
        <f>IFERROR('Device Resistance Tables'!C199,NA())</f>
        <v>#N/A</v>
      </c>
      <c r="D212" s="554" t="e">
        <f>IFERROR('Device Resistance Tables'!D199,NA())</f>
        <v>#N/A</v>
      </c>
      <c r="E212" s="664" t="e">
        <f>IFERROR('Device Resistance Tables'!F199,NA())</f>
        <v>#N/A</v>
      </c>
      <c r="F212" s="690" t="e">
        <f>IFERROR(D212*($B$15/(Main!$N$31+D212)),NA())</f>
        <v>#N/A</v>
      </c>
      <c r="G212" s="690" t="e">
        <f>IFERROR($B$16*($B$15/(Main!$N$31+D212)),NA())</f>
        <v>#N/A</v>
      </c>
      <c r="H212" s="664" t="e">
        <f t="shared" si="32"/>
        <v>#N/A</v>
      </c>
      <c r="I212" s="691" t="e">
        <f t="shared" si="33"/>
        <v>#N/A</v>
      </c>
      <c r="J212" s="690" t="e">
        <f>IFERROR(($B$15/(Main!$N$31+D212))^2*(Main!$N$31+D212)*1000,NA())</f>
        <v>#N/A</v>
      </c>
      <c r="K212" s="274" t="e">
        <f t="shared" si="25"/>
        <v>#N/A</v>
      </c>
      <c r="L212" s="274" t="e">
        <f t="shared" si="31"/>
        <v>#N/A</v>
      </c>
      <c r="M212" s="271" t="e">
        <f t="shared" si="28"/>
        <v>#N/A</v>
      </c>
      <c r="N212" s="692"/>
      <c r="O212" s="569">
        <v>139</v>
      </c>
      <c r="P212" s="697" t="e">
        <v>#N/A</v>
      </c>
      <c r="Q212" s="697" t="e">
        <v>#N/A</v>
      </c>
      <c r="R212" s="697" t="e">
        <v>#N/A</v>
      </c>
      <c r="S212" s="695" t="e">
        <f>IFERROR(Q212*($B$15/(Main!$N$31+Q212)),NA())</f>
        <v>#N/A</v>
      </c>
      <c r="T212" s="664" t="e">
        <f t="shared" si="29"/>
        <v>#N/A</v>
      </c>
      <c r="U212" s="696" t="e">
        <f>IFERROR(($B$15/(Main!$N$31+Q212))^2*(Main!$N$31+Q212)*1000,NA())</f>
        <v>#N/A</v>
      </c>
      <c r="V212" s="274" t="e">
        <f t="shared" si="26"/>
        <v>#N/A</v>
      </c>
      <c r="W212" s="274" t="e">
        <f t="shared" si="27"/>
        <v>#N/A</v>
      </c>
      <c r="X212" s="271" t="e">
        <f t="shared" si="30"/>
        <v>#N/A</v>
      </c>
      <c r="Y212" s="436"/>
      <c r="Z212" s="12"/>
      <c r="AA212" s="12"/>
      <c r="AB212" s="12"/>
      <c r="AM212" s="224"/>
      <c r="AN212" s="224"/>
      <c r="AO212" s="224"/>
      <c r="AP212" s="224"/>
      <c r="AQ212" s="179"/>
      <c r="AR212" s="224"/>
      <c r="AS212" s="224"/>
      <c r="AT212" s="224"/>
    </row>
    <row r="213" spans="1:46" ht="15.75" x14ac:dyDescent="0.25">
      <c r="A213" s="505">
        <v>181</v>
      </c>
      <c r="B213" s="506">
        <v>140</v>
      </c>
      <c r="C213" s="664" t="e">
        <f>IFERROR('Device Resistance Tables'!C200,NA())</f>
        <v>#N/A</v>
      </c>
      <c r="D213" s="554" t="e">
        <f>IFERROR('Device Resistance Tables'!D200,NA())</f>
        <v>#N/A</v>
      </c>
      <c r="E213" s="664" t="e">
        <f>IFERROR('Device Resistance Tables'!F200,NA())</f>
        <v>#N/A</v>
      </c>
      <c r="F213" s="690" t="e">
        <f>IFERROR(D213*($B$15/(Main!$N$31+D213)),NA())</f>
        <v>#N/A</v>
      </c>
      <c r="G213" s="690" t="e">
        <f>IFERROR($B$16*($B$15/(Main!$N$31+D213)),NA())</f>
        <v>#N/A</v>
      </c>
      <c r="H213" s="664" t="e">
        <f t="shared" si="32"/>
        <v>#N/A</v>
      </c>
      <c r="I213" s="691" t="e">
        <f t="shared" si="33"/>
        <v>#N/A</v>
      </c>
      <c r="J213" s="690" t="e">
        <f>IFERROR(($B$15/(Main!$N$31+D213))^2*(Main!$N$31+D213)*1000,NA())</f>
        <v>#N/A</v>
      </c>
      <c r="K213" s="274" t="e">
        <f t="shared" si="25"/>
        <v>#N/A</v>
      </c>
      <c r="L213" s="274" t="e">
        <f t="shared" si="31"/>
        <v>#N/A</v>
      </c>
      <c r="M213" s="271" t="e">
        <f t="shared" si="28"/>
        <v>#N/A</v>
      </c>
      <c r="N213" s="692"/>
      <c r="O213" s="569">
        <v>140</v>
      </c>
      <c r="P213" s="697" t="e">
        <v>#N/A</v>
      </c>
      <c r="Q213" s="697" t="e">
        <v>#N/A</v>
      </c>
      <c r="R213" s="697" t="e">
        <v>#N/A</v>
      </c>
      <c r="S213" s="695" t="e">
        <f>IFERROR(Q213*($B$15/(Main!$N$31+Q213)),NA())</f>
        <v>#N/A</v>
      </c>
      <c r="T213" s="664" t="e">
        <f t="shared" si="29"/>
        <v>#N/A</v>
      </c>
      <c r="U213" s="696" t="e">
        <f>IFERROR(($B$15/(Main!$N$31+Q213))^2*(Main!$N$31+Q213)*1000,NA())</f>
        <v>#N/A</v>
      </c>
      <c r="V213" s="274" t="e">
        <f t="shared" si="26"/>
        <v>#N/A</v>
      </c>
      <c r="W213" s="274" t="e">
        <f t="shared" si="27"/>
        <v>#N/A</v>
      </c>
      <c r="X213" s="271" t="e">
        <f t="shared" si="30"/>
        <v>#N/A</v>
      </c>
      <c r="Y213" s="436"/>
      <c r="Z213" s="12"/>
      <c r="AA213" s="12"/>
      <c r="AB213" s="12"/>
      <c r="AM213" s="224"/>
      <c r="AN213" s="224"/>
      <c r="AO213" s="224"/>
      <c r="AP213" s="224"/>
      <c r="AQ213" s="179"/>
      <c r="AR213" s="224"/>
      <c r="AS213" s="224"/>
      <c r="AT213" s="224"/>
    </row>
    <row r="214" spans="1:46" ht="15.75" x14ac:dyDescent="0.25">
      <c r="A214" s="505">
        <v>182</v>
      </c>
      <c r="B214" s="506">
        <v>141</v>
      </c>
      <c r="C214" s="664" t="e">
        <f>IFERROR('Device Resistance Tables'!C201,NA())</f>
        <v>#N/A</v>
      </c>
      <c r="D214" s="554" t="e">
        <f>IFERROR('Device Resistance Tables'!D201,NA())</f>
        <v>#N/A</v>
      </c>
      <c r="E214" s="664" t="e">
        <f>IFERROR('Device Resistance Tables'!F201,NA())</f>
        <v>#N/A</v>
      </c>
      <c r="F214" s="690" t="e">
        <f>IFERROR(D214*($B$15/(Main!$N$31+D214)),NA())</f>
        <v>#N/A</v>
      </c>
      <c r="G214" s="690" t="e">
        <f>IFERROR($B$16*($B$15/(Main!$N$31+D214)),NA())</f>
        <v>#N/A</v>
      </c>
      <c r="H214" s="664" t="e">
        <f t="shared" si="32"/>
        <v>#N/A</v>
      </c>
      <c r="I214" s="691" t="e">
        <f t="shared" si="33"/>
        <v>#N/A</v>
      </c>
      <c r="J214" s="690" t="e">
        <f>IFERROR(($B$15/(Main!$N$31+D214))^2*(Main!$N$31+D214)*1000,NA())</f>
        <v>#N/A</v>
      </c>
      <c r="K214" s="274" t="e">
        <f t="shared" si="25"/>
        <v>#N/A</v>
      </c>
      <c r="L214" s="274" t="e">
        <f t="shared" si="31"/>
        <v>#N/A</v>
      </c>
      <c r="M214" s="271" t="e">
        <f t="shared" si="28"/>
        <v>#N/A</v>
      </c>
      <c r="N214" s="692"/>
      <c r="O214" s="569">
        <v>141</v>
      </c>
      <c r="P214" s="697" t="e">
        <v>#N/A</v>
      </c>
      <c r="Q214" s="697" t="e">
        <v>#N/A</v>
      </c>
      <c r="R214" s="697" t="e">
        <v>#N/A</v>
      </c>
      <c r="S214" s="695" t="e">
        <f>IFERROR(Q214*($B$15/(Main!$N$31+Q214)),NA())</f>
        <v>#N/A</v>
      </c>
      <c r="T214" s="664" t="e">
        <f t="shared" si="29"/>
        <v>#N/A</v>
      </c>
      <c r="U214" s="696" t="e">
        <f>IFERROR(($B$15/(Main!$N$31+Q214))^2*(Main!$N$31+Q214)*1000,NA())</f>
        <v>#N/A</v>
      </c>
      <c r="V214" s="274" t="e">
        <f t="shared" si="26"/>
        <v>#N/A</v>
      </c>
      <c r="W214" s="274" t="e">
        <f t="shared" si="27"/>
        <v>#N/A</v>
      </c>
      <c r="X214" s="271" t="e">
        <f t="shared" si="30"/>
        <v>#N/A</v>
      </c>
      <c r="Y214" s="436"/>
      <c r="Z214" s="12"/>
      <c r="AA214" s="12"/>
      <c r="AB214" s="12"/>
      <c r="AM214" s="224"/>
      <c r="AN214" s="224"/>
      <c r="AO214" s="224"/>
      <c r="AP214" s="224"/>
      <c r="AQ214" s="179"/>
      <c r="AR214" s="224"/>
      <c r="AS214" s="224"/>
      <c r="AT214" s="224"/>
    </row>
    <row r="215" spans="1:46" ht="15.75" x14ac:dyDescent="0.25">
      <c r="A215" s="505">
        <v>183</v>
      </c>
      <c r="B215" s="506">
        <v>142</v>
      </c>
      <c r="C215" s="664" t="e">
        <f>IFERROR('Device Resistance Tables'!C202,NA())</f>
        <v>#N/A</v>
      </c>
      <c r="D215" s="554" t="e">
        <f>IFERROR('Device Resistance Tables'!D202,NA())</f>
        <v>#N/A</v>
      </c>
      <c r="E215" s="664" t="e">
        <f>IFERROR('Device Resistance Tables'!F202,NA())</f>
        <v>#N/A</v>
      </c>
      <c r="F215" s="690" t="e">
        <f>IFERROR(D215*($B$15/(Main!$N$31+D215)),NA())</f>
        <v>#N/A</v>
      </c>
      <c r="G215" s="690" t="e">
        <f>IFERROR($B$16*($B$15/(Main!$N$31+D215)),NA())</f>
        <v>#N/A</v>
      </c>
      <c r="H215" s="664" t="e">
        <f t="shared" si="32"/>
        <v>#N/A</v>
      </c>
      <c r="I215" s="691" t="e">
        <f t="shared" si="33"/>
        <v>#N/A</v>
      </c>
      <c r="J215" s="690" t="e">
        <f>IFERROR(($B$15/(Main!$N$31+D215))^2*(Main!$N$31+D215)*1000,NA())</f>
        <v>#N/A</v>
      </c>
      <c r="K215" s="274" t="e">
        <f t="shared" si="25"/>
        <v>#N/A</v>
      </c>
      <c r="L215" s="274" t="e">
        <f t="shared" si="31"/>
        <v>#N/A</v>
      </c>
      <c r="M215" s="271" t="e">
        <f t="shared" si="28"/>
        <v>#N/A</v>
      </c>
      <c r="N215" s="692"/>
      <c r="O215" s="569">
        <v>142</v>
      </c>
      <c r="P215" s="697" t="e">
        <v>#N/A</v>
      </c>
      <c r="Q215" s="697" t="e">
        <v>#N/A</v>
      </c>
      <c r="R215" s="697" t="e">
        <v>#N/A</v>
      </c>
      <c r="S215" s="695" t="e">
        <f>IFERROR(Q215*($B$15/(Main!$N$31+Q215)),NA())</f>
        <v>#N/A</v>
      </c>
      <c r="T215" s="664" t="e">
        <f t="shared" si="29"/>
        <v>#N/A</v>
      </c>
      <c r="U215" s="696" t="e">
        <f>IFERROR(($B$15/(Main!$N$31+Q215))^2*(Main!$N$31+Q215)*1000,NA())</f>
        <v>#N/A</v>
      </c>
      <c r="V215" s="274" t="e">
        <f t="shared" si="26"/>
        <v>#N/A</v>
      </c>
      <c r="W215" s="274" t="e">
        <f t="shared" si="27"/>
        <v>#N/A</v>
      </c>
      <c r="X215" s="271" t="e">
        <f t="shared" si="30"/>
        <v>#N/A</v>
      </c>
      <c r="Y215" s="436"/>
      <c r="Z215" s="12"/>
      <c r="AA215" s="12"/>
      <c r="AB215" s="12"/>
      <c r="AM215" s="224"/>
      <c r="AN215" s="224"/>
      <c r="AO215" s="224"/>
      <c r="AP215" s="224"/>
      <c r="AQ215" s="179"/>
      <c r="AR215" s="224"/>
      <c r="AS215" s="224"/>
      <c r="AT215" s="224"/>
    </row>
    <row r="216" spans="1:46" ht="15.75" x14ac:dyDescent="0.25">
      <c r="A216" s="505">
        <v>184</v>
      </c>
      <c r="B216" s="506">
        <v>143</v>
      </c>
      <c r="C216" s="664" t="e">
        <f>IFERROR('Device Resistance Tables'!C203,NA())</f>
        <v>#N/A</v>
      </c>
      <c r="D216" s="554" t="e">
        <f>IFERROR('Device Resistance Tables'!D203,NA())</f>
        <v>#N/A</v>
      </c>
      <c r="E216" s="664" t="e">
        <f>IFERROR('Device Resistance Tables'!F203,NA())</f>
        <v>#N/A</v>
      </c>
      <c r="F216" s="690" t="e">
        <f>IFERROR(D216*($B$15/(Main!$N$31+D216)),NA())</f>
        <v>#N/A</v>
      </c>
      <c r="G216" s="690" t="e">
        <f>IFERROR($B$16*($B$15/(Main!$N$31+D216)),NA())</f>
        <v>#N/A</v>
      </c>
      <c r="H216" s="664" t="e">
        <f t="shared" si="32"/>
        <v>#N/A</v>
      </c>
      <c r="I216" s="691" t="e">
        <f t="shared" si="33"/>
        <v>#N/A</v>
      </c>
      <c r="J216" s="690" t="e">
        <f>IFERROR(($B$15/(Main!$N$31+D216))^2*(Main!$N$31+D216)*1000,NA())</f>
        <v>#N/A</v>
      </c>
      <c r="K216" s="274" t="e">
        <f t="shared" si="25"/>
        <v>#N/A</v>
      </c>
      <c r="L216" s="274" t="e">
        <f t="shared" si="31"/>
        <v>#N/A</v>
      </c>
      <c r="M216" s="271" t="e">
        <f t="shared" si="28"/>
        <v>#N/A</v>
      </c>
      <c r="N216" s="692"/>
      <c r="O216" s="569">
        <v>143</v>
      </c>
      <c r="P216" s="697" t="e">
        <v>#N/A</v>
      </c>
      <c r="Q216" s="697" t="e">
        <v>#N/A</v>
      </c>
      <c r="R216" s="697" t="e">
        <v>#N/A</v>
      </c>
      <c r="S216" s="695" t="e">
        <f>IFERROR(Q216*($B$15/(Main!$N$31+Q216)),NA())</f>
        <v>#N/A</v>
      </c>
      <c r="T216" s="664" t="e">
        <f t="shared" si="29"/>
        <v>#N/A</v>
      </c>
      <c r="U216" s="696" t="e">
        <f>IFERROR(($B$15/(Main!$N$31+Q216))^2*(Main!$N$31+Q216)*1000,NA())</f>
        <v>#N/A</v>
      </c>
      <c r="V216" s="274" t="e">
        <f t="shared" si="26"/>
        <v>#N/A</v>
      </c>
      <c r="W216" s="274" t="e">
        <f t="shared" si="27"/>
        <v>#N/A</v>
      </c>
      <c r="X216" s="271" t="e">
        <f t="shared" si="30"/>
        <v>#N/A</v>
      </c>
      <c r="Y216" s="436"/>
      <c r="Z216" s="12"/>
      <c r="AA216" s="12"/>
      <c r="AB216" s="12"/>
      <c r="AM216" s="224"/>
      <c r="AN216" s="224"/>
      <c r="AO216" s="224"/>
      <c r="AP216" s="224"/>
      <c r="AQ216" s="179"/>
      <c r="AR216" s="224"/>
      <c r="AS216" s="224"/>
      <c r="AT216" s="224"/>
    </row>
    <row r="217" spans="1:46" ht="15.75" x14ac:dyDescent="0.25">
      <c r="A217" s="505">
        <v>185</v>
      </c>
      <c r="B217" s="506">
        <v>144</v>
      </c>
      <c r="C217" s="664" t="e">
        <f>IFERROR('Device Resistance Tables'!C204,NA())</f>
        <v>#N/A</v>
      </c>
      <c r="D217" s="554" t="e">
        <f>IFERROR('Device Resistance Tables'!D204,NA())</f>
        <v>#N/A</v>
      </c>
      <c r="E217" s="664" t="e">
        <f>IFERROR('Device Resistance Tables'!F204,NA())</f>
        <v>#N/A</v>
      </c>
      <c r="F217" s="690" t="e">
        <f>IFERROR(D217*($B$15/(Main!$N$31+D217)),NA())</f>
        <v>#N/A</v>
      </c>
      <c r="G217" s="690" t="e">
        <f>IFERROR($B$16*($B$15/(Main!$N$31+D217)),NA())</f>
        <v>#N/A</v>
      </c>
      <c r="H217" s="664" t="e">
        <f t="shared" si="32"/>
        <v>#N/A</v>
      </c>
      <c r="I217" s="691" t="e">
        <f t="shared" si="33"/>
        <v>#N/A</v>
      </c>
      <c r="J217" s="690" t="e">
        <f>IFERROR(($B$15/(Main!$N$31+D217))^2*(Main!$N$31+D217)*1000,NA())</f>
        <v>#N/A</v>
      </c>
      <c r="K217" s="274" t="e">
        <f t="shared" si="25"/>
        <v>#N/A</v>
      </c>
      <c r="L217" s="274" t="e">
        <f t="shared" si="31"/>
        <v>#N/A</v>
      </c>
      <c r="M217" s="271" t="e">
        <f t="shared" si="28"/>
        <v>#N/A</v>
      </c>
      <c r="N217" s="692"/>
      <c r="O217" s="569">
        <v>144</v>
      </c>
      <c r="P217" s="697" t="e">
        <v>#N/A</v>
      </c>
      <c r="Q217" s="697" t="e">
        <v>#N/A</v>
      </c>
      <c r="R217" s="697" t="e">
        <v>#N/A</v>
      </c>
      <c r="S217" s="695" t="e">
        <f>IFERROR(Q217*($B$15/(Main!$N$31+Q217)),NA())</f>
        <v>#N/A</v>
      </c>
      <c r="T217" s="664" t="e">
        <f t="shared" si="29"/>
        <v>#N/A</v>
      </c>
      <c r="U217" s="696" t="e">
        <f>IFERROR(($B$15/(Main!$N$31+Q217))^2*(Main!$N$31+Q217)*1000,NA())</f>
        <v>#N/A</v>
      </c>
      <c r="V217" s="274" t="e">
        <f t="shared" si="26"/>
        <v>#N/A</v>
      </c>
      <c r="W217" s="274" t="e">
        <f t="shared" si="27"/>
        <v>#N/A</v>
      </c>
      <c r="X217" s="271" t="e">
        <f t="shared" si="30"/>
        <v>#N/A</v>
      </c>
      <c r="Y217" s="436"/>
      <c r="Z217" s="12"/>
      <c r="AA217" s="12"/>
      <c r="AB217" s="12"/>
      <c r="AM217" s="224"/>
      <c r="AN217" s="224"/>
      <c r="AO217" s="224"/>
      <c r="AP217" s="224"/>
      <c r="AQ217" s="179"/>
      <c r="AR217" s="224"/>
      <c r="AS217" s="224"/>
      <c r="AT217" s="224"/>
    </row>
    <row r="218" spans="1:46" ht="15.75" x14ac:dyDescent="0.25">
      <c r="A218" s="505">
        <v>186</v>
      </c>
      <c r="B218" s="506">
        <v>145</v>
      </c>
      <c r="C218" s="664" t="e">
        <f>IFERROR('Device Resistance Tables'!C205,NA())</f>
        <v>#N/A</v>
      </c>
      <c r="D218" s="554" t="e">
        <f>IFERROR('Device Resistance Tables'!D205,NA())</f>
        <v>#N/A</v>
      </c>
      <c r="E218" s="664" t="e">
        <f>IFERROR('Device Resistance Tables'!F205,NA())</f>
        <v>#N/A</v>
      </c>
      <c r="F218" s="690" t="e">
        <f>IFERROR(D218*($B$15/(Main!$N$31+D218)),NA())</f>
        <v>#N/A</v>
      </c>
      <c r="G218" s="690" t="e">
        <f>IFERROR($B$16*($B$15/(Main!$N$31+D218)),NA())</f>
        <v>#N/A</v>
      </c>
      <c r="H218" s="664" t="e">
        <f t="shared" si="32"/>
        <v>#N/A</v>
      </c>
      <c r="I218" s="691" t="e">
        <f t="shared" si="33"/>
        <v>#N/A</v>
      </c>
      <c r="J218" s="690" t="e">
        <f>IFERROR(($B$15/(Main!$N$31+D218))^2*(Main!$N$31+D218)*1000,NA())</f>
        <v>#N/A</v>
      </c>
      <c r="K218" s="274" t="e">
        <f t="shared" si="25"/>
        <v>#N/A</v>
      </c>
      <c r="L218" s="274" t="e">
        <f t="shared" si="31"/>
        <v>#N/A</v>
      </c>
      <c r="M218" s="271" t="e">
        <f t="shared" si="28"/>
        <v>#N/A</v>
      </c>
      <c r="N218" s="692"/>
      <c r="O218" s="569">
        <v>145</v>
      </c>
      <c r="P218" s="697" t="e">
        <v>#N/A</v>
      </c>
      <c r="Q218" s="697" t="e">
        <v>#N/A</v>
      </c>
      <c r="R218" s="697" t="e">
        <v>#N/A</v>
      </c>
      <c r="S218" s="695" t="e">
        <f>IFERROR(Q218*($B$15/(Main!$N$31+Q218)),NA())</f>
        <v>#N/A</v>
      </c>
      <c r="T218" s="664" t="e">
        <f t="shared" si="29"/>
        <v>#N/A</v>
      </c>
      <c r="U218" s="696" t="e">
        <f>IFERROR(($B$15/(Main!$N$31+Q218))^2*(Main!$N$31+Q218)*1000,NA())</f>
        <v>#N/A</v>
      </c>
      <c r="V218" s="274" t="e">
        <f t="shared" si="26"/>
        <v>#N/A</v>
      </c>
      <c r="W218" s="274" t="e">
        <f t="shared" si="27"/>
        <v>#N/A</v>
      </c>
      <c r="X218" s="271" t="e">
        <f t="shared" si="30"/>
        <v>#N/A</v>
      </c>
      <c r="Y218" s="436"/>
      <c r="Z218" s="12"/>
      <c r="AA218" s="12"/>
      <c r="AB218" s="12"/>
      <c r="AM218" s="224"/>
      <c r="AN218" s="224"/>
      <c r="AO218" s="224"/>
      <c r="AP218" s="224"/>
      <c r="AQ218" s="179"/>
      <c r="AR218" s="224"/>
      <c r="AS218" s="224"/>
      <c r="AT218" s="224"/>
    </row>
    <row r="219" spans="1:46" ht="15.75" x14ac:dyDescent="0.25">
      <c r="A219" s="505">
        <v>187</v>
      </c>
      <c r="B219" s="506">
        <v>146</v>
      </c>
      <c r="C219" s="664" t="e">
        <f>IFERROR('Device Resistance Tables'!C206,NA())</f>
        <v>#N/A</v>
      </c>
      <c r="D219" s="554" t="e">
        <f>IFERROR('Device Resistance Tables'!D206,NA())</f>
        <v>#N/A</v>
      </c>
      <c r="E219" s="664" t="e">
        <f>IFERROR('Device Resistance Tables'!F206,NA())</f>
        <v>#N/A</v>
      </c>
      <c r="F219" s="690" t="e">
        <f>IFERROR(D219*($B$15/(Main!$N$31+D219)),NA())</f>
        <v>#N/A</v>
      </c>
      <c r="G219" s="690" t="e">
        <f>IFERROR($B$16*($B$15/(Main!$N$31+D219)),NA())</f>
        <v>#N/A</v>
      </c>
      <c r="H219" s="664" t="e">
        <f t="shared" si="32"/>
        <v>#N/A</v>
      </c>
      <c r="I219" s="691" t="e">
        <f t="shared" si="33"/>
        <v>#N/A</v>
      </c>
      <c r="J219" s="690" t="e">
        <f>IFERROR(($B$15/(Main!$N$31+D219))^2*(Main!$N$31+D219)*1000,NA())</f>
        <v>#N/A</v>
      </c>
      <c r="K219" s="274" t="e">
        <f t="shared" si="25"/>
        <v>#N/A</v>
      </c>
      <c r="L219" s="274" t="e">
        <f t="shared" si="31"/>
        <v>#N/A</v>
      </c>
      <c r="M219" s="271" t="e">
        <f t="shared" si="28"/>
        <v>#N/A</v>
      </c>
      <c r="N219" s="692"/>
      <c r="O219" s="569">
        <v>146</v>
      </c>
      <c r="P219" s="697" t="e">
        <v>#N/A</v>
      </c>
      <c r="Q219" s="697" t="e">
        <v>#N/A</v>
      </c>
      <c r="R219" s="697" t="e">
        <v>#N/A</v>
      </c>
      <c r="S219" s="695" t="e">
        <f>IFERROR(Q219*($B$15/(Main!$N$31+Q219)),NA())</f>
        <v>#N/A</v>
      </c>
      <c r="T219" s="664" t="e">
        <f t="shared" si="29"/>
        <v>#N/A</v>
      </c>
      <c r="U219" s="696" t="e">
        <f>IFERROR(($B$15/(Main!$N$31+Q219))^2*(Main!$N$31+Q219)*1000,NA())</f>
        <v>#N/A</v>
      </c>
      <c r="V219" s="274" t="e">
        <f t="shared" si="26"/>
        <v>#N/A</v>
      </c>
      <c r="W219" s="274" t="e">
        <f t="shared" si="27"/>
        <v>#N/A</v>
      </c>
      <c r="X219" s="271" t="e">
        <f t="shared" si="30"/>
        <v>#N/A</v>
      </c>
      <c r="Y219" s="436"/>
      <c r="Z219" s="12"/>
      <c r="AA219" s="12"/>
      <c r="AB219" s="12"/>
      <c r="AM219" s="224"/>
      <c r="AN219" s="224"/>
      <c r="AO219" s="224"/>
      <c r="AP219" s="224"/>
      <c r="AQ219" s="179"/>
      <c r="AR219" s="224"/>
      <c r="AS219" s="224"/>
      <c r="AT219" s="224"/>
    </row>
    <row r="220" spans="1:46" ht="15.75" x14ac:dyDescent="0.25">
      <c r="A220" s="505">
        <v>188</v>
      </c>
      <c r="B220" s="506">
        <v>147</v>
      </c>
      <c r="C220" s="664" t="e">
        <f>IFERROR('Device Resistance Tables'!C207,NA())</f>
        <v>#N/A</v>
      </c>
      <c r="D220" s="554" t="e">
        <f>IFERROR('Device Resistance Tables'!D207,NA())</f>
        <v>#N/A</v>
      </c>
      <c r="E220" s="664" t="e">
        <f>IFERROR('Device Resistance Tables'!F207,NA())</f>
        <v>#N/A</v>
      </c>
      <c r="F220" s="690" t="e">
        <f>IFERROR(D220*($B$15/(Main!$N$31+D220)),NA())</f>
        <v>#N/A</v>
      </c>
      <c r="G220" s="690" t="e">
        <f>IFERROR($B$16*($B$15/(Main!$N$31+D220)),NA())</f>
        <v>#N/A</v>
      </c>
      <c r="H220" s="664" t="e">
        <f t="shared" si="32"/>
        <v>#N/A</v>
      </c>
      <c r="I220" s="691" t="e">
        <f t="shared" si="33"/>
        <v>#N/A</v>
      </c>
      <c r="J220" s="690" t="e">
        <f>IFERROR(($B$15/(Main!$N$31+D220))^2*(Main!$N$31+D220)*1000,NA())</f>
        <v>#N/A</v>
      </c>
      <c r="K220" s="274" t="e">
        <f t="shared" si="25"/>
        <v>#N/A</v>
      </c>
      <c r="L220" s="274" t="e">
        <f t="shared" si="31"/>
        <v>#N/A</v>
      </c>
      <c r="M220" s="271" t="e">
        <f t="shared" si="28"/>
        <v>#N/A</v>
      </c>
      <c r="N220" s="692"/>
      <c r="O220" s="569">
        <v>147</v>
      </c>
      <c r="P220" s="697" t="e">
        <v>#N/A</v>
      </c>
      <c r="Q220" s="697" t="e">
        <v>#N/A</v>
      </c>
      <c r="R220" s="697" t="e">
        <v>#N/A</v>
      </c>
      <c r="S220" s="695" t="e">
        <f>IFERROR(Q220*($B$15/(Main!$N$31+Q220)),NA())</f>
        <v>#N/A</v>
      </c>
      <c r="T220" s="664" t="e">
        <f t="shared" si="29"/>
        <v>#N/A</v>
      </c>
      <c r="U220" s="696" t="e">
        <f>IFERROR(($B$15/(Main!$N$31+Q220))^2*(Main!$N$31+Q220)*1000,NA())</f>
        <v>#N/A</v>
      </c>
      <c r="V220" s="274" t="e">
        <f t="shared" si="26"/>
        <v>#N/A</v>
      </c>
      <c r="W220" s="274" t="e">
        <f t="shared" si="27"/>
        <v>#N/A</v>
      </c>
      <c r="X220" s="271" t="e">
        <f t="shared" si="30"/>
        <v>#N/A</v>
      </c>
      <c r="Y220" s="436"/>
      <c r="Z220" s="12"/>
      <c r="AA220" s="12"/>
      <c r="AB220" s="12"/>
      <c r="AM220" s="224"/>
      <c r="AN220" s="224"/>
      <c r="AO220" s="224"/>
      <c r="AP220" s="224"/>
      <c r="AQ220" s="179"/>
      <c r="AR220" s="224"/>
      <c r="AS220" s="224"/>
      <c r="AT220" s="224"/>
    </row>
    <row r="221" spans="1:46" ht="15.75" x14ac:dyDescent="0.25">
      <c r="A221" s="505">
        <v>189</v>
      </c>
      <c r="B221" s="506">
        <v>148</v>
      </c>
      <c r="C221" s="664" t="e">
        <f>IFERROR('Device Resistance Tables'!C208,NA())</f>
        <v>#N/A</v>
      </c>
      <c r="D221" s="554" t="e">
        <f>IFERROR('Device Resistance Tables'!D208,NA())</f>
        <v>#N/A</v>
      </c>
      <c r="E221" s="664" t="e">
        <f>IFERROR('Device Resistance Tables'!F208,NA())</f>
        <v>#N/A</v>
      </c>
      <c r="F221" s="690" t="e">
        <f>IFERROR(D221*($B$15/(Main!$N$31+D221)),NA())</f>
        <v>#N/A</v>
      </c>
      <c r="G221" s="690" t="e">
        <f>IFERROR($B$16*($B$15/(Main!$N$31+D221)),NA())</f>
        <v>#N/A</v>
      </c>
      <c r="H221" s="664" t="e">
        <f t="shared" si="32"/>
        <v>#N/A</v>
      </c>
      <c r="I221" s="691" t="e">
        <f t="shared" si="33"/>
        <v>#N/A</v>
      </c>
      <c r="J221" s="690" t="e">
        <f>IFERROR(($B$15/(Main!$N$31+D221))^2*(Main!$N$31+D221)*1000,NA())</f>
        <v>#N/A</v>
      </c>
      <c r="K221" s="274" t="e">
        <f t="shared" si="25"/>
        <v>#N/A</v>
      </c>
      <c r="L221" s="274" t="e">
        <f t="shared" si="31"/>
        <v>#N/A</v>
      </c>
      <c r="M221" s="271" t="e">
        <f t="shared" si="28"/>
        <v>#N/A</v>
      </c>
      <c r="N221" s="692"/>
      <c r="O221" s="569">
        <v>148</v>
      </c>
      <c r="P221" s="697" t="e">
        <v>#N/A</v>
      </c>
      <c r="Q221" s="697" t="e">
        <v>#N/A</v>
      </c>
      <c r="R221" s="697" t="e">
        <v>#N/A</v>
      </c>
      <c r="S221" s="695" t="e">
        <f>IFERROR(Q221*($B$15/(Main!$N$31+Q221)),NA())</f>
        <v>#N/A</v>
      </c>
      <c r="T221" s="664" t="e">
        <f t="shared" si="29"/>
        <v>#N/A</v>
      </c>
      <c r="U221" s="696" t="e">
        <f>IFERROR(($B$15/(Main!$N$31+Q221))^2*(Main!$N$31+Q221)*1000,NA())</f>
        <v>#N/A</v>
      </c>
      <c r="V221" s="274" t="e">
        <f t="shared" si="26"/>
        <v>#N/A</v>
      </c>
      <c r="W221" s="274" t="e">
        <f t="shared" si="27"/>
        <v>#N/A</v>
      </c>
      <c r="X221" s="271" t="e">
        <f t="shared" si="30"/>
        <v>#N/A</v>
      </c>
      <c r="Y221" s="436"/>
      <c r="Z221" s="12"/>
      <c r="AA221" s="12"/>
      <c r="AB221" s="12"/>
      <c r="AM221" s="224"/>
      <c r="AN221" s="224"/>
      <c r="AO221" s="224"/>
      <c r="AP221" s="224"/>
      <c r="AQ221" s="179"/>
      <c r="AR221" s="224"/>
      <c r="AS221" s="224"/>
      <c r="AT221" s="224"/>
    </row>
    <row r="222" spans="1:46" ht="15.75" x14ac:dyDescent="0.25">
      <c r="A222" s="505">
        <v>190</v>
      </c>
      <c r="B222" s="506">
        <v>149</v>
      </c>
      <c r="C222" s="664" t="e">
        <f>IFERROR('Device Resistance Tables'!C209,NA())</f>
        <v>#N/A</v>
      </c>
      <c r="D222" s="554" t="e">
        <f>IFERROR('Device Resistance Tables'!D209,NA())</f>
        <v>#N/A</v>
      </c>
      <c r="E222" s="664" t="e">
        <f>IFERROR('Device Resistance Tables'!F209,NA())</f>
        <v>#N/A</v>
      </c>
      <c r="F222" s="690" t="e">
        <f>IFERROR(D222*($B$15/(Main!$N$31+D222)),NA())</f>
        <v>#N/A</v>
      </c>
      <c r="G222" s="690" t="e">
        <f>IFERROR($B$16*($B$15/(Main!$N$31+D222)),NA())</f>
        <v>#N/A</v>
      </c>
      <c r="H222" s="664" t="e">
        <f t="shared" si="32"/>
        <v>#N/A</v>
      </c>
      <c r="I222" s="691" t="e">
        <f t="shared" si="33"/>
        <v>#N/A</v>
      </c>
      <c r="J222" s="690" t="e">
        <f>IFERROR(($B$15/(Main!$N$31+D222))^2*(Main!$N$31+D222)*1000,NA())</f>
        <v>#N/A</v>
      </c>
      <c r="K222" s="274" t="e">
        <f t="shared" si="25"/>
        <v>#N/A</v>
      </c>
      <c r="L222" s="274" t="e">
        <f t="shared" si="31"/>
        <v>#N/A</v>
      </c>
      <c r="M222" s="271" t="e">
        <f t="shared" si="28"/>
        <v>#N/A</v>
      </c>
      <c r="N222" s="692"/>
      <c r="O222" s="569">
        <v>149</v>
      </c>
      <c r="P222" s="697" t="e">
        <v>#N/A</v>
      </c>
      <c r="Q222" s="697" t="e">
        <v>#N/A</v>
      </c>
      <c r="R222" s="697" t="e">
        <v>#N/A</v>
      </c>
      <c r="S222" s="695" t="e">
        <f>IFERROR(Q222*($B$15/(Main!$N$31+Q222)),NA())</f>
        <v>#N/A</v>
      </c>
      <c r="T222" s="664" t="e">
        <f t="shared" si="29"/>
        <v>#N/A</v>
      </c>
      <c r="U222" s="696" t="e">
        <f>IFERROR(($B$15/(Main!$N$31+Q222))^2*(Main!$N$31+Q222)*1000,NA())</f>
        <v>#N/A</v>
      </c>
      <c r="V222" s="274" t="e">
        <f t="shared" si="26"/>
        <v>#N/A</v>
      </c>
      <c r="W222" s="274" t="e">
        <f t="shared" si="27"/>
        <v>#N/A</v>
      </c>
      <c r="X222" s="271" t="e">
        <f t="shared" si="30"/>
        <v>#N/A</v>
      </c>
      <c r="Y222" s="436"/>
      <c r="Z222" s="12"/>
      <c r="AA222" s="12"/>
      <c r="AB222" s="12"/>
      <c r="AM222" s="224"/>
      <c r="AN222" s="224"/>
      <c r="AO222" s="224"/>
      <c r="AP222" s="224"/>
      <c r="AQ222" s="179"/>
      <c r="AR222" s="224"/>
      <c r="AS222" s="224"/>
      <c r="AT222" s="224"/>
    </row>
    <row r="223" spans="1:46" ht="15.75" x14ac:dyDescent="0.25">
      <c r="A223" s="505">
        <v>191</v>
      </c>
      <c r="B223" s="506">
        <v>150</v>
      </c>
      <c r="C223" s="664" t="e">
        <f>IFERROR('Device Resistance Tables'!C210,NA())</f>
        <v>#N/A</v>
      </c>
      <c r="D223" s="554" t="e">
        <f>IFERROR('Device Resistance Tables'!D210,NA())</f>
        <v>#N/A</v>
      </c>
      <c r="E223" s="664" t="e">
        <f>IFERROR('Device Resistance Tables'!F210,NA())</f>
        <v>#N/A</v>
      </c>
      <c r="F223" s="690" t="e">
        <f>IFERROR(D223*($B$15/(Main!$N$31+D223)),NA())</f>
        <v>#N/A</v>
      </c>
      <c r="G223" s="690" t="e">
        <f>IFERROR($B$16*($B$15/(Main!$N$31+D223)),NA())</f>
        <v>#N/A</v>
      </c>
      <c r="H223" s="664" t="e">
        <f t="shared" si="32"/>
        <v>#N/A</v>
      </c>
      <c r="I223" s="691" t="e">
        <f t="shared" si="33"/>
        <v>#N/A</v>
      </c>
      <c r="J223" s="690" t="e">
        <f>IFERROR(($B$15/(Main!$N$31+D223))^2*(Main!$N$31+D223)*1000,NA())</f>
        <v>#N/A</v>
      </c>
      <c r="K223" s="274" t="e">
        <f t="shared" si="25"/>
        <v>#N/A</v>
      </c>
      <c r="L223" s="274" t="e">
        <f t="shared" si="31"/>
        <v>#N/A</v>
      </c>
      <c r="M223" s="271" t="e">
        <f t="shared" si="28"/>
        <v>#N/A</v>
      </c>
      <c r="N223" s="692"/>
      <c r="O223" s="569">
        <v>150</v>
      </c>
      <c r="P223" s="697" t="e">
        <v>#N/A</v>
      </c>
      <c r="Q223" s="697" t="e">
        <v>#N/A</v>
      </c>
      <c r="R223" s="697" t="e">
        <v>#N/A</v>
      </c>
      <c r="S223" s="695" t="e">
        <f>IFERROR(Q223*($B$15/(Main!$N$31+Q223)),NA())</f>
        <v>#N/A</v>
      </c>
      <c r="T223" s="664" t="e">
        <f t="shared" si="29"/>
        <v>#N/A</v>
      </c>
      <c r="U223" s="696" t="e">
        <f>IFERROR(($B$15/(Main!$N$31+Q223))^2*(Main!$N$31+Q223)*1000,NA())</f>
        <v>#N/A</v>
      </c>
      <c r="V223" s="274" t="e">
        <f t="shared" si="26"/>
        <v>#N/A</v>
      </c>
      <c r="W223" s="274" t="e">
        <f t="shared" si="27"/>
        <v>#N/A</v>
      </c>
      <c r="X223" s="271" t="e">
        <f t="shared" si="30"/>
        <v>#N/A</v>
      </c>
      <c r="Y223" s="436"/>
      <c r="Z223" s="12"/>
      <c r="AA223" s="12"/>
      <c r="AB223" s="12"/>
      <c r="AM223" s="224"/>
      <c r="AN223" s="224"/>
      <c r="AO223" s="224"/>
      <c r="AP223" s="224"/>
      <c r="AQ223" s="179"/>
      <c r="AR223" s="224"/>
      <c r="AS223" s="224"/>
      <c r="AT223" s="224"/>
    </row>
    <row r="224" spans="1:46" ht="15.75" x14ac:dyDescent="0.25">
      <c r="A224" s="505">
        <v>192</v>
      </c>
      <c r="B224" s="506">
        <v>151</v>
      </c>
      <c r="C224" s="664" t="e">
        <f>IFERROR('Device Resistance Tables'!C211,NA())</f>
        <v>#N/A</v>
      </c>
      <c r="D224" s="554" t="e">
        <f>IFERROR('Device Resistance Tables'!D211,NA())</f>
        <v>#N/A</v>
      </c>
      <c r="E224" s="664" t="e">
        <f>IFERROR('Device Resistance Tables'!F211,NA())</f>
        <v>#N/A</v>
      </c>
      <c r="F224" s="690" t="e">
        <f>IFERROR(D224*($B$15/(Main!$N$31+D224)),NA())</f>
        <v>#N/A</v>
      </c>
      <c r="G224" s="690" t="e">
        <f>IFERROR($B$16*($B$15/(Main!$N$31+D224)),NA())</f>
        <v>#N/A</v>
      </c>
      <c r="H224" s="664" t="e">
        <f t="shared" ref="H224:H243" si="34">IFERROR(D224-D223,NA())</f>
        <v>#N/A</v>
      </c>
      <c r="I224" s="691" t="e">
        <f t="shared" si="33"/>
        <v>#N/A</v>
      </c>
      <c r="J224" s="690" t="e">
        <f>IFERROR(($B$15/(Main!$N$31+D224))^2*(Main!$N$31+D224)*1000,NA())</f>
        <v>#N/A</v>
      </c>
      <c r="K224" s="274" t="e">
        <f t="shared" ref="K224:K243" si="35">IFERROR(((D224-C224)/D224)*-100,NA())</f>
        <v>#N/A</v>
      </c>
      <c r="L224" s="274" t="e">
        <f t="shared" ref="L224:L243" si="36">IFERROR(((E224-D224)/D224)*100,NA())</f>
        <v>#N/A</v>
      </c>
      <c r="M224" s="271" t="e">
        <f t="shared" ref="M224:M243" si="37">IFERROR(F224-F223,NA())</f>
        <v>#N/A</v>
      </c>
      <c r="N224" s="692"/>
      <c r="O224" s="569">
        <v>151</v>
      </c>
      <c r="P224" s="697" t="e">
        <v>#N/A</v>
      </c>
      <c r="Q224" s="697" t="e">
        <v>#N/A</v>
      </c>
      <c r="R224" s="697" t="e">
        <v>#N/A</v>
      </c>
      <c r="S224" s="695" t="e">
        <f>IFERROR(Q224*($B$15/(Main!$N$31+Q224)),NA())</f>
        <v>#N/A</v>
      </c>
      <c r="T224" s="664" t="e">
        <f t="shared" ref="T224:T243" si="38">IFERROR(Q223-Q224,NA())</f>
        <v>#N/A</v>
      </c>
      <c r="U224" s="696" t="e">
        <f>IFERROR(($B$15/(Main!$N$31+Q224))^2*(Main!$N$31+Q224)*1000,NA())</f>
        <v>#N/A</v>
      </c>
      <c r="V224" s="274" t="e">
        <f t="shared" ref="V224:V243" si="39">IFERROR(((Q224-P224)/Q224)*-100,NA())</f>
        <v>#N/A</v>
      </c>
      <c r="W224" s="274" t="e">
        <f t="shared" ref="W224:W243" si="40">IFERROR(((R224-Q224)/Q224)*100,NA())</f>
        <v>#N/A</v>
      </c>
      <c r="X224" s="436"/>
      <c r="Y224" s="436"/>
      <c r="AM224" s="224"/>
      <c r="AN224" s="224"/>
      <c r="AO224" s="224"/>
      <c r="AP224" s="224"/>
      <c r="AQ224" s="179"/>
      <c r="AR224" s="224"/>
      <c r="AS224" s="224"/>
      <c r="AT224" s="224"/>
    </row>
    <row r="225" spans="1:46" ht="15.75" x14ac:dyDescent="0.25">
      <c r="A225" s="505">
        <v>193</v>
      </c>
      <c r="B225" s="506">
        <v>152</v>
      </c>
      <c r="C225" s="664" t="e">
        <f>IFERROR('Device Resistance Tables'!C212,NA())</f>
        <v>#N/A</v>
      </c>
      <c r="D225" s="554" t="e">
        <f>IFERROR('Device Resistance Tables'!D212,NA())</f>
        <v>#N/A</v>
      </c>
      <c r="E225" s="664" t="e">
        <f>IFERROR('Device Resistance Tables'!F212,NA())</f>
        <v>#N/A</v>
      </c>
      <c r="F225" s="690" t="e">
        <f>IFERROR(D225*($B$15/(Main!$N$31+D225)),NA())</f>
        <v>#N/A</v>
      </c>
      <c r="G225" s="690" t="e">
        <f>IFERROR($B$16*($B$15/(Main!$N$31+D225)),NA())</f>
        <v>#N/A</v>
      </c>
      <c r="H225" s="664" t="e">
        <f t="shared" si="34"/>
        <v>#N/A</v>
      </c>
      <c r="I225" s="691" t="e">
        <f t="shared" si="33"/>
        <v>#N/A</v>
      </c>
      <c r="J225" s="690" t="e">
        <f>IFERROR(($B$15/(Main!$N$31+D225))^2*(Main!$N$31+D225)*1000,NA())</f>
        <v>#N/A</v>
      </c>
      <c r="K225" s="274" t="e">
        <f t="shared" si="35"/>
        <v>#N/A</v>
      </c>
      <c r="L225" s="274" t="e">
        <f t="shared" si="36"/>
        <v>#N/A</v>
      </c>
      <c r="M225" s="271" t="e">
        <f t="shared" si="37"/>
        <v>#N/A</v>
      </c>
      <c r="N225" s="692"/>
      <c r="O225" s="569">
        <v>152</v>
      </c>
      <c r="P225" s="697" t="e">
        <v>#N/A</v>
      </c>
      <c r="Q225" s="697" t="e">
        <v>#N/A</v>
      </c>
      <c r="R225" s="697" t="e">
        <v>#N/A</v>
      </c>
      <c r="S225" s="695" t="e">
        <f>IFERROR(Q225*($B$15/(Main!$N$31+Q225)),NA())</f>
        <v>#N/A</v>
      </c>
      <c r="T225" s="664" t="e">
        <f t="shared" si="38"/>
        <v>#N/A</v>
      </c>
      <c r="U225" s="696" t="e">
        <f>IFERROR(($B$15/(Main!$N$31+Q225))^2*(Main!$N$31+Q225)*1000,NA())</f>
        <v>#N/A</v>
      </c>
      <c r="V225" s="274" t="e">
        <f t="shared" si="39"/>
        <v>#N/A</v>
      </c>
      <c r="W225" s="274" t="e">
        <f t="shared" si="40"/>
        <v>#N/A</v>
      </c>
      <c r="X225" s="436"/>
      <c r="Y225" s="436"/>
      <c r="AM225" s="224"/>
      <c r="AN225" s="224"/>
      <c r="AO225" s="224"/>
      <c r="AP225" s="224"/>
      <c r="AQ225" s="179"/>
      <c r="AR225" s="224"/>
      <c r="AS225" s="224"/>
      <c r="AT225" s="224"/>
    </row>
    <row r="226" spans="1:46" ht="15.75" x14ac:dyDescent="0.25">
      <c r="A226" s="505">
        <v>194</v>
      </c>
      <c r="B226" s="506">
        <v>153</v>
      </c>
      <c r="C226" s="664" t="e">
        <f>IFERROR('Device Resistance Tables'!C213,NA())</f>
        <v>#N/A</v>
      </c>
      <c r="D226" s="554" t="e">
        <f>IFERROR('Device Resistance Tables'!D213,NA())</f>
        <v>#N/A</v>
      </c>
      <c r="E226" s="664" t="e">
        <f>IFERROR('Device Resistance Tables'!F213,NA())</f>
        <v>#N/A</v>
      </c>
      <c r="F226" s="690" t="e">
        <f>IFERROR(D226*($B$15/(Main!$N$31+D226)),NA())</f>
        <v>#N/A</v>
      </c>
      <c r="G226" s="690" t="e">
        <f>IFERROR($B$16*($B$15/(Main!$N$31+D226)),NA())</f>
        <v>#N/A</v>
      </c>
      <c r="H226" s="664" t="e">
        <f t="shared" si="34"/>
        <v>#N/A</v>
      </c>
      <c r="I226" s="691" t="e">
        <f t="shared" si="33"/>
        <v>#N/A</v>
      </c>
      <c r="J226" s="690" t="e">
        <f>IFERROR(($B$15/(Main!$N$31+D226))^2*(Main!$N$31+D226)*1000,NA())</f>
        <v>#N/A</v>
      </c>
      <c r="K226" s="274" t="e">
        <f t="shared" si="35"/>
        <v>#N/A</v>
      </c>
      <c r="L226" s="274" t="e">
        <f t="shared" si="36"/>
        <v>#N/A</v>
      </c>
      <c r="M226" s="271" t="e">
        <f t="shared" si="37"/>
        <v>#N/A</v>
      </c>
      <c r="N226" s="692"/>
      <c r="O226" s="569">
        <v>153</v>
      </c>
      <c r="P226" s="697" t="e">
        <v>#N/A</v>
      </c>
      <c r="Q226" s="697" t="e">
        <v>#N/A</v>
      </c>
      <c r="R226" s="697" t="e">
        <v>#N/A</v>
      </c>
      <c r="S226" s="695" t="e">
        <f>IFERROR(Q226*($B$15/(Main!$N$31+Q226)),NA())</f>
        <v>#N/A</v>
      </c>
      <c r="T226" s="664" t="e">
        <f t="shared" si="38"/>
        <v>#N/A</v>
      </c>
      <c r="U226" s="696" t="e">
        <f>IFERROR(($B$15/(Main!$N$31+Q226))^2*(Main!$N$31+Q226)*1000,NA())</f>
        <v>#N/A</v>
      </c>
      <c r="V226" s="274" t="e">
        <f t="shared" si="39"/>
        <v>#N/A</v>
      </c>
      <c r="W226" s="274" t="e">
        <f t="shared" si="40"/>
        <v>#N/A</v>
      </c>
      <c r="X226" s="436"/>
      <c r="Y226" s="436"/>
      <c r="AM226" s="224"/>
      <c r="AN226" s="224"/>
      <c r="AO226" s="224"/>
      <c r="AP226" s="224"/>
      <c r="AQ226" s="179"/>
      <c r="AR226" s="224"/>
      <c r="AS226" s="224"/>
      <c r="AT226" s="224"/>
    </row>
    <row r="227" spans="1:46" ht="15.75" x14ac:dyDescent="0.25">
      <c r="A227" s="505">
        <v>195</v>
      </c>
      <c r="B227" s="506">
        <v>154</v>
      </c>
      <c r="C227" s="664" t="e">
        <f>IFERROR('Device Resistance Tables'!C214,NA())</f>
        <v>#N/A</v>
      </c>
      <c r="D227" s="554" t="e">
        <f>IFERROR('Device Resistance Tables'!D214,NA())</f>
        <v>#N/A</v>
      </c>
      <c r="E227" s="664" t="e">
        <f>IFERROR('Device Resistance Tables'!F214,NA())</f>
        <v>#N/A</v>
      </c>
      <c r="F227" s="690" t="e">
        <f>IFERROR(D227*($B$15/(Main!$N$31+D227)),NA())</f>
        <v>#N/A</v>
      </c>
      <c r="G227" s="690" t="e">
        <f>IFERROR($B$16*($B$15/(Main!$N$31+D227)),NA())</f>
        <v>#N/A</v>
      </c>
      <c r="H227" s="664" t="e">
        <f t="shared" si="34"/>
        <v>#N/A</v>
      </c>
      <c r="I227" s="691" t="e">
        <f t="shared" si="33"/>
        <v>#N/A</v>
      </c>
      <c r="J227" s="690" t="e">
        <f>IFERROR(($B$15/(Main!$N$31+D227))^2*(Main!$N$31+D227)*1000,NA())</f>
        <v>#N/A</v>
      </c>
      <c r="K227" s="274" t="e">
        <f t="shared" si="35"/>
        <v>#N/A</v>
      </c>
      <c r="L227" s="274" t="e">
        <f t="shared" si="36"/>
        <v>#N/A</v>
      </c>
      <c r="M227" s="271" t="e">
        <f t="shared" si="37"/>
        <v>#N/A</v>
      </c>
      <c r="N227" s="692"/>
      <c r="O227" s="569">
        <v>154</v>
      </c>
      <c r="P227" s="697" t="e">
        <v>#N/A</v>
      </c>
      <c r="Q227" s="697" t="e">
        <v>#N/A</v>
      </c>
      <c r="R227" s="697" t="e">
        <v>#N/A</v>
      </c>
      <c r="S227" s="695" t="e">
        <f>IFERROR(Q227*($B$15/(Main!$N$31+Q227)),NA())</f>
        <v>#N/A</v>
      </c>
      <c r="T227" s="664" t="e">
        <f t="shared" si="38"/>
        <v>#N/A</v>
      </c>
      <c r="U227" s="696" t="e">
        <f>IFERROR(($B$15/(Main!$N$31+Q227))^2*(Main!$N$31+Q227)*1000,NA())</f>
        <v>#N/A</v>
      </c>
      <c r="V227" s="274" t="e">
        <f t="shared" si="39"/>
        <v>#N/A</v>
      </c>
      <c r="W227" s="274" t="e">
        <f t="shared" si="40"/>
        <v>#N/A</v>
      </c>
      <c r="X227" s="436"/>
      <c r="Y227" s="436"/>
      <c r="AM227" s="224"/>
      <c r="AN227" s="224"/>
      <c r="AO227" s="224"/>
      <c r="AP227" s="224"/>
      <c r="AQ227" s="179"/>
      <c r="AR227" s="224"/>
      <c r="AS227" s="224"/>
      <c r="AT227" s="224"/>
    </row>
    <row r="228" spans="1:46" ht="15.75" x14ac:dyDescent="0.25">
      <c r="A228" s="505">
        <v>196</v>
      </c>
      <c r="B228" s="506">
        <v>155</v>
      </c>
      <c r="C228" s="664" t="e">
        <f>IFERROR('Device Resistance Tables'!C215,NA())</f>
        <v>#N/A</v>
      </c>
      <c r="D228" s="554" t="e">
        <f>IFERROR('Device Resistance Tables'!D215,NA())</f>
        <v>#N/A</v>
      </c>
      <c r="E228" s="664" t="e">
        <f>IFERROR('Device Resistance Tables'!F215,NA())</f>
        <v>#N/A</v>
      </c>
      <c r="F228" s="690" t="e">
        <f>IFERROR(D228*($B$15/(Main!$N$31+D228)),NA())</f>
        <v>#N/A</v>
      </c>
      <c r="G228" s="690" t="e">
        <f>IFERROR($B$16*($B$15/(Main!$N$31+D228)),NA())</f>
        <v>#N/A</v>
      </c>
      <c r="H228" s="664" t="e">
        <f t="shared" si="34"/>
        <v>#N/A</v>
      </c>
      <c r="I228" s="691" t="e">
        <f t="shared" si="33"/>
        <v>#N/A</v>
      </c>
      <c r="J228" s="690" t="e">
        <f>IFERROR(($B$15/(Main!$N$31+D228))^2*(Main!$N$31+D228)*1000,NA())</f>
        <v>#N/A</v>
      </c>
      <c r="K228" s="274" t="e">
        <f t="shared" si="35"/>
        <v>#N/A</v>
      </c>
      <c r="L228" s="274" t="e">
        <f t="shared" si="36"/>
        <v>#N/A</v>
      </c>
      <c r="M228" s="271" t="e">
        <f t="shared" si="37"/>
        <v>#N/A</v>
      </c>
      <c r="N228" s="692"/>
      <c r="O228" s="569">
        <v>155</v>
      </c>
      <c r="P228" s="697" t="e">
        <v>#N/A</v>
      </c>
      <c r="Q228" s="697" t="e">
        <v>#N/A</v>
      </c>
      <c r="R228" s="697" t="e">
        <v>#N/A</v>
      </c>
      <c r="S228" s="695" t="e">
        <f>IFERROR(Q228*($B$15/(Main!$N$31+Q228)),NA())</f>
        <v>#N/A</v>
      </c>
      <c r="T228" s="664" t="e">
        <f t="shared" si="38"/>
        <v>#N/A</v>
      </c>
      <c r="U228" s="696" t="e">
        <f>IFERROR(($B$15/(Main!$N$31+Q228))^2*(Main!$N$31+Q228)*1000,NA())</f>
        <v>#N/A</v>
      </c>
      <c r="V228" s="274" t="e">
        <f t="shared" si="39"/>
        <v>#N/A</v>
      </c>
      <c r="W228" s="274" t="e">
        <f t="shared" si="40"/>
        <v>#N/A</v>
      </c>
      <c r="X228" s="436"/>
      <c r="Y228" s="436"/>
      <c r="AM228" s="224"/>
      <c r="AN228" s="224"/>
      <c r="AO228" s="224"/>
      <c r="AP228" s="224"/>
      <c r="AQ228" s="179"/>
      <c r="AR228" s="224"/>
      <c r="AS228" s="224"/>
      <c r="AT228" s="224"/>
    </row>
    <row r="229" spans="1:46" ht="15.75" x14ac:dyDescent="0.25">
      <c r="A229" s="505">
        <v>197</v>
      </c>
      <c r="B229" s="506">
        <v>156</v>
      </c>
      <c r="C229" s="664" t="e">
        <f>IFERROR('Device Resistance Tables'!C216,NA())</f>
        <v>#N/A</v>
      </c>
      <c r="D229" s="554" t="e">
        <f>IFERROR('Device Resistance Tables'!D216,NA())</f>
        <v>#N/A</v>
      </c>
      <c r="E229" s="664" t="e">
        <f>IFERROR('Device Resistance Tables'!F216,NA())</f>
        <v>#N/A</v>
      </c>
      <c r="F229" s="690" t="e">
        <f>IFERROR(D229*($B$15/(Main!$N$31+D229)),NA())</f>
        <v>#N/A</v>
      </c>
      <c r="G229" s="690" t="e">
        <f>IFERROR($B$16*($B$15/(Main!$N$31+D229)),NA())</f>
        <v>#N/A</v>
      </c>
      <c r="H229" s="664" t="e">
        <f t="shared" si="34"/>
        <v>#N/A</v>
      </c>
      <c r="I229" s="691" t="e">
        <f t="shared" si="33"/>
        <v>#N/A</v>
      </c>
      <c r="J229" s="690" t="e">
        <f>IFERROR(($B$15/(Main!$N$31+D229))^2*(Main!$N$31+D229)*1000,NA())</f>
        <v>#N/A</v>
      </c>
      <c r="K229" s="274" t="e">
        <f t="shared" si="35"/>
        <v>#N/A</v>
      </c>
      <c r="L229" s="274" t="e">
        <f t="shared" si="36"/>
        <v>#N/A</v>
      </c>
      <c r="M229" s="271" t="e">
        <f t="shared" si="37"/>
        <v>#N/A</v>
      </c>
      <c r="N229" s="692"/>
      <c r="O229" s="569">
        <v>156</v>
      </c>
      <c r="P229" s="697" t="e">
        <v>#N/A</v>
      </c>
      <c r="Q229" s="697" t="e">
        <v>#N/A</v>
      </c>
      <c r="R229" s="697" t="e">
        <v>#N/A</v>
      </c>
      <c r="S229" s="695" t="e">
        <f>IFERROR(Q229*($B$15/(Main!$N$31+Q229)),NA())</f>
        <v>#N/A</v>
      </c>
      <c r="T229" s="664" t="e">
        <f t="shared" si="38"/>
        <v>#N/A</v>
      </c>
      <c r="U229" s="696" t="e">
        <f>IFERROR(($B$15/(Main!$N$31+Q229))^2*(Main!$N$31+Q229)*1000,NA())</f>
        <v>#N/A</v>
      </c>
      <c r="V229" s="274" t="e">
        <f t="shared" si="39"/>
        <v>#N/A</v>
      </c>
      <c r="W229" s="274" t="e">
        <f t="shared" si="40"/>
        <v>#N/A</v>
      </c>
      <c r="X229" s="436"/>
      <c r="Y229" s="436"/>
      <c r="AM229" s="224"/>
      <c r="AN229" s="224"/>
      <c r="AO229" s="224"/>
      <c r="AP229" s="224"/>
      <c r="AQ229" s="179"/>
      <c r="AR229" s="224"/>
      <c r="AS229" s="224"/>
      <c r="AT229" s="224"/>
    </row>
    <row r="230" spans="1:46" ht="15.75" x14ac:dyDescent="0.25">
      <c r="A230" s="505">
        <v>198</v>
      </c>
      <c r="B230" s="506">
        <v>157</v>
      </c>
      <c r="C230" s="664" t="e">
        <f>IFERROR('Device Resistance Tables'!C217,NA())</f>
        <v>#N/A</v>
      </c>
      <c r="D230" s="554" t="e">
        <f>IFERROR('Device Resistance Tables'!D217,NA())</f>
        <v>#N/A</v>
      </c>
      <c r="E230" s="664" t="e">
        <f>IFERROR('Device Resistance Tables'!F217,NA())</f>
        <v>#N/A</v>
      </c>
      <c r="F230" s="690" t="e">
        <f>IFERROR(D230*($B$15/(Main!$N$31+D230)),NA())</f>
        <v>#N/A</v>
      </c>
      <c r="G230" s="690" t="e">
        <f>IFERROR($B$16*($B$15/(Main!$N$31+D230)),NA())</f>
        <v>#N/A</v>
      </c>
      <c r="H230" s="664" t="e">
        <f t="shared" si="34"/>
        <v>#N/A</v>
      </c>
      <c r="I230" s="691" t="e">
        <f t="shared" si="33"/>
        <v>#N/A</v>
      </c>
      <c r="J230" s="690" t="e">
        <f>IFERROR(($B$15/(Main!$N$31+D230))^2*(Main!$N$31+D230)*1000,NA())</f>
        <v>#N/A</v>
      </c>
      <c r="K230" s="274" t="e">
        <f t="shared" si="35"/>
        <v>#N/A</v>
      </c>
      <c r="L230" s="274" t="e">
        <f t="shared" si="36"/>
        <v>#N/A</v>
      </c>
      <c r="M230" s="271" t="e">
        <f t="shared" si="37"/>
        <v>#N/A</v>
      </c>
      <c r="N230" s="692"/>
      <c r="O230" s="569">
        <v>157</v>
      </c>
      <c r="P230" s="697" t="e">
        <v>#N/A</v>
      </c>
      <c r="Q230" s="697" t="e">
        <v>#N/A</v>
      </c>
      <c r="R230" s="697" t="e">
        <v>#N/A</v>
      </c>
      <c r="S230" s="695" t="e">
        <f>IFERROR(Q230*($B$15/(Main!$N$31+Q230)),NA())</f>
        <v>#N/A</v>
      </c>
      <c r="T230" s="664" t="e">
        <f t="shared" si="38"/>
        <v>#N/A</v>
      </c>
      <c r="U230" s="696" t="e">
        <f>IFERROR(($B$15/(Main!$N$31+Q230))^2*(Main!$N$31+Q230)*1000,NA())</f>
        <v>#N/A</v>
      </c>
      <c r="V230" s="274" t="e">
        <f t="shared" si="39"/>
        <v>#N/A</v>
      </c>
      <c r="W230" s="274" t="e">
        <f t="shared" si="40"/>
        <v>#N/A</v>
      </c>
      <c r="X230" s="436"/>
      <c r="Y230" s="436"/>
      <c r="AM230" s="224"/>
      <c r="AN230" s="224"/>
      <c r="AO230" s="224"/>
      <c r="AP230" s="224"/>
      <c r="AQ230" s="179"/>
      <c r="AR230" s="224"/>
      <c r="AS230" s="224"/>
      <c r="AT230" s="224"/>
    </row>
    <row r="231" spans="1:46" ht="15.75" x14ac:dyDescent="0.25">
      <c r="A231" s="505">
        <v>199</v>
      </c>
      <c r="B231" s="506">
        <v>158</v>
      </c>
      <c r="C231" s="664" t="e">
        <f>IFERROR('Device Resistance Tables'!C218,NA())</f>
        <v>#N/A</v>
      </c>
      <c r="D231" s="554" t="e">
        <f>IFERROR('Device Resistance Tables'!D218,NA())</f>
        <v>#N/A</v>
      </c>
      <c r="E231" s="664" t="e">
        <f>IFERROR('Device Resistance Tables'!F218,NA())</f>
        <v>#N/A</v>
      </c>
      <c r="F231" s="690" t="e">
        <f>IFERROR(D231*($B$15/(Main!$N$31+D231)),NA())</f>
        <v>#N/A</v>
      </c>
      <c r="G231" s="690" t="e">
        <f>IFERROR($B$16*($B$15/(Main!$N$31+D231)),NA())</f>
        <v>#N/A</v>
      </c>
      <c r="H231" s="664" t="e">
        <f t="shared" si="34"/>
        <v>#N/A</v>
      </c>
      <c r="I231" s="691" t="e">
        <f t="shared" si="33"/>
        <v>#N/A</v>
      </c>
      <c r="J231" s="690" t="e">
        <f>IFERROR(($B$15/(Main!$N$31+D231))^2*(Main!$N$31+D231)*1000,NA())</f>
        <v>#N/A</v>
      </c>
      <c r="K231" s="274" t="e">
        <f t="shared" si="35"/>
        <v>#N/A</v>
      </c>
      <c r="L231" s="274" t="e">
        <f t="shared" si="36"/>
        <v>#N/A</v>
      </c>
      <c r="M231" s="271" t="e">
        <f t="shared" si="37"/>
        <v>#N/A</v>
      </c>
      <c r="N231" s="692"/>
      <c r="O231" s="569">
        <v>158</v>
      </c>
      <c r="P231" s="697" t="e">
        <v>#N/A</v>
      </c>
      <c r="Q231" s="697" t="e">
        <v>#N/A</v>
      </c>
      <c r="R231" s="697" t="e">
        <v>#N/A</v>
      </c>
      <c r="S231" s="695" t="e">
        <f>IFERROR(Q231*($B$15/(Main!$N$31+Q231)),NA())</f>
        <v>#N/A</v>
      </c>
      <c r="T231" s="664" t="e">
        <f t="shared" si="38"/>
        <v>#N/A</v>
      </c>
      <c r="U231" s="696" t="e">
        <f>IFERROR(($B$15/(Main!$N$31+Q231))^2*(Main!$N$31+Q231)*1000,NA())</f>
        <v>#N/A</v>
      </c>
      <c r="V231" s="274" t="e">
        <f t="shared" si="39"/>
        <v>#N/A</v>
      </c>
      <c r="W231" s="274" t="e">
        <f t="shared" si="40"/>
        <v>#N/A</v>
      </c>
      <c r="X231" s="436"/>
      <c r="Y231" s="436"/>
      <c r="AM231" s="224"/>
      <c r="AN231" s="224"/>
      <c r="AO231" s="224"/>
      <c r="AP231" s="224"/>
      <c r="AQ231" s="179"/>
      <c r="AR231" s="224"/>
      <c r="AS231" s="224"/>
      <c r="AT231" s="224"/>
    </row>
    <row r="232" spans="1:46" ht="15.75" x14ac:dyDescent="0.25">
      <c r="A232" s="505">
        <v>200</v>
      </c>
      <c r="B232" s="506">
        <v>159</v>
      </c>
      <c r="C232" s="664" t="e">
        <f>IFERROR('Device Resistance Tables'!C219,NA())</f>
        <v>#N/A</v>
      </c>
      <c r="D232" s="554" t="e">
        <f>IFERROR('Device Resistance Tables'!D219,NA())</f>
        <v>#N/A</v>
      </c>
      <c r="E232" s="664" t="e">
        <f>IFERROR('Device Resistance Tables'!F219,NA())</f>
        <v>#N/A</v>
      </c>
      <c r="F232" s="690" t="e">
        <f>IFERROR(D232*($B$15/(Main!$N$31+D232)),NA())</f>
        <v>#N/A</v>
      </c>
      <c r="G232" s="690" t="e">
        <f>IFERROR($B$16*($B$15/(Main!$N$31+D232)),NA())</f>
        <v>#N/A</v>
      </c>
      <c r="H232" s="664" t="e">
        <f t="shared" si="34"/>
        <v>#N/A</v>
      </c>
      <c r="I232" s="691" t="e">
        <f t="shared" si="33"/>
        <v>#N/A</v>
      </c>
      <c r="J232" s="690" t="e">
        <f>IFERROR(($B$15/(Main!$N$31+D232))^2*(Main!$N$31+D232)*1000,NA())</f>
        <v>#N/A</v>
      </c>
      <c r="K232" s="274" t="e">
        <f t="shared" si="35"/>
        <v>#N/A</v>
      </c>
      <c r="L232" s="274" t="e">
        <f t="shared" si="36"/>
        <v>#N/A</v>
      </c>
      <c r="M232" s="271" t="e">
        <f t="shared" si="37"/>
        <v>#N/A</v>
      </c>
      <c r="N232" s="692"/>
      <c r="O232" s="569">
        <v>159</v>
      </c>
      <c r="P232" s="697" t="e">
        <v>#N/A</v>
      </c>
      <c r="Q232" s="697" t="e">
        <v>#N/A</v>
      </c>
      <c r="R232" s="697" t="e">
        <v>#N/A</v>
      </c>
      <c r="S232" s="695" t="e">
        <f>IFERROR(Q232*($B$15/(Main!$N$31+Q232)),NA())</f>
        <v>#N/A</v>
      </c>
      <c r="T232" s="664" t="e">
        <f t="shared" si="38"/>
        <v>#N/A</v>
      </c>
      <c r="U232" s="696" t="e">
        <f>IFERROR(($B$15/(Main!$N$31+Q232))^2*(Main!$N$31+Q232)*1000,NA())</f>
        <v>#N/A</v>
      </c>
      <c r="V232" s="274" t="e">
        <f t="shared" si="39"/>
        <v>#N/A</v>
      </c>
      <c r="W232" s="274" t="e">
        <f t="shared" si="40"/>
        <v>#N/A</v>
      </c>
      <c r="X232" s="436"/>
      <c r="Y232" s="436"/>
      <c r="AM232" s="224"/>
      <c r="AN232" s="224"/>
      <c r="AO232" s="224"/>
      <c r="AP232" s="224"/>
      <c r="AQ232" s="179"/>
      <c r="AR232" s="224"/>
      <c r="AS232" s="224"/>
      <c r="AT232" s="224"/>
    </row>
    <row r="233" spans="1:46" ht="15.75" x14ac:dyDescent="0.25">
      <c r="A233" s="505">
        <v>201</v>
      </c>
      <c r="B233" s="506">
        <v>160</v>
      </c>
      <c r="C233" s="664" t="e">
        <f>IFERROR('Device Resistance Tables'!C220,NA())</f>
        <v>#N/A</v>
      </c>
      <c r="D233" s="554" t="e">
        <f>IFERROR('Device Resistance Tables'!D220,NA())</f>
        <v>#N/A</v>
      </c>
      <c r="E233" s="664" t="e">
        <f>IFERROR('Device Resistance Tables'!F220,NA())</f>
        <v>#N/A</v>
      </c>
      <c r="F233" s="690" t="e">
        <f>IFERROR(D233*($B$15/(Main!$N$31+D233)),NA())</f>
        <v>#N/A</v>
      </c>
      <c r="G233" s="690" t="e">
        <f>IFERROR($B$16*($B$15/(Main!$N$31+D233)),NA())</f>
        <v>#N/A</v>
      </c>
      <c r="H233" s="664" t="e">
        <f t="shared" si="34"/>
        <v>#N/A</v>
      </c>
      <c r="I233" s="691" t="e">
        <f t="shared" si="33"/>
        <v>#N/A</v>
      </c>
      <c r="J233" s="690" t="e">
        <f>IFERROR(($B$15/(Main!$N$31+D233))^2*(Main!$N$31+D233)*1000,NA())</f>
        <v>#N/A</v>
      </c>
      <c r="K233" s="274" t="e">
        <f t="shared" si="35"/>
        <v>#N/A</v>
      </c>
      <c r="L233" s="274" t="e">
        <f t="shared" si="36"/>
        <v>#N/A</v>
      </c>
      <c r="M233" s="271" t="e">
        <f t="shared" si="37"/>
        <v>#N/A</v>
      </c>
      <c r="N233" s="692"/>
      <c r="O233" s="569">
        <v>160</v>
      </c>
      <c r="P233" s="697" t="e">
        <v>#N/A</v>
      </c>
      <c r="Q233" s="697" t="e">
        <v>#N/A</v>
      </c>
      <c r="R233" s="697" t="e">
        <v>#N/A</v>
      </c>
      <c r="S233" s="695" t="e">
        <f>IFERROR(Q233*($B$15/(Main!$N$31+Q233)),NA())</f>
        <v>#N/A</v>
      </c>
      <c r="T233" s="664" t="e">
        <f t="shared" si="38"/>
        <v>#N/A</v>
      </c>
      <c r="U233" s="696" t="e">
        <f>IFERROR(($B$15/(Main!$N$31+Q233))^2*(Main!$N$31+Q233)*1000,NA())</f>
        <v>#N/A</v>
      </c>
      <c r="V233" s="274" t="e">
        <f t="shared" si="39"/>
        <v>#N/A</v>
      </c>
      <c r="W233" s="274" t="e">
        <f t="shared" si="40"/>
        <v>#N/A</v>
      </c>
      <c r="X233" s="436"/>
      <c r="Y233" s="436"/>
      <c r="AM233" s="224"/>
      <c r="AN233" s="224"/>
      <c r="AO233" s="224"/>
      <c r="AP233" s="224"/>
      <c r="AQ233" s="179"/>
      <c r="AR233" s="224"/>
      <c r="AS233" s="224"/>
      <c r="AT233" s="224"/>
    </row>
    <row r="234" spans="1:46" ht="15.75" x14ac:dyDescent="0.25">
      <c r="A234" s="505">
        <v>202</v>
      </c>
      <c r="B234" s="506">
        <v>161</v>
      </c>
      <c r="C234" s="664" t="e">
        <f>IFERROR('Device Resistance Tables'!C221,NA())</f>
        <v>#N/A</v>
      </c>
      <c r="D234" s="554" t="e">
        <f>IFERROR('Device Resistance Tables'!D221,NA())</f>
        <v>#N/A</v>
      </c>
      <c r="E234" s="664" t="e">
        <f>IFERROR('Device Resistance Tables'!F221,NA())</f>
        <v>#N/A</v>
      </c>
      <c r="F234" s="690" t="e">
        <f>IFERROR(D234*($B$15/(Main!$N$31+D234)),NA())</f>
        <v>#N/A</v>
      </c>
      <c r="G234" s="690" t="e">
        <f>IFERROR($B$16*($B$15/(Main!$N$31+D234)),NA())</f>
        <v>#N/A</v>
      </c>
      <c r="H234" s="664" t="e">
        <f t="shared" si="34"/>
        <v>#N/A</v>
      </c>
      <c r="I234" s="691" t="e">
        <f t="shared" si="33"/>
        <v>#N/A</v>
      </c>
      <c r="J234" s="690" t="e">
        <f>IFERROR(($B$15/(Main!$N$31+D234))^2*(Main!$N$31+D234)*1000,NA())</f>
        <v>#N/A</v>
      </c>
      <c r="K234" s="274" t="e">
        <f t="shared" si="35"/>
        <v>#N/A</v>
      </c>
      <c r="L234" s="274" t="e">
        <f t="shared" si="36"/>
        <v>#N/A</v>
      </c>
      <c r="M234" s="271" t="e">
        <f t="shared" si="37"/>
        <v>#N/A</v>
      </c>
      <c r="N234" s="692"/>
      <c r="O234" s="569">
        <v>161</v>
      </c>
      <c r="P234" s="697" t="e">
        <v>#N/A</v>
      </c>
      <c r="Q234" s="697" t="e">
        <v>#N/A</v>
      </c>
      <c r="R234" s="697" t="e">
        <v>#N/A</v>
      </c>
      <c r="S234" s="695" t="e">
        <f>IFERROR(Q234*($B$15/(Main!$N$31+Q234)),NA())</f>
        <v>#N/A</v>
      </c>
      <c r="T234" s="664" t="e">
        <f t="shared" si="38"/>
        <v>#N/A</v>
      </c>
      <c r="U234" s="696" t="e">
        <f>IFERROR(($B$15/(Main!$N$31+Q234))^2*(Main!$N$31+Q234)*1000,NA())</f>
        <v>#N/A</v>
      </c>
      <c r="V234" s="274" t="e">
        <f t="shared" si="39"/>
        <v>#N/A</v>
      </c>
      <c r="W234" s="274" t="e">
        <f t="shared" si="40"/>
        <v>#N/A</v>
      </c>
      <c r="X234" s="436"/>
      <c r="Y234" s="436"/>
      <c r="AM234" s="224"/>
      <c r="AN234" s="224"/>
      <c r="AO234" s="224"/>
      <c r="AP234" s="224"/>
      <c r="AQ234" s="179"/>
      <c r="AR234" s="224"/>
      <c r="AS234" s="224"/>
      <c r="AT234" s="224"/>
    </row>
    <row r="235" spans="1:46" ht="15.75" x14ac:dyDescent="0.25">
      <c r="A235" s="505">
        <v>203</v>
      </c>
      <c r="B235" s="506">
        <v>162</v>
      </c>
      <c r="C235" s="664" t="e">
        <f>IFERROR('Device Resistance Tables'!C222,NA())</f>
        <v>#N/A</v>
      </c>
      <c r="D235" s="554" t="e">
        <f>IFERROR('Device Resistance Tables'!D222,NA())</f>
        <v>#N/A</v>
      </c>
      <c r="E235" s="664" t="e">
        <f>IFERROR('Device Resistance Tables'!F222,NA())</f>
        <v>#N/A</v>
      </c>
      <c r="F235" s="690" t="e">
        <f>IFERROR(D235*($B$15/(Main!$N$31+D235)),NA())</f>
        <v>#N/A</v>
      </c>
      <c r="G235" s="690" t="e">
        <f>IFERROR($B$16*($B$15/(Main!$N$31+D235)),NA())</f>
        <v>#N/A</v>
      </c>
      <c r="H235" s="664" t="e">
        <f t="shared" si="34"/>
        <v>#N/A</v>
      </c>
      <c r="I235" s="691" t="e">
        <f t="shared" si="33"/>
        <v>#N/A</v>
      </c>
      <c r="J235" s="690" t="e">
        <f>IFERROR(($B$15/(Main!$N$31+D235))^2*(Main!$N$31+D235)*1000,NA())</f>
        <v>#N/A</v>
      </c>
      <c r="K235" s="274" t="e">
        <f t="shared" si="35"/>
        <v>#N/A</v>
      </c>
      <c r="L235" s="274" t="e">
        <f t="shared" si="36"/>
        <v>#N/A</v>
      </c>
      <c r="M235" s="271" t="e">
        <f t="shared" si="37"/>
        <v>#N/A</v>
      </c>
      <c r="N235" s="692"/>
      <c r="O235" s="569">
        <v>162</v>
      </c>
      <c r="P235" s="697" t="e">
        <v>#N/A</v>
      </c>
      <c r="Q235" s="697" t="e">
        <v>#N/A</v>
      </c>
      <c r="R235" s="697" t="e">
        <v>#N/A</v>
      </c>
      <c r="S235" s="695" t="e">
        <f>IFERROR(Q235*($B$15/(Main!$N$31+Q235)),NA())</f>
        <v>#N/A</v>
      </c>
      <c r="T235" s="664" t="e">
        <f t="shared" si="38"/>
        <v>#N/A</v>
      </c>
      <c r="U235" s="696" t="e">
        <f>IFERROR(($B$15/(Main!$N$31+Q235))^2*(Main!$N$31+Q235)*1000,NA())</f>
        <v>#N/A</v>
      </c>
      <c r="V235" s="274" t="e">
        <f t="shared" si="39"/>
        <v>#N/A</v>
      </c>
      <c r="W235" s="274" t="e">
        <f t="shared" si="40"/>
        <v>#N/A</v>
      </c>
      <c r="X235" s="436"/>
      <c r="Y235" s="436"/>
      <c r="AM235" s="224"/>
      <c r="AN235" s="224"/>
      <c r="AO235" s="224"/>
      <c r="AP235" s="224"/>
      <c r="AQ235" s="179"/>
      <c r="AR235" s="224"/>
      <c r="AS235" s="224"/>
      <c r="AT235" s="224"/>
    </row>
    <row r="236" spans="1:46" ht="15.75" x14ac:dyDescent="0.25">
      <c r="A236" s="505">
        <v>204</v>
      </c>
      <c r="B236" s="506">
        <v>163</v>
      </c>
      <c r="C236" s="664" t="e">
        <f>IFERROR('Device Resistance Tables'!C223,NA())</f>
        <v>#N/A</v>
      </c>
      <c r="D236" s="554" t="e">
        <f>IFERROR('Device Resistance Tables'!D223,NA())</f>
        <v>#N/A</v>
      </c>
      <c r="E236" s="664" t="e">
        <f>IFERROR('Device Resistance Tables'!F223,NA())</f>
        <v>#N/A</v>
      </c>
      <c r="F236" s="690" t="e">
        <f>IFERROR(D236*($B$15/(Main!$N$31+D236)),NA())</f>
        <v>#N/A</v>
      </c>
      <c r="G236" s="690" t="e">
        <f>IFERROR($B$16*($B$15/(Main!$N$31+D236)),NA())</f>
        <v>#N/A</v>
      </c>
      <c r="H236" s="664" t="e">
        <f t="shared" si="34"/>
        <v>#N/A</v>
      </c>
      <c r="I236" s="691" t="e">
        <f t="shared" si="33"/>
        <v>#N/A</v>
      </c>
      <c r="J236" s="690" t="e">
        <f>IFERROR(($B$15/(Main!$N$31+D236))^2*(Main!$N$31+D236)*1000,NA())</f>
        <v>#N/A</v>
      </c>
      <c r="K236" s="274" t="e">
        <f t="shared" si="35"/>
        <v>#N/A</v>
      </c>
      <c r="L236" s="274" t="e">
        <f t="shared" si="36"/>
        <v>#N/A</v>
      </c>
      <c r="M236" s="271" t="e">
        <f t="shared" si="37"/>
        <v>#N/A</v>
      </c>
      <c r="N236" s="692"/>
      <c r="O236" s="569">
        <v>163</v>
      </c>
      <c r="P236" s="697" t="e">
        <v>#N/A</v>
      </c>
      <c r="Q236" s="697" t="e">
        <v>#N/A</v>
      </c>
      <c r="R236" s="697" t="e">
        <v>#N/A</v>
      </c>
      <c r="S236" s="695" t="e">
        <f>IFERROR(Q236*($B$15/(Main!$N$31+Q236)),NA())</f>
        <v>#N/A</v>
      </c>
      <c r="T236" s="664" t="e">
        <f t="shared" si="38"/>
        <v>#N/A</v>
      </c>
      <c r="U236" s="696" t="e">
        <f>IFERROR(($B$15/(Main!$N$31+Q236))^2*(Main!$N$31+Q236)*1000,NA())</f>
        <v>#N/A</v>
      </c>
      <c r="V236" s="274" t="e">
        <f t="shared" si="39"/>
        <v>#N/A</v>
      </c>
      <c r="W236" s="274" t="e">
        <f t="shared" si="40"/>
        <v>#N/A</v>
      </c>
      <c r="X236" s="436"/>
      <c r="Y236" s="436"/>
      <c r="AM236" s="224"/>
      <c r="AN236" s="224"/>
      <c r="AO236" s="224"/>
      <c r="AP236" s="224"/>
      <c r="AQ236" s="179"/>
      <c r="AR236" s="224"/>
      <c r="AS236" s="224"/>
      <c r="AT236" s="224"/>
    </row>
    <row r="237" spans="1:46" ht="15.75" x14ac:dyDescent="0.25">
      <c r="A237" s="505">
        <v>205</v>
      </c>
      <c r="B237" s="506">
        <v>164</v>
      </c>
      <c r="C237" s="664" t="e">
        <f>IFERROR('Device Resistance Tables'!C224,NA())</f>
        <v>#N/A</v>
      </c>
      <c r="D237" s="554" t="e">
        <f>IFERROR('Device Resistance Tables'!D224,NA())</f>
        <v>#N/A</v>
      </c>
      <c r="E237" s="664" t="e">
        <f>IFERROR('Device Resistance Tables'!F224,NA())</f>
        <v>#N/A</v>
      </c>
      <c r="F237" s="690" t="e">
        <f>IFERROR(D237*($B$15/(Main!$N$31+D237)),NA())</f>
        <v>#N/A</v>
      </c>
      <c r="G237" s="690" t="e">
        <f>IFERROR($B$16*($B$15/(Main!$N$31+D237)),NA())</f>
        <v>#N/A</v>
      </c>
      <c r="H237" s="664" t="e">
        <f t="shared" si="34"/>
        <v>#N/A</v>
      </c>
      <c r="I237" s="691" t="e">
        <f t="shared" si="33"/>
        <v>#N/A</v>
      </c>
      <c r="J237" s="690" t="e">
        <f>IFERROR(($B$15/(Main!$N$31+D237))^2*(Main!$N$31+D237)*1000,NA())</f>
        <v>#N/A</v>
      </c>
      <c r="K237" s="274" t="e">
        <f t="shared" si="35"/>
        <v>#N/A</v>
      </c>
      <c r="L237" s="274" t="e">
        <f t="shared" si="36"/>
        <v>#N/A</v>
      </c>
      <c r="M237" s="271" t="e">
        <f t="shared" si="37"/>
        <v>#N/A</v>
      </c>
      <c r="N237" s="692"/>
      <c r="O237" s="569">
        <v>164</v>
      </c>
      <c r="P237" s="697" t="e">
        <v>#N/A</v>
      </c>
      <c r="Q237" s="697" t="e">
        <v>#N/A</v>
      </c>
      <c r="R237" s="697" t="e">
        <v>#N/A</v>
      </c>
      <c r="S237" s="695" t="e">
        <f>IFERROR(Q237*($B$15/(Main!$N$31+Q237)),NA())</f>
        <v>#N/A</v>
      </c>
      <c r="T237" s="664" t="e">
        <f t="shared" si="38"/>
        <v>#N/A</v>
      </c>
      <c r="U237" s="696" t="e">
        <f>IFERROR(($B$15/(Main!$N$31+Q237))^2*(Main!$N$31+Q237)*1000,NA())</f>
        <v>#N/A</v>
      </c>
      <c r="V237" s="274" t="e">
        <f t="shared" si="39"/>
        <v>#N/A</v>
      </c>
      <c r="W237" s="274" t="e">
        <f t="shared" si="40"/>
        <v>#N/A</v>
      </c>
      <c r="X237" s="436"/>
      <c r="Y237" s="436"/>
      <c r="AM237" s="224"/>
      <c r="AN237" s="224"/>
      <c r="AO237" s="224"/>
      <c r="AP237" s="224"/>
      <c r="AQ237" s="179"/>
      <c r="AR237" s="224"/>
      <c r="AS237" s="224"/>
      <c r="AT237" s="224"/>
    </row>
    <row r="238" spans="1:46" ht="15.75" x14ac:dyDescent="0.25">
      <c r="A238" s="505">
        <v>206</v>
      </c>
      <c r="B238" s="506">
        <v>165</v>
      </c>
      <c r="C238" s="664" t="e">
        <f>IFERROR('Device Resistance Tables'!C225,NA())</f>
        <v>#N/A</v>
      </c>
      <c r="D238" s="554" t="e">
        <f>IFERROR('Device Resistance Tables'!D225,NA())</f>
        <v>#N/A</v>
      </c>
      <c r="E238" s="664" t="e">
        <f>IFERROR('Device Resistance Tables'!F225,NA())</f>
        <v>#N/A</v>
      </c>
      <c r="F238" s="690" t="e">
        <f>IFERROR(D238*($B$15/(Main!$N$31+D238)),NA())</f>
        <v>#N/A</v>
      </c>
      <c r="G238" s="690" t="e">
        <f>IFERROR($B$16*($B$15/(Main!$N$31+D238)),NA())</f>
        <v>#N/A</v>
      </c>
      <c r="H238" s="664" t="e">
        <f t="shared" si="34"/>
        <v>#N/A</v>
      </c>
      <c r="I238" s="691" t="e">
        <f t="shared" si="33"/>
        <v>#N/A</v>
      </c>
      <c r="J238" s="690" t="e">
        <f>IFERROR(($B$15/(Main!$N$31+D238))^2*(Main!$N$31+D238)*1000,NA())</f>
        <v>#N/A</v>
      </c>
      <c r="K238" s="274" t="e">
        <f t="shared" si="35"/>
        <v>#N/A</v>
      </c>
      <c r="L238" s="274" t="e">
        <f t="shared" si="36"/>
        <v>#N/A</v>
      </c>
      <c r="M238" s="271" t="e">
        <f t="shared" si="37"/>
        <v>#N/A</v>
      </c>
      <c r="N238" s="692"/>
      <c r="O238" s="569">
        <v>165</v>
      </c>
      <c r="P238" s="697" t="e">
        <v>#N/A</v>
      </c>
      <c r="Q238" s="697" t="e">
        <v>#N/A</v>
      </c>
      <c r="R238" s="697" t="e">
        <v>#N/A</v>
      </c>
      <c r="S238" s="695" t="e">
        <f>IFERROR(Q238*($B$15/(Main!$N$31+Q238)),NA())</f>
        <v>#N/A</v>
      </c>
      <c r="T238" s="664" t="e">
        <f t="shared" si="38"/>
        <v>#N/A</v>
      </c>
      <c r="U238" s="696" t="e">
        <f>IFERROR(($B$15/(Main!$N$31+Q238))^2*(Main!$N$31+Q238)*1000,NA())</f>
        <v>#N/A</v>
      </c>
      <c r="V238" s="274" t="e">
        <f t="shared" si="39"/>
        <v>#N/A</v>
      </c>
      <c r="W238" s="274" t="e">
        <f t="shared" si="40"/>
        <v>#N/A</v>
      </c>
      <c r="X238" s="436"/>
      <c r="Y238" s="436"/>
      <c r="AM238" s="224"/>
      <c r="AN238" s="224"/>
      <c r="AO238" s="224"/>
      <c r="AP238" s="224"/>
      <c r="AQ238" s="179"/>
      <c r="AR238" s="224"/>
      <c r="AS238" s="224"/>
      <c r="AT238" s="224"/>
    </row>
    <row r="239" spans="1:46" ht="15.75" x14ac:dyDescent="0.25">
      <c r="A239" s="505">
        <v>207</v>
      </c>
      <c r="B239" s="506">
        <v>166</v>
      </c>
      <c r="C239" s="664" t="e">
        <f>IFERROR('Device Resistance Tables'!C226,NA())</f>
        <v>#N/A</v>
      </c>
      <c r="D239" s="554" t="e">
        <f>IFERROR('Device Resistance Tables'!D226,NA())</f>
        <v>#N/A</v>
      </c>
      <c r="E239" s="664" t="e">
        <f>IFERROR('Device Resistance Tables'!F226,NA())</f>
        <v>#N/A</v>
      </c>
      <c r="F239" s="690" t="e">
        <f>IFERROR(D239*($B$15/(Main!$N$31+D239)),NA())</f>
        <v>#N/A</v>
      </c>
      <c r="G239" s="690" t="e">
        <f>IFERROR($B$16*($B$15/(Main!$N$31+D239)),NA())</f>
        <v>#N/A</v>
      </c>
      <c r="H239" s="664" t="e">
        <f t="shared" si="34"/>
        <v>#N/A</v>
      </c>
      <c r="I239" s="691" t="e">
        <f t="shared" si="33"/>
        <v>#N/A</v>
      </c>
      <c r="J239" s="690" t="e">
        <f>IFERROR(($B$15/(Main!$N$31+D239))^2*(Main!$N$31+D239)*1000,NA())</f>
        <v>#N/A</v>
      </c>
      <c r="K239" s="274" t="e">
        <f t="shared" si="35"/>
        <v>#N/A</v>
      </c>
      <c r="L239" s="274" t="e">
        <f t="shared" si="36"/>
        <v>#N/A</v>
      </c>
      <c r="M239" s="271" t="e">
        <f t="shared" si="37"/>
        <v>#N/A</v>
      </c>
      <c r="N239" s="692"/>
      <c r="O239" s="569">
        <v>166</v>
      </c>
      <c r="P239" s="697" t="e">
        <v>#N/A</v>
      </c>
      <c r="Q239" s="697" t="e">
        <v>#N/A</v>
      </c>
      <c r="R239" s="697" t="e">
        <v>#N/A</v>
      </c>
      <c r="S239" s="695" t="e">
        <f>IFERROR(Q239*($B$15/(Main!$N$31+Q239)),NA())</f>
        <v>#N/A</v>
      </c>
      <c r="T239" s="664" t="e">
        <f t="shared" si="38"/>
        <v>#N/A</v>
      </c>
      <c r="U239" s="696" t="e">
        <f>IFERROR(($B$15/(Main!$N$31+Q239))^2*(Main!$N$31+Q239)*1000,NA())</f>
        <v>#N/A</v>
      </c>
      <c r="V239" s="274" t="e">
        <f t="shared" si="39"/>
        <v>#N/A</v>
      </c>
      <c r="W239" s="274" t="e">
        <f t="shared" si="40"/>
        <v>#N/A</v>
      </c>
      <c r="X239" s="436"/>
      <c r="Y239" s="436"/>
      <c r="AM239" s="224"/>
      <c r="AN239" s="224"/>
      <c r="AO239" s="224"/>
      <c r="AP239" s="224"/>
      <c r="AQ239" s="179"/>
      <c r="AR239" s="224"/>
      <c r="AS239" s="224"/>
      <c r="AT239" s="224"/>
    </row>
    <row r="240" spans="1:46" ht="15.75" x14ac:dyDescent="0.25">
      <c r="A240" s="505">
        <v>208</v>
      </c>
      <c r="B240" s="506">
        <v>167</v>
      </c>
      <c r="C240" s="664" t="e">
        <f>IFERROR('Device Resistance Tables'!C227,NA())</f>
        <v>#N/A</v>
      </c>
      <c r="D240" s="554" t="e">
        <f>IFERROR('Device Resistance Tables'!D227,NA())</f>
        <v>#N/A</v>
      </c>
      <c r="E240" s="664" t="e">
        <f>IFERROR('Device Resistance Tables'!F227,NA())</f>
        <v>#N/A</v>
      </c>
      <c r="F240" s="690" t="e">
        <f>IFERROR(D240*($B$15/(Main!$N$31+D240)),NA())</f>
        <v>#N/A</v>
      </c>
      <c r="G240" s="690" t="e">
        <f>IFERROR($B$16*($B$15/(Main!$N$31+D240)),NA())</f>
        <v>#N/A</v>
      </c>
      <c r="H240" s="664" t="e">
        <f t="shared" si="34"/>
        <v>#N/A</v>
      </c>
      <c r="I240" s="691" t="e">
        <f t="shared" si="33"/>
        <v>#N/A</v>
      </c>
      <c r="J240" s="690" t="e">
        <f>IFERROR(($B$15/(Main!$N$31+D240))^2*(Main!$N$31+D240)*1000,NA())</f>
        <v>#N/A</v>
      </c>
      <c r="K240" s="274" t="e">
        <f t="shared" si="35"/>
        <v>#N/A</v>
      </c>
      <c r="L240" s="274" t="e">
        <f t="shared" si="36"/>
        <v>#N/A</v>
      </c>
      <c r="M240" s="271" t="e">
        <f t="shared" si="37"/>
        <v>#N/A</v>
      </c>
      <c r="N240" s="692"/>
      <c r="O240" s="569">
        <v>167</v>
      </c>
      <c r="P240" s="697" t="e">
        <v>#N/A</v>
      </c>
      <c r="Q240" s="697" t="e">
        <v>#N/A</v>
      </c>
      <c r="R240" s="697" t="e">
        <v>#N/A</v>
      </c>
      <c r="S240" s="695" t="e">
        <f>IFERROR(Q240*($B$15/(Main!$N$31+Q240)),NA())</f>
        <v>#N/A</v>
      </c>
      <c r="T240" s="664" t="e">
        <f t="shared" si="38"/>
        <v>#N/A</v>
      </c>
      <c r="U240" s="696" t="e">
        <f>IFERROR(($B$15/(Main!$N$31+Q240))^2*(Main!$N$31+Q240)*1000,NA())</f>
        <v>#N/A</v>
      </c>
      <c r="V240" s="274" t="e">
        <f t="shared" si="39"/>
        <v>#N/A</v>
      </c>
      <c r="W240" s="274" t="e">
        <f t="shared" si="40"/>
        <v>#N/A</v>
      </c>
      <c r="X240" s="436"/>
      <c r="Y240" s="436"/>
      <c r="AM240" s="224"/>
      <c r="AN240" s="224"/>
      <c r="AO240" s="224"/>
      <c r="AP240" s="224"/>
      <c r="AQ240" s="179"/>
      <c r="AR240" s="224"/>
      <c r="AS240" s="224"/>
      <c r="AT240" s="224"/>
    </row>
    <row r="241" spans="1:46" ht="15.75" x14ac:dyDescent="0.25">
      <c r="A241" s="505">
        <v>209</v>
      </c>
      <c r="B241" s="506">
        <v>168</v>
      </c>
      <c r="C241" s="664" t="e">
        <f>IFERROR('Device Resistance Tables'!C228,NA())</f>
        <v>#N/A</v>
      </c>
      <c r="D241" s="554" t="e">
        <f>IFERROR('Device Resistance Tables'!D228,NA())</f>
        <v>#N/A</v>
      </c>
      <c r="E241" s="664" t="e">
        <f>IFERROR('Device Resistance Tables'!F228,NA())</f>
        <v>#N/A</v>
      </c>
      <c r="F241" s="690" t="e">
        <f>IFERROR(D241*($B$15/(Main!$N$31+D241)),NA())</f>
        <v>#N/A</v>
      </c>
      <c r="G241" s="690" t="e">
        <f>IFERROR($B$16*($B$15/(Main!$N$31+D241)),NA())</f>
        <v>#N/A</v>
      </c>
      <c r="H241" s="664" t="e">
        <f t="shared" si="34"/>
        <v>#N/A</v>
      </c>
      <c r="I241" s="691" t="e">
        <f t="shared" si="33"/>
        <v>#N/A</v>
      </c>
      <c r="J241" s="690" t="e">
        <f>IFERROR(($B$15/(Main!$N$31+D241))^2*(Main!$N$31+D241)*1000,NA())</f>
        <v>#N/A</v>
      </c>
      <c r="K241" s="274" t="e">
        <f t="shared" si="35"/>
        <v>#N/A</v>
      </c>
      <c r="L241" s="274" t="e">
        <f t="shared" si="36"/>
        <v>#N/A</v>
      </c>
      <c r="M241" s="271" t="e">
        <f t="shared" si="37"/>
        <v>#N/A</v>
      </c>
      <c r="N241" s="692"/>
      <c r="O241" s="569">
        <v>168</v>
      </c>
      <c r="P241" s="697" t="e">
        <v>#N/A</v>
      </c>
      <c r="Q241" s="697" t="e">
        <v>#N/A</v>
      </c>
      <c r="R241" s="697" t="e">
        <v>#N/A</v>
      </c>
      <c r="S241" s="695" t="e">
        <f>IFERROR(Q241*($B$15/(Main!$N$31+Q241)),NA())</f>
        <v>#N/A</v>
      </c>
      <c r="T241" s="664" t="e">
        <f t="shared" si="38"/>
        <v>#N/A</v>
      </c>
      <c r="U241" s="696" t="e">
        <f>IFERROR(($B$15/(Main!$N$31+Q241))^2*(Main!$N$31+Q241)*1000,NA())</f>
        <v>#N/A</v>
      </c>
      <c r="V241" s="274" t="e">
        <f t="shared" si="39"/>
        <v>#N/A</v>
      </c>
      <c r="W241" s="274" t="e">
        <f t="shared" si="40"/>
        <v>#N/A</v>
      </c>
      <c r="X241" s="436"/>
      <c r="Y241" s="436"/>
      <c r="AM241" s="224"/>
      <c r="AN241" s="224"/>
      <c r="AO241" s="224"/>
      <c r="AP241" s="224"/>
      <c r="AQ241" s="179"/>
      <c r="AR241" s="224"/>
      <c r="AS241" s="224"/>
      <c r="AT241" s="224"/>
    </row>
    <row r="242" spans="1:46" ht="15.75" x14ac:dyDescent="0.25">
      <c r="A242" s="505">
        <v>210</v>
      </c>
      <c r="B242" s="506">
        <v>169</v>
      </c>
      <c r="C242" s="664" t="e">
        <f>IFERROR('Device Resistance Tables'!C229,NA())</f>
        <v>#N/A</v>
      </c>
      <c r="D242" s="554" t="e">
        <f>IFERROR('Device Resistance Tables'!D229,NA())</f>
        <v>#N/A</v>
      </c>
      <c r="E242" s="664" t="e">
        <f>IFERROR('Device Resistance Tables'!F229,NA())</f>
        <v>#N/A</v>
      </c>
      <c r="F242" s="690" t="e">
        <f>IFERROR(D242*($B$15/(Main!$N$31+D242)),NA())</f>
        <v>#N/A</v>
      </c>
      <c r="G242" s="690" t="e">
        <f>IFERROR($B$16*($B$15/(Main!$N$31+D242)),NA())</f>
        <v>#N/A</v>
      </c>
      <c r="H242" s="664" t="e">
        <f t="shared" si="34"/>
        <v>#N/A</v>
      </c>
      <c r="I242" s="691" t="e">
        <f t="shared" si="33"/>
        <v>#N/A</v>
      </c>
      <c r="J242" s="690" t="e">
        <f>IFERROR(($B$15/(Main!$N$31+D242))^2*(Main!$N$31+D242)*1000,NA())</f>
        <v>#N/A</v>
      </c>
      <c r="K242" s="274" t="e">
        <f t="shared" si="35"/>
        <v>#N/A</v>
      </c>
      <c r="L242" s="274" t="e">
        <f t="shared" si="36"/>
        <v>#N/A</v>
      </c>
      <c r="M242" s="271" t="e">
        <f t="shared" si="37"/>
        <v>#N/A</v>
      </c>
      <c r="N242" s="692"/>
      <c r="O242" s="569">
        <v>169</v>
      </c>
      <c r="P242" s="697" t="e">
        <v>#N/A</v>
      </c>
      <c r="Q242" s="697" t="e">
        <v>#N/A</v>
      </c>
      <c r="R242" s="697" t="e">
        <v>#N/A</v>
      </c>
      <c r="S242" s="695" t="e">
        <f>IFERROR(Q242*($B$15/(Main!$N$31+Q242)),NA())</f>
        <v>#N/A</v>
      </c>
      <c r="T242" s="664" t="e">
        <f t="shared" si="38"/>
        <v>#N/A</v>
      </c>
      <c r="U242" s="696" t="e">
        <f>IFERROR(($B$15/(Main!$N$31+Q242))^2*(Main!$N$31+Q242)*1000,NA())</f>
        <v>#N/A</v>
      </c>
      <c r="V242" s="274" t="e">
        <f t="shared" si="39"/>
        <v>#N/A</v>
      </c>
      <c r="W242" s="274" t="e">
        <f t="shared" si="40"/>
        <v>#N/A</v>
      </c>
      <c r="X242" s="436"/>
      <c r="Y242" s="436"/>
      <c r="AM242" s="224"/>
      <c r="AN242" s="224"/>
      <c r="AO242" s="224"/>
      <c r="AP242" s="224"/>
      <c r="AQ242" s="179"/>
      <c r="AR242" s="224"/>
      <c r="AS242" s="224"/>
      <c r="AT242" s="224"/>
    </row>
    <row r="243" spans="1:46" ht="16.5" thickBot="1" x14ac:dyDescent="0.3">
      <c r="A243" s="505">
        <v>211</v>
      </c>
      <c r="B243" s="506">
        <v>170</v>
      </c>
      <c r="C243" s="664" t="e">
        <f>IFERROR('Device Resistance Tables'!C230,NA())</f>
        <v>#N/A</v>
      </c>
      <c r="D243" s="554" t="e">
        <f>IFERROR('Device Resistance Tables'!D230,NA())</f>
        <v>#N/A</v>
      </c>
      <c r="E243" s="664" t="e">
        <f>IFERROR('Device Resistance Tables'!F230,NA())</f>
        <v>#N/A</v>
      </c>
      <c r="F243" s="690" t="e">
        <f>IFERROR(D243*($B$15/(Main!$N$31+D243)),NA())</f>
        <v>#N/A</v>
      </c>
      <c r="G243" s="690" t="e">
        <f>IFERROR($B$16*($B$15/(Main!$N$31+D243)),NA())</f>
        <v>#N/A</v>
      </c>
      <c r="H243" s="664" t="e">
        <f t="shared" si="34"/>
        <v>#N/A</v>
      </c>
      <c r="I243" s="691" t="e">
        <f t="shared" si="33"/>
        <v>#N/A</v>
      </c>
      <c r="J243" s="690" t="e">
        <f>IFERROR(($B$15/(Main!$N$31+D243))^2*(Main!$N$31+D243)*1000,NA())</f>
        <v>#N/A</v>
      </c>
      <c r="K243" s="274" t="e">
        <f t="shared" si="35"/>
        <v>#N/A</v>
      </c>
      <c r="L243" s="274" t="e">
        <f t="shared" si="36"/>
        <v>#N/A</v>
      </c>
      <c r="M243" s="271" t="e">
        <f t="shared" si="37"/>
        <v>#N/A</v>
      </c>
      <c r="N243" s="692"/>
      <c r="O243" s="569">
        <v>170</v>
      </c>
      <c r="P243" s="699" t="e">
        <v>#N/A</v>
      </c>
      <c r="Q243" s="699" t="e">
        <v>#N/A</v>
      </c>
      <c r="R243" s="699" t="e">
        <v>#N/A</v>
      </c>
      <c r="S243" s="695" t="e">
        <f>IFERROR(Q243*($B$15/(Main!$N$31+Q243)),NA())</f>
        <v>#N/A</v>
      </c>
      <c r="T243" s="664" t="e">
        <f t="shared" si="38"/>
        <v>#N/A</v>
      </c>
      <c r="U243" s="696" t="e">
        <f>IFERROR(($B$15/(Main!$N$31+Q243))^2*(Main!$N$31+Q243)*1000,NA())</f>
        <v>#N/A</v>
      </c>
      <c r="V243" s="274" t="e">
        <f t="shared" si="39"/>
        <v>#N/A</v>
      </c>
      <c r="W243" s="274" t="e">
        <f t="shared" si="40"/>
        <v>#N/A</v>
      </c>
      <c r="X243" s="436"/>
      <c r="Y243" s="436"/>
      <c r="AM243" s="224"/>
      <c r="AN243" s="224"/>
      <c r="AO243" s="224"/>
      <c r="AP243" s="224"/>
      <c r="AQ243" s="179"/>
      <c r="AR243" s="224"/>
      <c r="AS243" s="224"/>
      <c r="AT243" s="224"/>
    </row>
    <row r="244" spans="1:46" ht="15.75" x14ac:dyDescent="0.25">
      <c r="A244" s="509"/>
      <c r="B244" s="510"/>
      <c r="C244" s="670"/>
      <c r="D244" s="671"/>
      <c r="E244" s="670"/>
      <c r="F244" s="700"/>
      <c r="G244" s="700"/>
      <c r="H244" s="670"/>
      <c r="I244" s="701"/>
      <c r="J244" s="700"/>
      <c r="K244" s="431"/>
      <c r="L244" s="431"/>
      <c r="M244" s="432"/>
      <c r="N244" s="702"/>
      <c r="O244" s="510"/>
      <c r="P244" s="703"/>
      <c r="Q244" s="703"/>
      <c r="R244" s="703"/>
      <c r="S244" s="704"/>
      <c r="T244" s="670"/>
      <c r="U244" s="704"/>
      <c r="V244" s="431"/>
      <c r="W244" s="431"/>
      <c r="X244" s="436"/>
      <c r="Y244" s="436"/>
      <c r="AM244" s="224"/>
      <c r="AN244" s="224"/>
      <c r="AO244" s="224"/>
      <c r="AP244" s="224"/>
      <c r="AQ244" s="179"/>
      <c r="AR244" s="224"/>
      <c r="AS244" s="224"/>
      <c r="AT244" s="224"/>
    </row>
    <row r="245" spans="1:46" ht="15.75" x14ac:dyDescent="0.25">
      <c r="A245" s="512"/>
      <c r="B245" s="467"/>
      <c r="C245" s="666"/>
      <c r="D245" s="539"/>
      <c r="E245" s="666"/>
      <c r="F245" s="704"/>
      <c r="G245" s="704"/>
      <c r="H245" s="666"/>
      <c r="I245" s="705"/>
      <c r="J245" s="704"/>
      <c r="K245" s="427"/>
      <c r="L245" s="427"/>
      <c r="M245" s="428"/>
      <c r="N245" s="702"/>
      <c r="O245" s="467"/>
      <c r="P245" s="703"/>
      <c r="Q245" s="703"/>
      <c r="R245" s="703"/>
      <c r="S245" s="704"/>
      <c r="T245" s="666"/>
      <c r="U245" s="704"/>
      <c r="V245" s="427"/>
      <c r="W245" s="427"/>
      <c r="X245" s="436"/>
      <c r="Y245" s="436"/>
      <c r="AM245" s="224"/>
      <c r="AN245" s="224"/>
      <c r="AO245" s="224"/>
      <c r="AP245" s="224"/>
      <c r="AQ245" s="179"/>
      <c r="AR245" s="224"/>
      <c r="AS245" s="224"/>
      <c r="AT245" s="224"/>
    </row>
    <row r="246" spans="1:46" ht="15.75" x14ac:dyDescent="0.25">
      <c r="A246" s="424"/>
      <c r="B246" s="18"/>
      <c r="C246" s="280"/>
      <c r="D246" s="234"/>
      <c r="E246" s="280"/>
      <c r="F246" s="425"/>
      <c r="G246" s="425"/>
      <c r="H246" s="280"/>
      <c r="I246" s="426"/>
      <c r="J246" s="425"/>
      <c r="K246" s="427"/>
      <c r="L246" s="427"/>
      <c r="M246" s="428"/>
      <c r="N246" s="429"/>
      <c r="O246" s="18"/>
      <c r="P246" s="430"/>
      <c r="Q246" s="430"/>
      <c r="R246" s="430"/>
      <c r="S246" s="425"/>
      <c r="T246" s="280"/>
      <c r="U246" s="425"/>
      <c r="V246" s="427"/>
      <c r="W246" s="427"/>
      <c r="AM246" s="224"/>
      <c r="AN246" s="224"/>
      <c r="AO246" s="224"/>
      <c r="AP246" s="224"/>
      <c r="AQ246" s="179"/>
      <c r="AR246" s="224"/>
      <c r="AS246" s="224"/>
      <c r="AT246" s="224"/>
    </row>
    <row r="247" spans="1:46" ht="15.75" x14ac:dyDescent="0.25">
      <c r="A247" s="424"/>
      <c r="B247" s="18"/>
      <c r="C247" s="280"/>
      <c r="D247" s="234"/>
      <c r="E247" s="280"/>
      <c r="F247" s="425"/>
      <c r="G247" s="425"/>
      <c r="H247" s="280"/>
      <c r="I247" s="426"/>
      <c r="J247" s="425"/>
      <c r="K247" s="427"/>
      <c r="L247" s="427"/>
      <c r="M247" s="428"/>
      <c r="N247" s="429"/>
      <c r="O247" s="18"/>
      <c r="P247" s="430"/>
      <c r="Q247" s="430"/>
      <c r="R247" s="430"/>
      <c r="S247" s="425"/>
      <c r="T247" s="280"/>
      <c r="U247" s="425"/>
      <c r="V247" s="427"/>
      <c r="W247" s="427"/>
      <c r="AM247" s="224"/>
      <c r="AN247" s="224"/>
      <c r="AO247" s="224"/>
      <c r="AP247" s="224"/>
      <c r="AQ247" s="179"/>
      <c r="AR247" s="224"/>
      <c r="AS247" s="224"/>
      <c r="AT247" s="224"/>
    </row>
    <row r="248" spans="1:46" ht="15.75" x14ac:dyDescent="0.25">
      <c r="A248" s="424"/>
      <c r="B248" s="18"/>
      <c r="C248" s="280"/>
      <c r="D248" s="234"/>
      <c r="E248" s="280"/>
      <c r="F248" s="425"/>
      <c r="G248" s="425"/>
      <c r="H248" s="280"/>
      <c r="I248" s="426"/>
      <c r="J248" s="425"/>
      <c r="K248" s="427"/>
      <c r="L248" s="427"/>
      <c r="M248" s="428"/>
      <c r="N248" s="429"/>
      <c r="O248" s="18"/>
      <c r="P248" s="430"/>
      <c r="Q248" s="430"/>
      <c r="R248" s="430"/>
      <c r="S248" s="425"/>
      <c r="T248" s="280"/>
      <c r="U248" s="425"/>
      <c r="V248" s="427"/>
      <c r="W248" s="427"/>
      <c r="AM248" s="224"/>
      <c r="AN248" s="224"/>
      <c r="AO248" s="224"/>
      <c r="AP248" s="224"/>
      <c r="AQ248" s="179"/>
      <c r="AR248" s="224"/>
      <c r="AS248" s="224"/>
      <c r="AT248" s="224"/>
    </row>
    <row r="249" spans="1:46" x14ac:dyDescent="0.2">
      <c r="AM249" s="224"/>
      <c r="AN249" s="224"/>
      <c r="AO249" s="224"/>
      <c r="AP249" s="224"/>
      <c r="AQ249" s="179"/>
      <c r="AR249" s="224"/>
      <c r="AS249" s="224"/>
      <c r="AT249" s="224"/>
    </row>
    <row r="250" spans="1:46" x14ac:dyDescent="0.2">
      <c r="AM250" s="224"/>
      <c r="AN250" s="224"/>
      <c r="AO250" s="224"/>
      <c r="AP250" s="224"/>
      <c r="AQ250" s="179"/>
      <c r="AR250" s="224"/>
      <c r="AS250" s="224"/>
      <c r="AT250" s="224"/>
    </row>
    <row r="251" spans="1:46" x14ac:dyDescent="0.2">
      <c r="AM251" s="224"/>
      <c r="AN251" s="224"/>
      <c r="AO251" s="224"/>
      <c r="AP251" s="224"/>
      <c r="AQ251" s="179"/>
      <c r="AR251" s="224"/>
      <c r="AS251" s="224"/>
      <c r="AT251" s="224"/>
    </row>
    <row r="252" spans="1:46" x14ac:dyDescent="0.2">
      <c r="AM252" s="224"/>
      <c r="AN252" s="224"/>
      <c r="AO252" s="224"/>
      <c r="AP252" s="224"/>
      <c r="AQ252" s="179"/>
      <c r="AR252" s="224"/>
      <c r="AS252" s="224"/>
      <c r="AT252" s="224"/>
    </row>
    <row r="253" spans="1:46" x14ac:dyDescent="0.2">
      <c r="AM253" s="224"/>
      <c r="AN253" s="224"/>
      <c r="AO253" s="224"/>
      <c r="AP253" s="224"/>
      <c r="AQ253" s="179"/>
      <c r="AR253" s="224"/>
      <c r="AS253" s="224"/>
      <c r="AT253" s="224"/>
    </row>
    <row r="254" spans="1:46" x14ac:dyDescent="0.2">
      <c r="AM254" s="224"/>
      <c r="AN254" s="224"/>
      <c r="AO254" s="224"/>
      <c r="AP254" s="224"/>
      <c r="AQ254" s="179"/>
      <c r="AR254" s="224"/>
      <c r="AS254" s="224"/>
      <c r="AT254" s="224"/>
    </row>
    <row r="255" spans="1:46" x14ac:dyDescent="0.2">
      <c r="C255" s="175"/>
      <c r="D255" s="175"/>
      <c r="E255" s="175"/>
      <c r="F255" s="223"/>
      <c r="G255" s="223"/>
      <c r="H255" s="223"/>
      <c r="I255" s="223"/>
      <c r="J255" s="223"/>
      <c r="K255" s="223"/>
      <c r="L255" s="223"/>
      <c r="M255" s="223"/>
      <c r="AM255" s="224"/>
      <c r="AN255" s="224"/>
      <c r="AO255" s="224"/>
      <c r="AP255" s="224"/>
      <c r="AQ255" s="224"/>
      <c r="AR255" s="224"/>
      <c r="AS255" s="224"/>
      <c r="AT255" s="224"/>
    </row>
    <row r="256" spans="1:46" x14ac:dyDescent="0.2"/>
    <row r="257" spans="16:32" x14ac:dyDescent="0.2"/>
    <row r="258" spans="16:32" x14ac:dyDescent="0.2"/>
    <row r="259" spans="16:32" x14ac:dyDescent="0.2">
      <c r="P259" s="233"/>
      <c r="Q259" s="234"/>
      <c r="R259" s="224"/>
      <c r="S259" s="224"/>
      <c r="T259" s="224"/>
      <c r="U259" s="224"/>
      <c r="V259" s="224"/>
      <c r="W259" s="224"/>
      <c r="X259" s="224"/>
      <c r="Y259" s="224"/>
      <c r="Z259" s="224"/>
      <c r="AA259" s="224"/>
      <c r="AB259" s="224"/>
      <c r="AC259" s="224"/>
      <c r="AD259" s="224"/>
      <c r="AE259" s="224"/>
      <c r="AF259" s="224"/>
    </row>
    <row r="260" spans="16:32" x14ac:dyDescent="0.2">
      <c r="P260" s="233"/>
      <c r="Q260" s="234"/>
      <c r="R260" s="224"/>
      <c r="S260" s="224"/>
      <c r="T260" s="224"/>
      <c r="U260" s="224"/>
      <c r="V260" s="224"/>
      <c r="W260" s="224"/>
      <c r="X260" s="224"/>
      <c r="Y260" s="224"/>
      <c r="Z260" s="224"/>
      <c r="AA260" s="224"/>
      <c r="AB260" s="224"/>
      <c r="AC260" s="224"/>
      <c r="AD260" s="224"/>
      <c r="AE260" s="224"/>
      <c r="AF260" s="224"/>
    </row>
    <row r="261" spans="16:32" hidden="1" x14ac:dyDescent="0.2">
      <c r="P261" s="233"/>
      <c r="Q261" s="234"/>
      <c r="R261" s="224"/>
      <c r="S261" s="224"/>
      <c r="T261" s="224"/>
      <c r="U261" s="224"/>
      <c r="V261" s="224"/>
      <c r="W261" s="224"/>
      <c r="X261" s="224"/>
      <c r="Y261" s="224"/>
      <c r="Z261" s="224"/>
      <c r="AA261" s="224"/>
      <c r="AB261" s="224"/>
      <c r="AC261" s="224"/>
      <c r="AD261" s="224"/>
      <c r="AE261" s="224"/>
      <c r="AF261" s="224"/>
    </row>
    <row r="262" spans="16:32" hidden="1" x14ac:dyDescent="0.2">
      <c r="P262" s="233"/>
      <c r="Q262" s="234"/>
      <c r="R262" s="224"/>
      <c r="S262" s="224"/>
      <c r="T262" s="224"/>
      <c r="U262" s="224"/>
      <c r="V262" s="224"/>
      <c r="W262" s="224"/>
      <c r="X262" s="224"/>
      <c r="Y262" s="224"/>
      <c r="Z262" s="224"/>
      <c r="AA262" s="224"/>
      <c r="AB262" s="224"/>
      <c r="AC262" s="224"/>
      <c r="AD262" s="224"/>
      <c r="AE262" s="224"/>
      <c r="AF262" s="224"/>
    </row>
    <row r="263" spans="16:32" x14ac:dyDescent="0.2"/>
    <row r="264" spans="16:32" x14ac:dyDescent="0.2"/>
    <row r="265" spans="16:32" x14ac:dyDescent="0.2"/>
    <row r="266" spans="16:32" x14ac:dyDescent="0.2"/>
    <row r="267" spans="16:32" x14ac:dyDescent="0.2"/>
    <row r="268" spans="16:32" x14ac:dyDescent="0.2"/>
    <row r="269" spans="16:32" x14ac:dyDescent="0.2"/>
  </sheetData>
  <sheetProtection algorithmName="SHA-512" hashValue="mHTBVDnm/Q6Fu7XwSOSGF14qARsmOCpOi7FwiTR5x9vUwLGwfYJnIG+cy5pnfmzCQVsDSAnbh3QeKk8p2dn5Hg==" saltValue="yrUjD7kW8qGwjN30FrEA/g==" spinCount="100000" sheet="1" objects="1" scenarios="1"/>
  <mergeCells count="2">
    <mergeCell ref="A1:AC3"/>
    <mergeCell ref="A4:AG4"/>
  </mergeCells>
  <dataValidations count="1">
    <dataValidation type="whole" errorStyle="information" allowBlank="1" showInputMessage="1" showErrorMessage="1" errorTitle="Resistance Table" error="Please enter a whole number between 1 and 5000000._x000a__x000a_If all cells are not completed, your dta may not plot correctly._x000a__x000a_If no resistive value is available select ok then enter,&quot;#N/A&quot; and select ok agian." promptTitle="Resistance Table" prompt="Enter a resistance from 1 to 5000000. " sqref="P33:R248" xr:uid="{00000000-0002-0000-0300-000000000000}">
      <formula1>1</formula1>
      <formula2>5000000</formula2>
    </dataValidation>
  </dataValidations>
  <hyperlinks>
    <hyperlink ref="A5" location="Main!K38" display="Return to Menu  " xr:uid="{00000000-0004-0000-0300-000000000000}"/>
  </hyperlink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J155"/>
  <sheetViews>
    <sheetView showGridLines="0" zoomScale="80" zoomScaleNormal="80" workbookViewId="0">
      <selection activeCell="A147" sqref="A147"/>
    </sheetView>
  </sheetViews>
  <sheetFormatPr defaultColWidth="0" defaultRowHeight="12.75" zeroHeight="1" x14ac:dyDescent="0.2"/>
  <cols>
    <col min="1" max="1" width="14.7109375" style="225" customWidth="1"/>
    <col min="2" max="2" width="24.7109375" style="225" customWidth="1"/>
    <col min="3" max="3" width="16.85546875" style="225" customWidth="1"/>
    <col min="4" max="4" width="17.85546875" style="225" customWidth="1"/>
    <col min="5" max="5" width="20.140625" style="225" customWidth="1"/>
    <col min="6" max="6" width="18.5703125" style="225" customWidth="1"/>
    <col min="7" max="7" width="14.7109375" style="225" customWidth="1"/>
    <col min="8" max="9" width="16.140625" style="225" customWidth="1"/>
    <col min="10" max="10" width="16.85546875" style="225" customWidth="1"/>
    <col min="11" max="11" width="14.42578125" style="225" customWidth="1"/>
    <col min="12" max="12" width="17" style="225" customWidth="1"/>
    <col min="13" max="13" width="16.7109375" style="225" customWidth="1"/>
    <col min="14" max="17" width="10.7109375" style="225" customWidth="1"/>
    <col min="18" max="23" width="10.7109375" style="225" hidden="1" customWidth="1"/>
    <col min="24" max="25" width="9.140625" style="225" hidden="1" customWidth="1"/>
    <col min="26" max="36" width="0" style="225" hidden="1" customWidth="1"/>
    <col min="37" max="16384" width="9.140625" style="225" hidden="1"/>
  </cols>
  <sheetData>
    <row r="1" spans="1:36" s="174" customFormat="1" x14ac:dyDescent="0.2">
      <c r="A1" s="768"/>
      <c r="B1" s="768"/>
      <c r="C1" s="768"/>
      <c r="D1" s="768"/>
      <c r="E1" s="768"/>
      <c r="F1" s="768"/>
      <c r="G1" s="768"/>
      <c r="H1" s="768"/>
      <c r="I1" s="768"/>
      <c r="J1" s="768"/>
      <c r="K1" s="768"/>
      <c r="L1" s="768"/>
      <c r="M1" s="768"/>
      <c r="N1" s="768"/>
      <c r="O1" s="768"/>
      <c r="P1" s="768"/>
      <c r="Q1" s="768"/>
      <c r="R1" s="768"/>
      <c r="S1" s="768"/>
      <c r="T1" s="768"/>
      <c r="U1" s="768"/>
      <c r="V1" s="275"/>
      <c r="W1" s="275"/>
      <c r="X1" s="275"/>
      <c r="Y1" s="275"/>
      <c r="Z1" s="275"/>
      <c r="AA1" s="275"/>
      <c r="AB1" s="275"/>
      <c r="AC1" s="275"/>
      <c r="AD1" s="275"/>
      <c r="AE1" s="275"/>
      <c r="AF1" s="275"/>
      <c r="AG1" s="275"/>
      <c r="AH1" s="275"/>
      <c r="AI1" s="275"/>
      <c r="AJ1" s="275"/>
    </row>
    <row r="2" spans="1:36" s="174" customFormat="1" x14ac:dyDescent="0.2">
      <c r="A2" s="768"/>
      <c r="B2" s="768"/>
      <c r="C2" s="768"/>
      <c r="D2" s="768"/>
      <c r="E2" s="768"/>
      <c r="F2" s="768"/>
      <c r="G2" s="768"/>
      <c r="H2" s="768"/>
      <c r="I2" s="768"/>
      <c r="J2" s="768"/>
      <c r="K2" s="768"/>
      <c r="L2" s="768"/>
      <c r="M2" s="768"/>
      <c r="N2" s="768"/>
      <c r="O2" s="768"/>
      <c r="P2" s="768"/>
      <c r="Q2" s="768"/>
      <c r="R2" s="768"/>
      <c r="S2" s="768"/>
      <c r="T2" s="768"/>
      <c r="U2" s="768"/>
      <c r="V2" s="275"/>
      <c r="W2" s="275"/>
      <c r="X2" s="275"/>
      <c r="Y2" s="275"/>
      <c r="Z2" s="275"/>
      <c r="AA2" s="275"/>
      <c r="AB2" s="275"/>
      <c r="AC2" s="275"/>
      <c r="AD2" s="275"/>
      <c r="AE2" s="275"/>
      <c r="AF2" s="275"/>
      <c r="AG2" s="275"/>
      <c r="AH2" s="275"/>
      <c r="AI2" s="275"/>
      <c r="AJ2" s="275"/>
    </row>
    <row r="3" spans="1:36" s="174" customFormat="1" x14ac:dyDescent="0.2">
      <c r="A3" s="768"/>
      <c r="B3" s="768"/>
      <c r="C3" s="768"/>
      <c r="D3" s="768"/>
      <c r="E3" s="768"/>
      <c r="F3" s="768"/>
      <c r="G3" s="768"/>
      <c r="H3" s="768"/>
      <c r="I3" s="768"/>
      <c r="J3" s="768"/>
      <c r="K3" s="768"/>
      <c r="L3" s="768"/>
      <c r="M3" s="768"/>
      <c r="N3" s="768"/>
      <c r="O3" s="768"/>
      <c r="P3" s="768"/>
      <c r="Q3" s="768"/>
      <c r="R3" s="768"/>
      <c r="S3" s="768"/>
      <c r="T3" s="768"/>
      <c r="U3" s="768"/>
      <c r="V3" s="275"/>
      <c r="W3" s="275"/>
      <c r="X3" s="275"/>
      <c r="Y3" s="275"/>
      <c r="Z3" s="275"/>
      <c r="AA3" s="275"/>
      <c r="AB3" s="275"/>
      <c r="AC3" s="275"/>
      <c r="AD3" s="275"/>
      <c r="AE3" s="275"/>
      <c r="AF3" s="275"/>
      <c r="AG3" s="275"/>
      <c r="AH3" s="275"/>
      <c r="AI3" s="275"/>
      <c r="AJ3" s="275"/>
    </row>
    <row r="4" spans="1:36" s="174" customFormat="1" ht="12.75" customHeight="1" x14ac:dyDescent="0.2">
      <c r="A4" s="769"/>
      <c r="B4" s="770"/>
      <c r="C4" s="770"/>
      <c r="D4" s="770"/>
      <c r="E4" s="770"/>
      <c r="F4" s="770"/>
      <c r="G4" s="770"/>
      <c r="H4" s="770"/>
      <c r="I4" s="770"/>
      <c r="J4" s="770"/>
      <c r="K4" s="770"/>
      <c r="L4" s="770"/>
      <c r="M4" s="770"/>
      <c r="N4" s="770"/>
      <c r="O4" s="770"/>
      <c r="P4" s="770"/>
      <c r="Q4" s="770"/>
      <c r="R4" s="770"/>
      <c r="S4" s="770"/>
      <c r="T4" s="770"/>
      <c r="U4" s="770"/>
      <c r="V4" s="770"/>
      <c r="W4" s="770"/>
      <c r="X4" s="770"/>
      <c r="Y4" s="770"/>
      <c r="Z4" s="275"/>
      <c r="AA4" s="275"/>
      <c r="AB4" s="275"/>
      <c r="AC4" s="275"/>
      <c r="AD4" s="275"/>
      <c r="AE4" s="275"/>
      <c r="AF4" s="275"/>
      <c r="AG4" s="275"/>
      <c r="AH4" s="275"/>
      <c r="AI4" s="275"/>
      <c r="AJ4" s="275"/>
    </row>
    <row r="5" spans="1:36" ht="15" x14ac:dyDescent="0.2">
      <c r="A5" s="418" t="s">
        <v>75</v>
      </c>
      <c r="B5" s="222"/>
      <c r="C5" s="222"/>
    </row>
    <row r="6" spans="1:36" ht="15.75" x14ac:dyDescent="0.25">
      <c r="A6" s="124"/>
      <c r="B6" s="226"/>
      <c r="C6" s="226"/>
      <c r="D6" s="226"/>
    </row>
    <row r="7" spans="1:36" ht="15.75" x14ac:dyDescent="0.25">
      <c r="A7" s="124"/>
      <c r="B7" s="226"/>
      <c r="C7" s="226"/>
      <c r="D7" s="226"/>
    </row>
    <row r="8" spans="1:36" ht="15.75" x14ac:dyDescent="0.25">
      <c r="A8" s="124"/>
      <c r="B8" s="226"/>
      <c r="C8" s="226"/>
      <c r="D8" s="226"/>
    </row>
    <row r="9" spans="1:36" ht="15.75" x14ac:dyDescent="0.25">
      <c r="A9" s="124"/>
      <c r="B9" s="226"/>
      <c r="C9" s="226"/>
      <c r="D9" s="226"/>
    </row>
    <row r="10" spans="1:36" ht="15.75" x14ac:dyDescent="0.25">
      <c r="A10" s="124"/>
      <c r="B10" s="226"/>
      <c r="C10" s="226"/>
      <c r="D10" s="226"/>
    </row>
    <row r="11" spans="1:36" ht="15.75" x14ac:dyDescent="0.25">
      <c r="A11" s="124"/>
      <c r="B11" s="226"/>
      <c r="C11" s="226"/>
      <c r="D11" s="226"/>
    </row>
    <row r="12" spans="1:36" ht="15.75" x14ac:dyDescent="0.25">
      <c r="A12" s="124"/>
      <c r="B12" s="226"/>
      <c r="C12" s="226"/>
      <c r="D12" s="226"/>
    </row>
    <row r="13" spans="1:36" s="226" customFormat="1" ht="15.75" x14ac:dyDescent="0.25">
      <c r="A13" s="124"/>
    </row>
    <row r="14" spans="1:36" s="226" customFormat="1" ht="15.75" x14ac:dyDescent="0.25">
      <c r="A14" s="124"/>
    </row>
    <row r="15" spans="1:36" s="226" customFormat="1" ht="15.75" x14ac:dyDescent="0.25">
      <c r="A15" s="124"/>
    </row>
    <row r="16" spans="1:36" s="226" customFormat="1" ht="15.75" x14ac:dyDescent="0.25">
      <c r="A16" s="124"/>
    </row>
    <row r="17" spans="1:18" s="226" customFormat="1" ht="15.75" x14ac:dyDescent="0.25">
      <c r="A17" s="124"/>
    </row>
    <row r="18" spans="1:18" s="226" customFormat="1" ht="15.75" x14ac:dyDescent="0.25">
      <c r="A18" s="124"/>
    </row>
    <row r="19" spans="1:18" s="226" customFormat="1" ht="15.75" x14ac:dyDescent="0.25">
      <c r="A19" s="124"/>
    </row>
    <row r="20" spans="1:18" s="226" customFormat="1" ht="15.75" x14ac:dyDescent="0.25">
      <c r="A20" s="124"/>
    </row>
    <row r="21" spans="1:18" x14ac:dyDescent="0.2"/>
    <row r="22" spans="1:18" x14ac:dyDescent="0.2"/>
    <row r="23" spans="1:18" ht="15.75" x14ac:dyDescent="0.25">
      <c r="A23" s="440" t="s">
        <v>300</v>
      </c>
      <c r="B23" s="254" t="str">
        <f>Main!N22</f>
        <v>TMP6131DECR</v>
      </c>
      <c r="C23" s="441"/>
    </row>
    <row r="24" spans="1:18" ht="15.75" x14ac:dyDescent="0.25">
      <c r="A24" s="440" t="s">
        <v>206</v>
      </c>
      <c r="B24" s="283">
        <f>Main!$N$25</f>
        <v>5</v>
      </c>
      <c r="C24" s="242" t="s">
        <v>2</v>
      </c>
    </row>
    <row r="25" spans="1:18" ht="15.75" x14ac:dyDescent="0.25">
      <c r="A25" s="437" t="s">
        <v>243</v>
      </c>
      <c r="B25" s="638">
        <f>Main!N31</f>
        <v>10000</v>
      </c>
      <c r="C25" s="206" t="s">
        <v>1</v>
      </c>
    </row>
    <row r="26" spans="1:18" ht="15.75" x14ac:dyDescent="0.25">
      <c r="A26" s="440" t="s">
        <v>46</v>
      </c>
      <c r="B26" s="284">
        <f>Main!N28</f>
        <v>16</v>
      </c>
      <c r="C26" s="242" t="s">
        <v>17</v>
      </c>
    </row>
    <row r="27" spans="1:18" x14ac:dyDescent="0.2"/>
    <row r="28" spans="1:18" x14ac:dyDescent="0.2"/>
    <row r="29" spans="1:18" ht="15" x14ac:dyDescent="0.2">
      <c r="B29" s="418" t="s">
        <v>247</v>
      </c>
    </row>
    <row r="30" spans="1:18" ht="15" customHeight="1" x14ac:dyDescent="0.2"/>
    <row r="31" spans="1:18" ht="15.75" hidden="1" customHeight="1" x14ac:dyDescent="0.2"/>
    <row r="32" spans="1:18" ht="18.75" hidden="1" customHeight="1" x14ac:dyDescent="0.2">
      <c r="B32" s="118" t="s">
        <v>77</v>
      </c>
      <c r="C32" s="118" t="s">
        <v>78</v>
      </c>
      <c r="D32" s="118" t="s">
        <v>52</v>
      </c>
      <c r="E32" s="118" t="s">
        <v>50</v>
      </c>
      <c r="F32" s="118" t="s">
        <v>79</v>
      </c>
      <c r="G32" s="118" t="s">
        <v>80</v>
      </c>
      <c r="H32" s="223"/>
      <c r="I32" s="223"/>
      <c r="J32" s="223"/>
      <c r="K32" s="223"/>
      <c r="L32" s="223"/>
      <c r="M32" s="223"/>
      <c r="N32" s="223"/>
      <c r="P32" s="223"/>
      <c r="Q32" s="223"/>
      <c r="R32" s="222"/>
    </row>
    <row r="33" spans="2:18" ht="19.5" hidden="1" customHeight="1" x14ac:dyDescent="0.2">
      <c r="B33" s="118" t="s">
        <v>81</v>
      </c>
      <c r="C33" s="402">
        <f>VLOOKUP(Main!$N$22&amp;"A0",Coefficients!$E$46:$K$206,3,FALSE)</f>
        <v>8339.9251945161704</v>
      </c>
      <c r="D33" s="402">
        <f>VLOOKUP(Main!$N$22&amp;"A0",Coefficients!$E$46:$K$206,4,FALSE)</f>
        <v>54.154715686148002</v>
      </c>
      <c r="E33" s="402">
        <f>VLOOKUP(Main!$N$22&amp;"A0",Coefficients!$E$46:$K$206,5,FALSE)</f>
        <v>-5.78616061394467</v>
      </c>
      <c r="F33" s="402">
        <f>VLOOKUP(Main!$N$22&amp;"A0",Coefficients!$E$46:$K$206,6,FALSE)</f>
        <v>1.47111238439537</v>
      </c>
      <c r="G33" s="402">
        <f>VLOOKUP(Main!$N$22&amp;"A0",Coefficients!$E$46:$K$206,7,FALSE)</f>
        <v>-0.115876333353779</v>
      </c>
      <c r="H33" s="223"/>
      <c r="I33" s="223"/>
      <c r="J33" s="223"/>
      <c r="K33" s="223"/>
      <c r="L33" s="223"/>
      <c r="M33" s="223"/>
      <c r="N33" s="223"/>
      <c r="P33" s="223"/>
      <c r="Q33" s="223"/>
      <c r="R33" s="222"/>
    </row>
    <row r="34" spans="2:18" ht="15.75" hidden="1" customHeight="1" x14ac:dyDescent="0.2">
      <c r="B34" s="118" t="s">
        <v>82</v>
      </c>
      <c r="C34" s="402">
        <f>VLOOKUP(Main!$N$22&amp;"A1",Coefficients!$E$46:$K$206,3,FALSE)</f>
        <v>53.519439171642901</v>
      </c>
      <c r="D34" s="402">
        <f>VLOOKUP(Main!$N$22&amp;"A1",Coefficients!$E$46:$K$206,4,FALSE)</f>
        <v>0.111930161345648</v>
      </c>
      <c r="E34" s="402">
        <f>VLOOKUP(Main!$N$22&amp;"A1",Coefficients!$E$46:$K$206,5,FALSE)</f>
        <v>0.18987442220474199</v>
      </c>
      <c r="F34" s="402">
        <f>VLOOKUP(Main!$N$22&amp;"A1",Coefficients!$E$46:$K$206,6,FALSE)</f>
        <v>-4.60507145157859E-2</v>
      </c>
      <c r="G34" s="402">
        <f>VLOOKUP(Main!$N$22&amp;"A1",Coefficients!$E$46:$K$206,7,FALSE)</f>
        <v>3.7681976436438999E-3</v>
      </c>
      <c r="H34" s="223"/>
      <c r="I34" s="223"/>
      <c r="J34" s="223"/>
      <c r="K34" s="223"/>
      <c r="L34" s="223"/>
      <c r="M34" s="223"/>
      <c r="N34" s="223"/>
      <c r="P34" s="223"/>
      <c r="Q34" s="223"/>
      <c r="R34" s="222"/>
    </row>
    <row r="35" spans="2:18" ht="18.75" hidden="1" customHeight="1" x14ac:dyDescent="0.2">
      <c r="B35" s="118" t="s">
        <v>83</v>
      </c>
      <c r="C35" s="402">
        <f>VLOOKUP(Main!$N$22&amp;"A2",Coefficients!$E$46:$K$206,3,FALSE)</f>
        <v>0.14962693895820001</v>
      </c>
      <c r="D35" s="402">
        <f>VLOOKUP(Main!$N$22&amp;"A2",Coefficients!$E$46:$K$206,4,FALSE)</f>
        <v>-5.4830524870576897E-3</v>
      </c>
      <c r="E35" s="402">
        <f>VLOOKUP(Main!$N$22&amp;"A2",Coefficients!$E$46:$K$206,5,FALSE)</f>
        <v>3.8003927509140199E-3</v>
      </c>
      <c r="F35" s="402">
        <f>VLOOKUP(Main!$N$22&amp;"A2",Coefficients!$E$46:$K$206,6,FALSE)</f>
        <v>-8.04689323736446E-4</v>
      </c>
      <c r="G35" s="402">
        <f>VLOOKUP(Main!$N$22&amp;"A2",Coefficients!$E$46:$K$206,7,FALSE)</f>
        <v>5.84268115194529E-5</v>
      </c>
      <c r="H35" s="223"/>
      <c r="I35" s="223"/>
      <c r="J35" s="223"/>
      <c r="K35" s="223"/>
      <c r="L35" s="223"/>
      <c r="M35" s="223"/>
      <c r="N35" s="223"/>
      <c r="P35" s="223"/>
      <c r="Q35" s="223"/>
      <c r="R35" s="222"/>
    </row>
    <row r="36" spans="2:18" ht="17.25" hidden="1" customHeight="1" x14ac:dyDescent="0.2">
      <c r="B36" s="118" t="s">
        <v>84</v>
      </c>
      <c r="C36" s="402">
        <f>VLOOKUP(Main!$N$22&amp;"A3",Coefficients!$E$46:$K$206,3,FALSE)</f>
        <v>7.7764366717815907E-6</v>
      </c>
      <c r="D36" s="402">
        <f>VLOOKUP(Main!$N$22&amp;"A3",Coefficients!$E$46:$K$206,4,FALSE)</f>
        <v>1.0146010335395299E-4</v>
      </c>
      <c r="E36" s="402">
        <f>VLOOKUP(Main!$N$22&amp;"A3",Coefficients!$E$46:$K$206,5,FALSE)</f>
        <v>-5.8340665406269602E-5</v>
      </c>
      <c r="F36" s="402">
        <f>VLOOKUP(Main!$N$22&amp;"A3",Coefficients!$E$46:$K$206,6,FALSE)</f>
        <v>1.3401513694378001E-5</v>
      </c>
      <c r="G36" s="402">
        <f>VLOOKUP(Main!$N$22&amp;"A3",Coefficients!$E$46:$K$206,7,FALSE)</f>
        <v>-1.0941921253097099E-6</v>
      </c>
      <c r="H36" s="223"/>
      <c r="I36" s="223"/>
      <c r="J36" s="223"/>
      <c r="K36" s="223"/>
      <c r="L36" s="223"/>
      <c r="M36" s="223"/>
      <c r="N36" s="223"/>
      <c r="P36" s="223"/>
      <c r="Q36" s="223"/>
      <c r="R36" s="222"/>
    </row>
    <row r="37" spans="2:18" ht="17.25" hidden="1" customHeight="1" x14ac:dyDescent="0.2">
      <c r="B37" s="118" t="s">
        <v>85</v>
      </c>
      <c r="C37" s="402">
        <f>VLOOKUP(Main!$N$22&amp;"A4",Coefficients!$E$46:$K$206,3,FALSE)</f>
        <v>3.5239682993970999E-7</v>
      </c>
      <c r="D37" s="402">
        <f>VLOOKUP(Main!$N$22&amp;"A4",Coefficients!$E$46:$K$206,4,FALSE)</f>
        <v>-4.1515958229399602E-7</v>
      </c>
      <c r="E37" s="402">
        <f>VLOOKUP(Main!$N$22&amp;"A4",Coefficients!$E$46:$K$206,5,FALSE)</f>
        <v>2.7552937506444702E-7</v>
      </c>
      <c r="F37" s="402">
        <f>VLOOKUP(Main!$N$22&amp;"A4",Coefficients!$E$46:$K$206,6,FALSE)</f>
        <v>-6.7111197681992294E-8</v>
      </c>
      <c r="G37" s="402">
        <f>VLOOKUP(Main!$N$22&amp;"A4",Coefficients!$E$46:$K$206,7,FALSE)</f>
        <v>5.7413790872433604E-9</v>
      </c>
      <c r="H37" s="223"/>
      <c r="I37" s="223"/>
      <c r="J37" s="223"/>
      <c r="K37" s="223"/>
      <c r="L37" s="223"/>
      <c r="M37" s="223"/>
      <c r="N37" s="223"/>
      <c r="P37" s="223"/>
      <c r="Q37" s="223"/>
      <c r="R37" s="222"/>
    </row>
    <row r="38" spans="2:18" ht="17.25" hidden="1" customHeight="1" x14ac:dyDescent="0.2">
      <c r="B38" s="119"/>
      <c r="C38" s="224"/>
      <c r="D38" s="224"/>
      <c r="E38" s="224"/>
      <c r="F38" s="224"/>
      <c r="G38" s="224"/>
      <c r="H38" s="223"/>
      <c r="I38" s="223"/>
      <c r="J38" s="223"/>
      <c r="K38" s="223"/>
      <c r="L38" s="223"/>
      <c r="M38" s="223"/>
      <c r="N38" s="223"/>
      <c r="P38" s="223"/>
      <c r="Q38" s="223"/>
      <c r="R38" s="222"/>
    </row>
    <row r="39" spans="2:18" ht="14.25" hidden="1" customHeight="1" x14ac:dyDescent="0.2">
      <c r="B39" s="63" t="s">
        <v>116</v>
      </c>
      <c r="C39" s="222"/>
      <c r="D39" s="222"/>
      <c r="E39" s="222"/>
      <c r="F39" s="222"/>
      <c r="G39" s="222"/>
      <c r="H39" s="222"/>
      <c r="I39" s="222"/>
      <c r="J39" s="63" t="s">
        <v>37</v>
      </c>
      <c r="K39" s="222"/>
      <c r="L39" s="222"/>
      <c r="M39" s="222"/>
      <c r="N39" s="222"/>
      <c r="P39" s="222"/>
      <c r="Q39" s="222"/>
      <c r="R39" s="222"/>
    </row>
    <row r="40" spans="2:18" ht="14.25" hidden="1" customHeight="1" x14ac:dyDescent="0.2">
      <c r="B40" s="115" t="s">
        <v>81</v>
      </c>
      <c r="C40" s="115" t="s">
        <v>82</v>
      </c>
      <c r="D40" s="115" t="s">
        <v>83</v>
      </c>
      <c r="E40" s="115" t="s">
        <v>84</v>
      </c>
      <c r="F40" s="115" t="s">
        <v>85</v>
      </c>
      <c r="G40" s="73"/>
      <c r="H40" s="73"/>
      <c r="I40" s="76" t="s">
        <v>85</v>
      </c>
      <c r="J40" s="76" t="s">
        <v>84</v>
      </c>
      <c r="K40" s="76" t="s">
        <v>83</v>
      </c>
      <c r="L40" s="76" t="s">
        <v>82</v>
      </c>
      <c r="M40" s="76" t="s">
        <v>81</v>
      </c>
      <c r="N40" s="74"/>
      <c r="Q40" s="222"/>
      <c r="R40" s="222"/>
    </row>
    <row r="41" spans="2:18" ht="15.75" hidden="1" customHeight="1" x14ac:dyDescent="0.2">
      <c r="B41" s="162">
        <f>$C$33+$D$33*Main!$N$25+$E$33*Main!$N$25*Main!$N$25+$F$33*Main!$N$25*Main!$N$25*Main!$N$25+$G$33*Main!$N$25*Main!$N$25*Main!$N$25*Main!$N$25</f>
        <v>8577.5110973016035</v>
      </c>
      <c r="C41" s="162">
        <f>$C$34+$D$34*Main!$N$25+$E$34*Main!$N$25*Main!$N$25+$F$34*Main!$N$25*Main!$N$25*Main!$N$25+$G$34*Main!$N$25*Main!$N$25*Main!$N$25*Main!$N$25</f>
        <v>55.424734746293893</v>
      </c>
      <c r="D41" s="162">
        <f>$C$35+$D$35*Main!$N$25+$E$35*Main!$N$25*Main!$N$25+$F$35*Main!$N$25*Main!$N$25*Main!$N$25+$G$35*Main!$N$25*Main!$N$25*Main!$N$25*Main!$N$25</f>
        <v>0.15315208702836436</v>
      </c>
      <c r="E41" s="162">
        <f>$C$36+$D$36*Main!$N$25+$E$36*Main!$N$25*Main!$N$25+$F$36*Main!$N$25*Main!$N$25*Main!$N$25+$G$36*Main!$N$25*Main!$N$25*Main!$N$25*Main!$N$25</f>
        <v>4.7879451763487967E-5</v>
      </c>
      <c r="F41" s="162">
        <f>$C$37+$D$37*Main!$N$25+$E$37*Main!$N$25*Main!$N$25+$F$37*Main!$N$25*Main!$N$25*Main!$N$25+$G$37*Main!$N$25*Main!$N$25*Main!$N$25*Main!$N$25</f>
        <v>3.6429551435896884E-7</v>
      </c>
      <c r="G41" s="161" t="s">
        <v>86</v>
      </c>
      <c r="H41" s="222"/>
      <c r="I41" s="163">
        <f t="array" ref="I41:M41">IF((VLOOKUP(Main!$N$22,Coefficients!$E$2:$H$28,4,FALSE)) = 125,LINEST('Device Resistance Tables'!$B$20:$B$185,'Device Resistance Tables'!$E$20:$E$185^{1,2,3,4},TRUE,FALSE),LINEST('Device Resistance Tables'!$B$20:$B$210,'Device Resistance Tables'!$E$20:$E$210^{1,2,3,4},TRUE,FALSE))</f>
        <v>-2.2272066242496962E-15</v>
      </c>
      <c r="J41" s="163">
        <v>1.3701863139870555E-10</v>
      </c>
      <c r="K41" s="163">
        <v>-3.442327011860244E-6</v>
      </c>
      <c r="L41" s="163">
        <v>5.256220450624291E-2</v>
      </c>
      <c r="M41" s="163">
        <v>-272.02521353708556</v>
      </c>
      <c r="N41" s="161" t="s">
        <v>62</v>
      </c>
      <c r="Q41" s="222"/>
      <c r="R41" s="222"/>
    </row>
    <row r="42" spans="2:18" ht="15" hidden="1" x14ac:dyDescent="0.2">
      <c r="B42" s="174"/>
      <c r="C42" s="224"/>
      <c r="D42" s="77"/>
      <c r="E42" s="77"/>
      <c r="F42" s="77"/>
      <c r="G42" s="77"/>
      <c r="H42" s="222"/>
      <c r="I42" s="222"/>
      <c r="J42" s="222"/>
      <c r="K42" s="222"/>
      <c r="L42" s="222"/>
      <c r="M42" s="222"/>
      <c r="N42" s="222"/>
      <c r="O42" s="222"/>
      <c r="P42" s="222"/>
      <c r="Q42" s="222"/>
      <c r="R42" s="222"/>
    </row>
    <row r="43" spans="2:18" ht="15" x14ac:dyDescent="0.2">
      <c r="B43" s="174"/>
      <c r="C43" s="224"/>
      <c r="D43" s="77"/>
      <c r="E43" s="77"/>
      <c r="F43" s="77"/>
      <c r="G43" s="77"/>
      <c r="H43" s="222"/>
      <c r="I43" s="222"/>
      <c r="J43" s="222"/>
      <c r="K43" s="222"/>
      <c r="L43" s="222"/>
      <c r="M43" s="222"/>
      <c r="N43" s="222"/>
      <c r="O43" s="222"/>
      <c r="P43" s="222"/>
      <c r="Q43" s="222"/>
      <c r="R43" s="222"/>
    </row>
    <row r="44" spans="2:18" ht="15" x14ac:dyDescent="0.2">
      <c r="B44" s="174"/>
      <c r="C44" s="224"/>
      <c r="D44" s="77"/>
      <c r="E44" s="77"/>
      <c r="F44" s="77"/>
      <c r="G44" s="77"/>
      <c r="H44" s="222"/>
      <c r="I44" s="222"/>
      <c r="J44" s="222"/>
      <c r="K44" s="222"/>
      <c r="L44" s="222"/>
      <c r="M44" s="222"/>
      <c r="N44" s="222"/>
      <c r="O44" s="222"/>
      <c r="P44" s="222"/>
      <c r="Q44" s="222"/>
      <c r="R44" s="222"/>
    </row>
    <row r="45" spans="2:18" ht="15" x14ac:dyDescent="0.2">
      <c r="B45" s="174"/>
      <c r="C45" s="224"/>
      <c r="D45" s="77"/>
      <c r="E45" s="77"/>
      <c r="F45" s="77"/>
      <c r="G45" s="77"/>
      <c r="H45" s="222"/>
      <c r="I45" s="222"/>
      <c r="J45" s="222"/>
      <c r="K45" s="222"/>
      <c r="L45" s="222"/>
      <c r="M45" s="222"/>
      <c r="N45" s="222"/>
      <c r="O45" s="222"/>
      <c r="P45" s="222"/>
      <c r="Q45" s="222"/>
      <c r="R45" s="222"/>
    </row>
    <row r="46" spans="2:18" ht="15" x14ac:dyDescent="0.2">
      <c r="B46" s="174"/>
      <c r="C46" s="224"/>
      <c r="D46" s="77"/>
      <c r="E46" s="77"/>
      <c r="F46" s="77"/>
      <c r="G46" s="77"/>
      <c r="H46" s="222"/>
      <c r="I46" s="222"/>
      <c r="J46" s="222"/>
      <c r="K46" s="222"/>
      <c r="L46" s="222"/>
      <c r="M46" s="222"/>
      <c r="N46" s="222"/>
      <c r="O46" s="222"/>
      <c r="P46" s="222"/>
      <c r="Q46" s="222"/>
      <c r="R46" s="222"/>
    </row>
    <row r="47" spans="2:18" ht="15" x14ac:dyDescent="0.2">
      <c r="B47" s="174"/>
      <c r="C47" s="224"/>
      <c r="D47" s="77"/>
      <c r="E47" s="77"/>
      <c r="F47" s="77"/>
      <c r="G47" s="77"/>
      <c r="H47" s="222"/>
      <c r="I47" s="222"/>
      <c r="J47" s="222"/>
      <c r="K47" s="222"/>
      <c r="L47" s="222"/>
      <c r="M47" s="222"/>
      <c r="N47" s="222"/>
      <c r="O47" s="222"/>
      <c r="P47" s="222"/>
      <c r="Q47" s="222"/>
      <c r="R47" s="222"/>
    </row>
    <row r="48" spans="2:18" ht="15" x14ac:dyDescent="0.2">
      <c r="B48" s="174"/>
      <c r="C48" s="224"/>
      <c r="D48" s="77"/>
      <c r="E48" s="77"/>
      <c r="F48" s="77"/>
      <c r="G48" s="77"/>
      <c r="H48" s="222"/>
      <c r="I48" s="222"/>
      <c r="J48" s="222"/>
      <c r="K48" s="222"/>
      <c r="L48" s="222"/>
      <c r="M48" s="222"/>
      <c r="N48" s="222"/>
      <c r="O48" s="222"/>
      <c r="P48" s="222"/>
      <c r="Q48" s="222"/>
      <c r="R48" s="222"/>
    </row>
    <row r="49" spans="2:18" ht="15" x14ac:dyDescent="0.2">
      <c r="B49" s="174"/>
      <c r="C49" s="224"/>
      <c r="D49" s="77"/>
      <c r="E49" s="77"/>
      <c r="F49" s="77"/>
      <c r="G49" s="77"/>
      <c r="H49" s="222"/>
      <c r="I49" s="222"/>
      <c r="J49" s="222"/>
      <c r="K49" s="222"/>
      <c r="L49" s="222"/>
      <c r="M49" s="222"/>
      <c r="N49" s="222"/>
      <c r="O49" s="222"/>
      <c r="P49" s="222"/>
      <c r="Q49" s="222"/>
      <c r="R49" s="222"/>
    </row>
    <row r="50" spans="2:18" ht="15" x14ac:dyDescent="0.2">
      <c r="B50" s="174"/>
      <c r="C50" s="224"/>
      <c r="D50" s="77"/>
      <c r="E50" s="77"/>
      <c r="F50" s="77"/>
      <c r="G50" s="77"/>
      <c r="H50" s="222"/>
      <c r="I50" s="222"/>
      <c r="J50" s="222"/>
      <c r="K50" s="222"/>
      <c r="L50" s="222"/>
      <c r="M50" s="222"/>
      <c r="N50" s="222"/>
      <c r="O50" s="222"/>
      <c r="P50" s="222"/>
      <c r="Q50" s="222"/>
      <c r="R50" s="222"/>
    </row>
    <row r="51" spans="2:18" ht="15" x14ac:dyDescent="0.2">
      <c r="B51" s="174"/>
      <c r="C51" s="224"/>
      <c r="D51" s="77"/>
      <c r="E51" s="77"/>
      <c r="F51" s="77"/>
      <c r="G51" s="77"/>
      <c r="H51" s="222"/>
      <c r="I51" s="222"/>
      <c r="J51" s="222"/>
      <c r="K51" s="222"/>
      <c r="L51" s="222"/>
      <c r="M51" s="222"/>
      <c r="N51" s="222"/>
      <c r="O51" s="222"/>
      <c r="P51" s="222"/>
      <c r="Q51" s="222"/>
      <c r="R51" s="222"/>
    </row>
    <row r="52" spans="2:18" ht="15" x14ac:dyDescent="0.2">
      <c r="B52" s="174"/>
      <c r="C52" s="224"/>
      <c r="D52" s="77"/>
      <c r="E52" s="77"/>
      <c r="F52" s="77"/>
      <c r="G52" s="77"/>
      <c r="H52" s="222"/>
      <c r="I52" s="222"/>
      <c r="J52" s="222"/>
      <c r="K52" s="222"/>
      <c r="L52" s="222"/>
      <c r="M52" s="222"/>
      <c r="N52" s="222"/>
      <c r="O52" s="222"/>
      <c r="P52" s="222"/>
      <c r="Q52" s="222"/>
      <c r="R52" s="222"/>
    </row>
    <row r="53" spans="2:18" ht="15" x14ac:dyDescent="0.2">
      <c r="B53" s="174"/>
      <c r="C53" s="224"/>
      <c r="D53" s="77"/>
      <c r="E53" s="77"/>
      <c r="F53" s="77"/>
      <c r="G53" s="77"/>
      <c r="H53" s="222"/>
      <c r="I53" s="222"/>
      <c r="J53" s="222"/>
      <c r="K53" s="222"/>
      <c r="L53" s="222"/>
      <c r="M53" s="222"/>
      <c r="N53" s="222"/>
      <c r="O53" s="222"/>
      <c r="P53" s="222"/>
      <c r="Q53" s="222"/>
      <c r="R53" s="222"/>
    </row>
    <row r="54" spans="2:18" ht="15" x14ac:dyDescent="0.2">
      <c r="B54" s="174"/>
      <c r="C54" s="224"/>
      <c r="D54" s="77"/>
      <c r="E54" s="77"/>
      <c r="F54" s="77"/>
      <c r="G54" s="77"/>
      <c r="H54" s="222"/>
      <c r="I54" s="222"/>
      <c r="J54" s="222"/>
      <c r="K54" s="222"/>
      <c r="L54" s="222"/>
      <c r="M54" s="222"/>
      <c r="N54" s="222"/>
      <c r="O54" s="222"/>
      <c r="P54" s="222"/>
      <c r="Q54" s="222"/>
      <c r="R54" s="222"/>
    </row>
    <row r="55" spans="2:18" ht="15" x14ac:dyDescent="0.2">
      <c r="B55" s="174"/>
      <c r="C55" s="224"/>
      <c r="D55" s="77"/>
      <c r="E55" s="77"/>
      <c r="F55" s="77"/>
      <c r="G55" s="77"/>
      <c r="H55" s="222"/>
      <c r="I55" s="222"/>
      <c r="J55" s="222"/>
      <c r="K55" s="222"/>
      <c r="L55" s="222"/>
      <c r="M55" s="222"/>
      <c r="N55" s="222"/>
      <c r="O55" s="222"/>
      <c r="P55" s="222"/>
      <c r="Q55" s="222"/>
      <c r="R55" s="222"/>
    </row>
    <row r="56" spans="2:18" ht="15" x14ac:dyDescent="0.2">
      <c r="B56" s="174"/>
      <c r="C56" s="224"/>
      <c r="D56" s="77"/>
      <c r="E56" s="77"/>
      <c r="F56" s="77"/>
      <c r="G56" s="77"/>
      <c r="H56" s="222"/>
      <c r="I56" s="222"/>
      <c r="J56" s="222"/>
      <c r="K56" s="222"/>
      <c r="L56" s="222"/>
      <c r="M56" s="222"/>
      <c r="N56" s="222"/>
      <c r="O56" s="222"/>
      <c r="P56" s="222"/>
      <c r="Q56" s="222"/>
      <c r="R56" s="222"/>
    </row>
    <row r="57" spans="2:18" ht="15" x14ac:dyDescent="0.2">
      <c r="B57" s="174"/>
      <c r="C57" s="224"/>
      <c r="D57" s="77"/>
      <c r="E57" s="77"/>
      <c r="F57" s="77"/>
      <c r="G57" s="77"/>
      <c r="H57" s="222"/>
      <c r="I57" s="222"/>
      <c r="J57" s="222"/>
      <c r="K57" s="222"/>
      <c r="L57" s="222"/>
      <c r="M57" s="222"/>
      <c r="N57" s="222"/>
      <c r="O57" s="222"/>
      <c r="P57" s="222"/>
      <c r="Q57" s="222"/>
      <c r="R57" s="222"/>
    </row>
    <row r="58" spans="2:18" ht="15" x14ac:dyDescent="0.2">
      <c r="B58" s="174"/>
      <c r="C58" s="224"/>
      <c r="D58" s="77"/>
      <c r="E58" s="77"/>
      <c r="F58" s="77"/>
      <c r="G58" s="77"/>
      <c r="H58" s="222"/>
      <c r="I58" s="222"/>
      <c r="J58" s="222"/>
      <c r="K58" s="222"/>
      <c r="L58" s="222"/>
      <c r="M58" s="222"/>
      <c r="N58" s="222"/>
      <c r="O58" s="222"/>
      <c r="P58" s="222"/>
      <c r="Q58" s="222"/>
      <c r="R58" s="222"/>
    </row>
    <row r="59" spans="2:18" ht="15" x14ac:dyDescent="0.2">
      <c r="B59" s="174"/>
      <c r="C59" s="224"/>
      <c r="D59" s="77"/>
      <c r="E59" s="77"/>
      <c r="F59" s="77"/>
      <c r="G59" s="77"/>
      <c r="H59" s="222"/>
      <c r="I59" s="222"/>
      <c r="J59" s="222"/>
      <c r="K59" s="222"/>
      <c r="L59" s="222"/>
      <c r="M59" s="222"/>
      <c r="N59" s="222"/>
      <c r="O59" s="222"/>
      <c r="P59" s="222"/>
      <c r="Q59" s="222"/>
      <c r="R59" s="222"/>
    </row>
    <row r="60" spans="2:18" ht="15" x14ac:dyDescent="0.2">
      <c r="B60" s="174"/>
      <c r="C60" s="224"/>
      <c r="D60" s="77"/>
      <c r="E60" s="77"/>
      <c r="F60" s="77"/>
      <c r="G60" s="77"/>
      <c r="H60" s="222"/>
      <c r="I60" s="222"/>
      <c r="J60" s="222"/>
      <c r="K60" s="222"/>
      <c r="L60" s="222"/>
      <c r="M60" s="222"/>
      <c r="N60" s="222"/>
      <c r="O60" s="222"/>
      <c r="P60" s="222"/>
      <c r="Q60" s="222"/>
      <c r="R60" s="222"/>
    </row>
    <row r="61" spans="2:18" ht="15" x14ac:dyDescent="0.2">
      <c r="B61" s="174"/>
      <c r="C61" s="224"/>
      <c r="D61" s="77"/>
      <c r="E61" s="77"/>
      <c r="F61" s="77"/>
      <c r="G61" s="77"/>
      <c r="H61" s="222"/>
      <c r="I61" s="222"/>
      <c r="J61" s="222"/>
      <c r="K61" s="222"/>
      <c r="L61" s="222"/>
      <c r="M61" s="222"/>
      <c r="N61" s="222"/>
      <c r="O61" s="222"/>
      <c r="P61" s="222"/>
      <c r="Q61" s="222"/>
      <c r="R61" s="222"/>
    </row>
    <row r="62" spans="2:18" ht="15" x14ac:dyDescent="0.2">
      <c r="B62" s="174"/>
      <c r="C62" s="224"/>
      <c r="D62" s="77"/>
      <c r="E62" s="77"/>
      <c r="F62" s="77"/>
      <c r="G62" s="77"/>
      <c r="H62" s="222"/>
      <c r="I62" s="222"/>
      <c r="J62" s="222"/>
      <c r="K62" s="222"/>
      <c r="L62" s="222"/>
      <c r="M62" s="222"/>
      <c r="N62" s="222"/>
      <c r="O62" s="222"/>
      <c r="P62" s="222"/>
      <c r="Q62" s="222"/>
      <c r="R62" s="222"/>
    </row>
    <row r="63" spans="2:18" ht="15" x14ac:dyDescent="0.2">
      <c r="B63" s="174"/>
      <c r="C63" s="224"/>
      <c r="D63" s="77"/>
      <c r="E63" s="77"/>
      <c r="F63" s="77"/>
      <c r="G63" s="77"/>
      <c r="H63" s="222"/>
      <c r="I63" s="222"/>
      <c r="J63" s="222"/>
      <c r="K63" s="222"/>
      <c r="L63" s="222"/>
      <c r="M63" s="222"/>
      <c r="N63" s="222"/>
      <c r="O63" s="222"/>
      <c r="P63" s="222"/>
      <c r="Q63" s="222"/>
      <c r="R63" s="222"/>
    </row>
    <row r="64" spans="2:18" ht="15" x14ac:dyDescent="0.2">
      <c r="B64" s="174"/>
      <c r="C64" s="224"/>
      <c r="D64" s="77"/>
      <c r="E64" s="77"/>
      <c r="F64" s="77"/>
      <c r="G64" s="77"/>
      <c r="H64" s="222"/>
      <c r="I64" s="222"/>
      <c r="J64" s="222"/>
      <c r="K64" s="222"/>
      <c r="L64" s="222"/>
      <c r="M64" s="222"/>
      <c r="N64" s="222"/>
      <c r="O64" s="222"/>
      <c r="P64" s="222"/>
      <c r="Q64" s="222"/>
      <c r="R64" s="222"/>
    </row>
    <row r="65" spans="1:19" ht="15" x14ac:dyDescent="0.2">
      <c r="B65" s="174"/>
      <c r="C65" s="224"/>
      <c r="D65" s="77"/>
      <c r="E65" s="77"/>
      <c r="F65" s="77"/>
      <c r="G65" s="77"/>
      <c r="H65" s="222"/>
      <c r="I65" s="222"/>
      <c r="J65" s="222"/>
      <c r="K65" s="222"/>
      <c r="L65" s="222"/>
      <c r="M65" s="222"/>
      <c r="N65" s="222"/>
      <c r="O65" s="222"/>
      <c r="P65" s="222"/>
      <c r="Q65" s="222"/>
      <c r="R65" s="222"/>
    </row>
    <row r="66" spans="1:19" ht="15" x14ac:dyDescent="0.2">
      <c r="B66" s="174"/>
      <c r="C66" s="224"/>
      <c r="D66" s="77"/>
      <c r="E66" s="77"/>
      <c r="F66" s="77"/>
      <c r="G66" s="77"/>
      <c r="H66" s="222"/>
      <c r="I66" s="222"/>
      <c r="J66" s="222"/>
      <c r="K66" s="222"/>
      <c r="L66" s="222"/>
      <c r="M66" s="222"/>
      <c r="N66" s="222"/>
      <c r="O66" s="222"/>
      <c r="P66" s="222"/>
      <c r="Q66" s="222"/>
      <c r="R66" s="222"/>
    </row>
    <row r="67" spans="1:19" ht="15" x14ac:dyDescent="0.2">
      <c r="B67" s="174"/>
      <c r="C67" s="224"/>
      <c r="D67" s="77"/>
      <c r="E67" s="77"/>
      <c r="F67" s="77"/>
      <c r="G67" s="77"/>
      <c r="H67" s="222"/>
      <c r="I67" s="222"/>
      <c r="J67" s="222"/>
      <c r="K67" s="222"/>
      <c r="L67" s="222"/>
      <c r="M67" s="222"/>
      <c r="N67" s="222"/>
      <c r="O67" s="222"/>
      <c r="P67" s="222"/>
      <c r="Q67" s="222"/>
      <c r="R67" s="222"/>
    </row>
    <row r="68" spans="1:19" ht="15" x14ac:dyDescent="0.2">
      <c r="B68" s="174"/>
      <c r="C68" s="224"/>
      <c r="D68" s="77"/>
      <c r="E68" s="77"/>
      <c r="F68" s="77"/>
      <c r="G68" s="77"/>
      <c r="H68" s="222"/>
      <c r="I68" s="222"/>
      <c r="J68" s="222"/>
      <c r="K68" s="222"/>
      <c r="L68" s="222"/>
      <c r="M68" s="222"/>
      <c r="N68" s="222"/>
      <c r="O68" s="222"/>
      <c r="P68" s="222"/>
      <c r="Q68" s="222"/>
      <c r="R68" s="222"/>
    </row>
    <row r="69" spans="1:19" ht="15" x14ac:dyDescent="0.2">
      <c r="B69" s="174"/>
      <c r="C69" s="224"/>
      <c r="D69" s="77"/>
      <c r="E69" s="77"/>
      <c r="F69" s="77"/>
      <c r="G69" s="77"/>
      <c r="H69" s="222"/>
      <c r="I69" s="222"/>
      <c r="J69" s="222"/>
      <c r="K69" s="222"/>
      <c r="L69" s="222"/>
      <c r="M69" s="222"/>
      <c r="N69" s="222"/>
      <c r="O69" s="222"/>
      <c r="P69" s="222"/>
      <c r="Q69" s="222"/>
      <c r="R69" s="222"/>
    </row>
    <row r="70" spans="1:19" ht="15" x14ac:dyDescent="0.2">
      <c r="B70" s="174"/>
      <c r="C70" s="224"/>
      <c r="D70" s="77"/>
      <c r="E70" s="77"/>
      <c r="F70" s="77"/>
      <c r="G70" s="77"/>
      <c r="H70" s="222"/>
      <c r="I70" s="222"/>
      <c r="J70" s="222"/>
      <c r="K70" s="222"/>
      <c r="L70" s="222"/>
      <c r="M70" s="222"/>
      <c r="N70" s="222"/>
      <c r="O70" s="222"/>
      <c r="P70" s="222"/>
      <c r="Q70" s="222"/>
      <c r="R70" s="222"/>
    </row>
    <row r="71" spans="1:19" ht="15" x14ac:dyDescent="0.2">
      <c r="A71" s="441"/>
      <c r="B71" s="441"/>
      <c r="C71" s="441"/>
      <c r="D71" s="441"/>
      <c r="E71" s="441"/>
      <c r="F71" s="441"/>
      <c r="G71" s="441"/>
      <c r="H71" s="441"/>
      <c r="I71" s="441"/>
      <c r="J71" s="538"/>
      <c r="K71" s="538"/>
      <c r="L71" s="538"/>
      <c r="M71" s="233"/>
      <c r="N71" s="233"/>
      <c r="O71" s="233"/>
      <c r="P71" s="233"/>
      <c r="Q71" s="233"/>
      <c r="R71" s="233"/>
      <c r="S71" s="233"/>
    </row>
    <row r="72" spans="1:19" ht="15.75" thickBot="1" x14ac:dyDescent="0.25">
      <c r="A72" s="441"/>
      <c r="B72" s="441"/>
      <c r="C72" s="441"/>
      <c r="D72" s="441"/>
      <c r="E72" s="441"/>
      <c r="F72" s="441"/>
      <c r="G72" s="441"/>
      <c r="H72" s="441"/>
      <c r="I72" s="441"/>
      <c r="J72" s="441"/>
      <c r="K72" s="538"/>
      <c r="L72" s="538"/>
      <c r="M72" s="233"/>
      <c r="N72" s="233"/>
      <c r="O72" s="233"/>
      <c r="P72" s="233"/>
      <c r="Q72" s="233"/>
      <c r="R72" s="233"/>
      <c r="S72" s="233"/>
    </row>
    <row r="73" spans="1:19" ht="16.5" thickTop="1" x14ac:dyDescent="0.25">
      <c r="A73" s="441"/>
      <c r="B73" s="706" t="s">
        <v>122</v>
      </c>
      <c r="C73" s="707"/>
      <c r="D73" s="707"/>
      <c r="E73" s="707"/>
      <c r="F73" s="707"/>
      <c r="G73" s="707"/>
      <c r="H73" s="708"/>
      <c r="I73" s="708"/>
      <c r="J73" s="709"/>
      <c r="K73" s="538"/>
      <c r="L73" s="538"/>
      <c r="M73" s="233"/>
      <c r="N73" s="233"/>
      <c r="O73" s="233"/>
      <c r="P73" s="233"/>
      <c r="Q73" s="233"/>
      <c r="R73" s="233"/>
      <c r="S73" s="233"/>
    </row>
    <row r="74" spans="1:19" ht="15.75" x14ac:dyDescent="0.25">
      <c r="A74" s="441"/>
      <c r="B74" s="710"/>
      <c r="C74" s="538"/>
      <c r="D74" s="538"/>
      <c r="E74" s="538"/>
      <c r="F74" s="538"/>
      <c r="G74" s="538"/>
      <c r="H74" s="538"/>
      <c r="I74" s="538"/>
      <c r="J74" s="711"/>
      <c r="K74" s="538"/>
      <c r="L74" s="538"/>
      <c r="M74" s="233"/>
      <c r="N74" s="233"/>
      <c r="O74" s="233"/>
      <c r="P74" s="233"/>
      <c r="Q74" s="233"/>
      <c r="R74" s="233"/>
      <c r="S74" s="233"/>
    </row>
    <row r="75" spans="1:19" ht="16.5" thickBot="1" x14ac:dyDescent="0.3">
      <c r="A75" s="441"/>
      <c r="B75" s="712" t="s">
        <v>61</v>
      </c>
      <c r="C75" s="713"/>
      <c r="D75" s="530"/>
      <c r="E75" s="530"/>
      <c r="F75" s="530"/>
      <c r="G75" s="530"/>
      <c r="H75" s="530"/>
      <c r="I75" s="530"/>
      <c r="J75" s="714"/>
      <c r="K75" s="538"/>
      <c r="L75" s="538"/>
      <c r="M75" s="233"/>
      <c r="N75" s="64"/>
      <c r="O75" s="233"/>
      <c r="P75" s="233"/>
      <c r="Q75" s="233"/>
      <c r="R75" s="233"/>
      <c r="S75" s="233"/>
    </row>
    <row r="76" spans="1:19" ht="15.75" thickBot="1" x14ac:dyDescent="0.25">
      <c r="A76" s="441"/>
      <c r="B76" s="715" t="s">
        <v>720</v>
      </c>
      <c r="C76" s="716"/>
      <c r="D76" s="716"/>
      <c r="E76" s="717"/>
      <c r="F76" s="718" t="s">
        <v>116</v>
      </c>
      <c r="G76" s="530"/>
      <c r="H76" s="530"/>
      <c r="I76" s="530"/>
      <c r="J76" s="719"/>
      <c r="K76" s="538"/>
      <c r="L76" s="538"/>
      <c r="M76" s="233"/>
      <c r="N76" s="233"/>
      <c r="O76" s="233"/>
      <c r="P76" s="233"/>
      <c r="Q76" s="233"/>
      <c r="R76" s="233"/>
      <c r="S76" s="233"/>
    </row>
    <row r="77" spans="1:19" ht="15" x14ac:dyDescent="0.2">
      <c r="A77" s="441"/>
      <c r="B77" s="720"/>
      <c r="C77" s="530" t="s">
        <v>11</v>
      </c>
      <c r="D77" s="530"/>
      <c r="E77" s="530"/>
      <c r="F77" s="530"/>
      <c r="G77" s="530"/>
      <c r="H77" s="530"/>
      <c r="I77" s="530"/>
      <c r="J77" s="721"/>
      <c r="K77" s="722"/>
      <c r="L77" s="538"/>
      <c r="M77" s="233"/>
      <c r="N77" s="59"/>
      <c r="O77" s="59"/>
      <c r="P77" s="233"/>
      <c r="Q77" s="233"/>
      <c r="R77" s="233"/>
      <c r="S77" s="233"/>
    </row>
    <row r="78" spans="1:19" ht="15" x14ac:dyDescent="0.2">
      <c r="A78" s="441"/>
      <c r="B78" s="712"/>
      <c r="C78" s="534">
        <f>'4th Order Polynomial TMP vs Res'!B41</f>
        <v>8577.5110973016035</v>
      </c>
      <c r="D78" s="530" t="s">
        <v>81</v>
      </c>
      <c r="E78" s="530"/>
      <c r="F78" s="441"/>
      <c r="G78" s="441"/>
      <c r="H78" s="530"/>
      <c r="I78" s="530"/>
      <c r="J78" s="714"/>
      <c r="K78" s="722"/>
      <c r="L78" s="533"/>
      <c r="M78" s="56"/>
      <c r="N78" s="233"/>
      <c r="O78" s="233"/>
      <c r="P78" s="233"/>
      <c r="Q78" s="233"/>
      <c r="R78" s="233"/>
      <c r="S78" s="233"/>
    </row>
    <row r="79" spans="1:19" ht="15.75" x14ac:dyDescent="0.25">
      <c r="A79" s="441"/>
      <c r="B79" s="723"/>
      <c r="C79" s="534">
        <f>'4th Order Polynomial TMP vs Res'!C41</f>
        <v>55.424734746293893</v>
      </c>
      <c r="D79" s="724" t="s">
        <v>82</v>
      </c>
      <c r="E79" s="535"/>
      <c r="F79" s="536"/>
      <c r="G79" s="536"/>
      <c r="H79" s="725"/>
      <c r="I79" s="530"/>
      <c r="J79" s="714"/>
      <c r="K79" s="722"/>
      <c r="L79" s="533"/>
      <c r="M79" s="65"/>
      <c r="N79" s="233"/>
      <c r="O79" s="234"/>
      <c r="P79" s="233"/>
      <c r="Q79" s="233"/>
      <c r="R79" s="233"/>
      <c r="S79" s="233"/>
    </row>
    <row r="80" spans="1:19" ht="15" x14ac:dyDescent="0.2">
      <c r="A80" s="441"/>
      <c r="B80" s="723"/>
      <c r="C80" s="534">
        <f>'4th Order Polynomial TMP vs Res'!D41</f>
        <v>0.15315208702836436</v>
      </c>
      <c r="D80" s="726" t="s">
        <v>83</v>
      </c>
      <c r="E80" s="537"/>
      <c r="F80" s="538"/>
      <c r="G80" s="539"/>
      <c r="H80" s="530"/>
      <c r="I80" s="530"/>
      <c r="J80" s="714"/>
      <c r="K80" s="727"/>
      <c r="L80" s="533"/>
      <c r="M80" s="65"/>
      <c r="N80" s="233"/>
      <c r="O80" s="234"/>
      <c r="P80" s="233"/>
      <c r="Q80" s="233"/>
      <c r="R80" s="233"/>
      <c r="S80" s="233"/>
    </row>
    <row r="81" spans="1:19" ht="15" x14ac:dyDescent="0.2">
      <c r="A81" s="441"/>
      <c r="B81" s="723"/>
      <c r="C81" s="534">
        <f>'4th Order Polynomial TMP vs Res'!E41</f>
        <v>4.7879451763487967E-5</v>
      </c>
      <c r="D81" s="728" t="s">
        <v>84</v>
      </c>
      <c r="E81" s="540"/>
      <c r="F81" s="538"/>
      <c r="G81" s="539"/>
      <c r="H81" s="530"/>
      <c r="I81" s="530"/>
      <c r="J81" s="714"/>
      <c r="K81" s="727"/>
      <c r="L81" s="533"/>
      <c r="M81" s="65"/>
      <c r="N81" s="233"/>
      <c r="O81" s="234"/>
      <c r="P81" s="233"/>
      <c r="Q81" s="233"/>
      <c r="R81" s="233"/>
      <c r="S81" s="233"/>
    </row>
    <row r="82" spans="1:19" ht="15" x14ac:dyDescent="0.2">
      <c r="A82" s="441"/>
      <c r="B82" s="723"/>
      <c r="C82" s="534">
        <f>'4th Order Polynomial TMP vs Res'!F41</f>
        <v>3.6429551435896884E-7</v>
      </c>
      <c r="D82" s="729" t="s">
        <v>85</v>
      </c>
      <c r="E82" s="540"/>
      <c r="F82" s="538"/>
      <c r="G82" s="539"/>
      <c r="H82" s="530"/>
      <c r="I82" s="530"/>
      <c r="J82" s="714"/>
      <c r="K82" s="538"/>
      <c r="L82" s="538"/>
      <c r="M82" s="233"/>
      <c r="N82" s="233"/>
      <c r="O82" s="234"/>
      <c r="P82" s="233"/>
      <c r="Q82" s="233"/>
      <c r="R82" s="233"/>
      <c r="S82" s="233"/>
    </row>
    <row r="83" spans="1:19" ht="15.75" thickBot="1" x14ac:dyDescent="0.25">
      <c r="A83" s="441"/>
      <c r="B83" s="720"/>
      <c r="C83" s="530"/>
      <c r="D83" s="530"/>
      <c r="E83" s="530"/>
      <c r="F83" s="538"/>
      <c r="G83" s="539"/>
      <c r="H83" s="530"/>
      <c r="I83" s="530"/>
      <c r="J83" s="721"/>
      <c r="K83" s="538"/>
      <c r="L83" s="533"/>
      <c r="M83" s="56"/>
      <c r="N83" s="233"/>
      <c r="O83" s="233"/>
      <c r="P83" s="233"/>
      <c r="Q83" s="233"/>
      <c r="R83" s="233"/>
      <c r="S83" s="233"/>
    </row>
    <row r="84" spans="1:19" ht="15.75" thickBot="1" x14ac:dyDescent="0.25">
      <c r="A84" s="441"/>
      <c r="B84" s="723" t="s">
        <v>36</v>
      </c>
      <c r="C84" s="730">
        <v>25</v>
      </c>
      <c r="D84" s="731" t="s">
        <v>221</v>
      </c>
      <c r="E84" s="535" t="s">
        <v>192</v>
      </c>
      <c r="F84" s="538"/>
      <c r="G84" s="538"/>
      <c r="H84" s="538"/>
      <c r="I84" s="538"/>
      <c r="J84" s="714"/>
      <c r="K84" s="538"/>
      <c r="L84" s="533"/>
      <c r="M84" s="56"/>
      <c r="N84" s="233"/>
      <c r="O84" s="233"/>
      <c r="P84" s="233"/>
      <c r="Q84" s="233"/>
      <c r="R84" s="233"/>
      <c r="S84" s="233"/>
    </row>
    <row r="85" spans="1:19" ht="15" x14ac:dyDescent="0.2">
      <c r="A85" s="441"/>
      <c r="B85" s="723"/>
      <c r="C85" s="550">
        <f>(C84*1.8)+32</f>
        <v>77</v>
      </c>
      <c r="D85" s="535" t="s">
        <v>225</v>
      </c>
      <c r="E85" s="535"/>
      <c r="F85" s="538"/>
      <c r="G85" s="538"/>
      <c r="H85" s="530"/>
      <c r="I85" s="530"/>
      <c r="J85" s="714"/>
      <c r="K85" s="538"/>
      <c r="L85" s="533"/>
      <c r="M85" s="56"/>
      <c r="N85" s="233"/>
      <c r="O85" s="233"/>
      <c r="P85" s="233"/>
      <c r="Q85" s="233"/>
      <c r="R85" s="233"/>
      <c r="S85" s="233"/>
    </row>
    <row r="86" spans="1:19" ht="15.75" thickBot="1" x14ac:dyDescent="0.25">
      <c r="A86" s="441"/>
      <c r="B86" s="723"/>
      <c r="C86" s="732">
        <f>C84+273.15</f>
        <v>298.14999999999998</v>
      </c>
      <c r="D86" s="535" t="s">
        <v>226</v>
      </c>
      <c r="E86" s="535"/>
      <c r="F86" s="538"/>
      <c r="G86" s="538"/>
      <c r="H86" s="530"/>
      <c r="I86" s="530"/>
      <c r="J86" s="714"/>
      <c r="K86" s="539"/>
      <c r="L86" s="533"/>
      <c r="M86" s="56"/>
      <c r="N86" s="233"/>
      <c r="O86" s="233"/>
      <c r="P86" s="233"/>
      <c r="Q86" s="233"/>
      <c r="R86" s="233"/>
      <c r="S86" s="233"/>
    </row>
    <row r="87" spans="1:19" ht="15.75" thickBot="1" x14ac:dyDescent="0.25">
      <c r="A87" s="441"/>
      <c r="B87" s="723" t="s">
        <v>5</v>
      </c>
      <c r="C87" s="551">
        <f>$C$78 + $C$79*$C$84 + $C$80*$C$84^2+ $C$81*$C$84^3 + $C$82*$C$84^4</f>
        <v>10059.739939720781</v>
      </c>
      <c r="D87" s="733" t="s">
        <v>1</v>
      </c>
      <c r="E87" s="535" t="s">
        <v>194</v>
      </c>
      <c r="F87" s="530"/>
      <c r="G87" s="530"/>
      <c r="H87" s="530"/>
      <c r="I87" s="530"/>
      <c r="J87" s="714"/>
      <c r="K87" s="539"/>
      <c r="L87" s="533"/>
      <c r="M87" s="56"/>
      <c r="N87" s="233"/>
      <c r="O87" s="233"/>
      <c r="P87" s="233"/>
      <c r="Q87" s="233"/>
      <c r="R87" s="233"/>
      <c r="S87" s="233"/>
    </row>
    <row r="88" spans="1:19" ht="15.75" x14ac:dyDescent="0.25">
      <c r="A88" s="441"/>
      <c r="B88" s="723"/>
      <c r="C88" s="539"/>
      <c r="D88" s="535"/>
      <c r="E88" s="535"/>
      <c r="F88" s="530"/>
      <c r="G88" s="530"/>
      <c r="H88" s="530"/>
      <c r="I88" s="530"/>
      <c r="J88" s="714"/>
      <c r="K88" s="734"/>
      <c r="L88" s="735"/>
      <c r="M88" s="66"/>
      <c r="N88" s="66"/>
      <c r="O88" s="233"/>
      <c r="P88" s="233"/>
      <c r="Q88" s="233"/>
      <c r="R88" s="233"/>
      <c r="S88" s="233"/>
    </row>
    <row r="89" spans="1:19" ht="15.75" x14ac:dyDescent="0.25">
      <c r="A89" s="441"/>
      <c r="B89" s="736"/>
      <c r="C89" s="539"/>
      <c r="D89" s="538"/>
      <c r="E89" s="538"/>
      <c r="F89" s="538"/>
      <c r="G89" s="538"/>
      <c r="H89" s="530"/>
      <c r="I89" s="530"/>
      <c r="J89" s="711"/>
      <c r="K89" s="538"/>
      <c r="L89" s="538"/>
      <c r="M89" s="233"/>
      <c r="N89" s="233"/>
      <c r="O89" s="233"/>
      <c r="P89" s="233"/>
      <c r="Q89" s="233"/>
      <c r="R89" s="233"/>
      <c r="S89" s="233"/>
    </row>
    <row r="90" spans="1:19" ht="15.75" thickBot="1" x14ac:dyDescent="0.25">
      <c r="A90" s="441"/>
      <c r="B90" s="712" t="s">
        <v>62</v>
      </c>
      <c r="C90" s="441"/>
      <c r="D90" s="441"/>
      <c r="E90" s="441"/>
      <c r="F90" s="441"/>
      <c r="G90" s="441"/>
      <c r="H90" s="530"/>
      <c r="I90" s="530"/>
      <c r="J90" s="714"/>
      <c r="K90" s="538"/>
      <c r="L90" s="538"/>
      <c r="M90" s="233"/>
      <c r="N90" s="64"/>
      <c r="O90" s="233"/>
      <c r="P90" s="233"/>
      <c r="Q90" s="233"/>
      <c r="R90" s="233"/>
      <c r="S90" s="233"/>
    </row>
    <row r="91" spans="1:19" ht="16.5" thickBot="1" x14ac:dyDescent="0.3">
      <c r="A91" s="441"/>
      <c r="B91" s="737" t="s">
        <v>721</v>
      </c>
      <c r="C91" s="716"/>
      <c r="D91" s="716"/>
      <c r="E91" s="717"/>
      <c r="F91" s="718" t="s">
        <v>37</v>
      </c>
      <c r="G91" s="530"/>
      <c r="H91" s="530"/>
      <c r="I91" s="530"/>
      <c r="J91" s="719"/>
      <c r="K91" s="538"/>
      <c r="L91" s="538"/>
      <c r="M91" s="233"/>
      <c r="N91" s="233"/>
      <c r="O91" s="233"/>
      <c r="P91" s="233"/>
      <c r="Q91" s="233"/>
      <c r="R91" s="233"/>
      <c r="S91" s="233"/>
    </row>
    <row r="92" spans="1:19" ht="15" x14ac:dyDescent="0.2">
      <c r="A92" s="441"/>
      <c r="B92" s="720"/>
      <c r="C92" s="530" t="s">
        <v>11</v>
      </c>
      <c r="D92" s="530"/>
      <c r="E92" s="530"/>
      <c r="F92" s="530"/>
      <c r="G92" s="530"/>
      <c r="H92" s="530"/>
      <c r="I92" s="530"/>
      <c r="J92" s="721"/>
      <c r="K92" s="722"/>
      <c r="L92" s="538"/>
      <c r="M92" s="56"/>
      <c r="N92" s="59"/>
      <c r="O92" s="59"/>
      <c r="P92" s="233"/>
      <c r="Q92" s="233"/>
      <c r="R92" s="233"/>
      <c r="S92" s="233"/>
    </row>
    <row r="93" spans="1:19" ht="15.75" x14ac:dyDescent="0.25">
      <c r="A93" s="441"/>
      <c r="B93" s="712"/>
      <c r="C93" s="534">
        <f>'4th Order Polynomial TMP vs Res'!M41</f>
        <v>-272.02521353708556</v>
      </c>
      <c r="D93" s="530" t="s">
        <v>81</v>
      </c>
      <c r="E93" s="607"/>
      <c r="F93" s="738"/>
      <c r="G93" s="738"/>
      <c r="H93" s="530"/>
      <c r="I93" s="530"/>
      <c r="J93" s="714"/>
      <c r="K93" s="722"/>
      <c r="L93" s="538"/>
      <c r="M93" s="233"/>
      <c r="N93" s="233"/>
      <c r="O93" s="234"/>
      <c r="P93" s="233"/>
      <c r="Q93" s="233"/>
      <c r="R93" s="233"/>
      <c r="S93" s="233"/>
    </row>
    <row r="94" spans="1:19" ht="15" x14ac:dyDescent="0.2">
      <c r="A94" s="441"/>
      <c r="B94" s="723"/>
      <c r="C94" s="534">
        <f>'4th Order Polynomial TMP vs Res'!L41</f>
        <v>5.256220450624291E-2</v>
      </c>
      <c r="D94" s="724" t="s">
        <v>82</v>
      </c>
      <c r="E94" s="441"/>
      <c r="F94" s="441"/>
      <c r="G94" s="268"/>
      <c r="H94" s="530"/>
      <c r="I94" s="530"/>
      <c r="J94" s="714"/>
      <c r="K94" s="722"/>
      <c r="L94" s="538"/>
      <c r="M94" s="233"/>
      <c r="N94" s="233"/>
      <c r="O94" s="233"/>
      <c r="P94" s="233"/>
      <c r="Q94" s="233"/>
      <c r="R94" s="233"/>
      <c r="S94" s="233"/>
    </row>
    <row r="95" spans="1:19" ht="15" x14ac:dyDescent="0.2">
      <c r="A95" s="441"/>
      <c r="B95" s="720"/>
      <c r="C95" s="534">
        <f>'4th Order Polynomial TMP vs Res'!K41</f>
        <v>-3.442327011860244E-6</v>
      </c>
      <c r="D95" s="726" t="s">
        <v>83</v>
      </c>
      <c r="E95" s="441"/>
      <c r="F95" s="538"/>
      <c r="G95" s="539"/>
      <c r="H95" s="535"/>
      <c r="I95" s="530"/>
      <c r="J95" s="721"/>
      <c r="K95" s="722"/>
      <c r="L95" s="533"/>
      <c r="M95" s="233"/>
      <c r="N95" s="233"/>
      <c r="O95" s="233"/>
      <c r="P95" s="233"/>
      <c r="Q95" s="233"/>
      <c r="R95" s="233"/>
      <c r="S95" s="233"/>
    </row>
    <row r="96" spans="1:19" ht="15" x14ac:dyDescent="0.2">
      <c r="A96" s="441"/>
      <c r="B96" s="720"/>
      <c r="C96" s="534">
        <f>'4th Order Polynomial TMP vs Res'!J41</f>
        <v>1.3701863139870555E-10</v>
      </c>
      <c r="D96" s="728" t="s">
        <v>84</v>
      </c>
      <c r="E96" s="441"/>
      <c r="F96" s="493"/>
      <c r="G96" s="539"/>
      <c r="H96" s="530"/>
      <c r="I96" s="530"/>
      <c r="J96" s="721"/>
      <c r="K96" s="722"/>
      <c r="L96" s="538"/>
      <c r="M96" s="233"/>
      <c r="N96" s="233"/>
      <c r="O96" s="233"/>
      <c r="P96" s="233"/>
      <c r="Q96" s="233"/>
      <c r="R96" s="233"/>
      <c r="S96" s="233"/>
    </row>
    <row r="97" spans="1:19" ht="15" x14ac:dyDescent="0.2">
      <c r="A97" s="441"/>
      <c r="B97" s="720"/>
      <c r="C97" s="534">
        <f>'4th Order Polynomial TMP vs Res'!I41</f>
        <v>-2.2272066242496962E-15</v>
      </c>
      <c r="D97" s="729" t="s">
        <v>85</v>
      </c>
      <c r="E97" s="441"/>
      <c r="F97" s="493"/>
      <c r="G97" s="539"/>
      <c r="H97" s="535"/>
      <c r="I97" s="530"/>
      <c r="J97" s="721"/>
      <c r="K97" s="538"/>
      <c r="L97" s="538"/>
      <c r="M97" s="233"/>
      <c r="N97" s="233"/>
      <c r="O97" s="233"/>
      <c r="P97" s="233"/>
      <c r="Q97" s="233"/>
      <c r="R97" s="233"/>
      <c r="S97" s="233"/>
    </row>
    <row r="98" spans="1:19" ht="15.75" thickBot="1" x14ac:dyDescent="0.25">
      <c r="A98" s="441"/>
      <c r="B98" s="720"/>
      <c r="C98" s="441"/>
      <c r="D98" s="441"/>
      <c r="E98" s="441"/>
      <c r="F98" s="441"/>
      <c r="G98" s="493"/>
      <c r="H98" s="530"/>
      <c r="I98" s="530"/>
      <c r="J98" s="721"/>
      <c r="K98" s="539"/>
      <c r="L98" s="533"/>
      <c r="M98" s="56"/>
      <c r="N98" s="233"/>
      <c r="O98" s="233"/>
      <c r="P98" s="233"/>
      <c r="Q98" s="233"/>
      <c r="R98" s="233"/>
      <c r="S98" s="233"/>
    </row>
    <row r="99" spans="1:19" ht="15.75" thickBot="1" x14ac:dyDescent="0.25">
      <c r="A99" s="441"/>
      <c r="B99" s="723" t="s">
        <v>5</v>
      </c>
      <c r="C99" s="739">
        <v>10052</v>
      </c>
      <c r="D99" s="731" t="s">
        <v>1</v>
      </c>
      <c r="E99" s="535" t="s">
        <v>191</v>
      </c>
      <c r="F99" s="530"/>
      <c r="G99" s="530"/>
      <c r="H99" s="530"/>
      <c r="I99" s="530"/>
      <c r="J99" s="714"/>
      <c r="K99" s="523"/>
      <c r="L99" s="533"/>
      <c r="M99" s="56"/>
      <c r="N99" s="233"/>
      <c r="O99" s="233"/>
      <c r="P99" s="233"/>
      <c r="Q99" s="233"/>
      <c r="R99" s="233"/>
      <c r="S99" s="233"/>
    </row>
    <row r="100" spans="1:19" ht="15.75" thickBot="1" x14ac:dyDescent="0.25">
      <c r="A100" s="441"/>
      <c r="B100" s="723" t="s">
        <v>36</v>
      </c>
      <c r="C100" s="740">
        <f>$C$97*C99^4 + $C$96*C99^3 + $C$95*C99^2 + $C$94*C99 + $C$93</f>
        <v>24.936341911713896</v>
      </c>
      <c r="D100" s="741" t="s">
        <v>221</v>
      </c>
      <c r="E100" s="535" t="s">
        <v>193</v>
      </c>
      <c r="F100" s="530"/>
      <c r="G100" s="530"/>
      <c r="H100" s="530"/>
      <c r="I100" s="530"/>
      <c r="J100" s="714"/>
      <c r="K100" s="667"/>
      <c r="L100" s="538"/>
      <c r="M100" s="233"/>
      <c r="N100" s="233"/>
      <c r="O100" s="233"/>
      <c r="P100" s="233"/>
      <c r="Q100" s="233"/>
      <c r="R100" s="233"/>
      <c r="S100" s="233"/>
    </row>
    <row r="101" spans="1:19" ht="15" x14ac:dyDescent="0.2">
      <c r="A101" s="441"/>
      <c r="B101" s="720"/>
      <c r="C101" s="742">
        <f>(C100*1.8)+32</f>
        <v>76.885415441085016</v>
      </c>
      <c r="D101" s="533" t="s">
        <v>225</v>
      </c>
      <c r="E101" s="535"/>
      <c r="F101" s="530"/>
      <c r="G101" s="530"/>
      <c r="H101" s="530"/>
      <c r="I101" s="530"/>
      <c r="J101" s="721"/>
      <c r="K101" s="538"/>
      <c r="L101" s="538"/>
      <c r="M101" s="233"/>
      <c r="N101" s="233"/>
      <c r="O101" s="233"/>
      <c r="P101" s="233"/>
      <c r="Q101" s="233"/>
      <c r="R101" s="233"/>
      <c r="S101" s="233"/>
    </row>
    <row r="102" spans="1:19" ht="15" x14ac:dyDescent="0.2">
      <c r="A102" s="441"/>
      <c r="B102" s="720"/>
      <c r="C102" s="552">
        <f>C100+273.15</f>
        <v>298.08634191171387</v>
      </c>
      <c r="D102" s="535" t="s">
        <v>226</v>
      </c>
      <c r="E102" s="530"/>
      <c r="F102" s="743"/>
      <c r="G102" s="530"/>
      <c r="H102" s="530"/>
      <c r="I102" s="530"/>
      <c r="J102" s="721"/>
      <c r="K102" s="538"/>
      <c r="L102" s="538"/>
      <c r="M102" s="233"/>
      <c r="N102" s="233"/>
      <c r="O102" s="233"/>
      <c r="P102" s="233"/>
      <c r="Q102" s="233"/>
      <c r="R102" s="233"/>
      <c r="S102" s="233"/>
    </row>
    <row r="103" spans="1:19" ht="15" x14ac:dyDescent="0.2">
      <c r="A103" s="441"/>
      <c r="B103" s="720"/>
      <c r="C103" s="441"/>
      <c r="D103" s="441"/>
      <c r="E103" s="441"/>
      <c r="F103" s="441"/>
      <c r="G103" s="530"/>
      <c r="H103" s="530"/>
      <c r="I103" s="530"/>
      <c r="J103" s="721"/>
      <c r="K103" s="538"/>
      <c r="L103" s="538"/>
      <c r="M103" s="233"/>
      <c r="N103" s="233"/>
      <c r="O103" s="233"/>
      <c r="P103" s="233"/>
      <c r="Q103" s="233"/>
      <c r="R103" s="233"/>
      <c r="S103" s="233"/>
    </row>
    <row r="104" spans="1:19" ht="15" x14ac:dyDescent="0.2">
      <c r="A104" s="441"/>
      <c r="B104" s="720"/>
      <c r="C104" s="530"/>
      <c r="D104" s="530"/>
      <c r="E104" s="530"/>
      <c r="F104" s="530"/>
      <c r="G104" s="530"/>
      <c r="H104" s="530"/>
      <c r="I104" s="530"/>
      <c r="J104" s="721"/>
      <c r="K104" s="538"/>
      <c r="L104" s="538"/>
      <c r="M104" s="233"/>
      <c r="N104" s="233"/>
      <c r="O104" s="233"/>
      <c r="P104" s="233"/>
      <c r="Q104" s="233"/>
      <c r="R104" s="233"/>
      <c r="S104" s="233"/>
    </row>
    <row r="105" spans="1:19" ht="15.75" thickBot="1" x14ac:dyDescent="0.25">
      <c r="A105" s="441"/>
      <c r="B105" s="744"/>
      <c r="C105" s="745"/>
      <c r="D105" s="745"/>
      <c r="E105" s="745"/>
      <c r="F105" s="745"/>
      <c r="G105" s="745"/>
      <c r="H105" s="745"/>
      <c r="I105" s="745"/>
      <c r="J105" s="746"/>
      <c r="K105" s="538"/>
      <c r="L105" s="538"/>
      <c r="M105" s="233"/>
      <c r="N105" s="233"/>
      <c r="O105" s="233"/>
      <c r="P105" s="233"/>
      <c r="Q105" s="233"/>
      <c r="R105" s="233"/>
      <c r="S105" s="233"/>
    </row>
    <row r="106" spans="1:19" ht="15.75" thickTop="1" x14ac:dyDescent="0.2">
      <c r="A106" s="441"/>
      <c r="B106" s="441"/>
      <c r="C106" s="441"/>
      <c r="D106" s="441"/>
      <c r="E106" s="441"/>
      <c r="F106" s="441"/>
      <c r="G106" s="441"/>
      <c r="H106" s="441"/>
      <c r="I106" s="441"/>
      <c r="J106" s="441"/>
      <c r="K106" s="441"/>
      <c r="L106" s="441"/>
    </row>
    <row r="107" spans="1:19" x14ac:dyDescent="0.2"/>
    <row r="108" spans="1:19" x14ac:dyDescent="0.2"/>
    <row r="109" spans="1:19" x14ac:dyDescent="0.2"/>
    <row r="110" spans="1:19" x14ac:dyDescent="0.2"/>
    <row r="111" spans="1:19" x14ac:dyDescent="0.2"/>
    <row r="112" spans="1:19" x14ac:dyDescent="0.2"/>
    <row r="113" spans="1:14" x14ac:dyDescent="0.2"/>
    <row r="114" spans="1:14" ht="16.5" thickBot="1" x14ac:dyDescent="0.3">
      <c r="A114" s="242" t="s">
        <v>145</v>
      </c>
      <c r="D114" s="242" t="s">
        <v>281</v>
      </c>
    </row>
    <row r="115" spans="1:14" ht="13.5" thickTop="1" x14ac:dyDescent="0.2">
      <c r="A115" s="195"/>
      <c r="B115" s="196"/>
      <c r="C115" s="196"/>
      <c r="D115" s="196"/>
      <c r="E115" s="196"/>
      <c r="F115" s="196"/>
      <c r="G115" s="196"/>
      <c r="H115" s="196"/>
      <c r="I115" s="196"/>
      <c r="J115" s="196"/>
      <c r="K115" s="196"/>
      <c r="L115" s="196"/>
      <c r="M115" s="197"/>
      <c r="N115" s="222"/>
    </row>
    <row r="116" spans="1:14" x14ac:dyDescent="0.2">
      <c r="A116" s="32" t="s">
        <v>126</v>
      </c>
      <c r="B116" s="33"/>
      <c r="C116" s="33"/>
      <c r="D116" s="33"/>
      <c r="E116" s="33"/>
      <c r="F116" s="33"/>
      <c r="G116" s="33"/>
      <c r="H116" s="33"/>
      <c r="I116" s="33"/>
      <c r="J116" s="33"/>
      <c r="K116" s="33"/>
      <c r="L116" s="33"/>
      <c r="M116" s="34"/>
      <c r="N116" s="222"/>
    </row>
    <row r="117" spans="1:14" x14ac:dyDescent="0.2">
      <c r="A117" s="32" t="s">
        <v>210</v>
      </c>
      <c r="B117" s="33"/>
      <c r="C117" s="33"/>
      <c r="D117" s="33"/>
      <c r="E117" s="33"/>
      <c r="F117" s="33"/>
      <c r="G117" s="33"/>
      <c r="H117" s="33"/>
      <c r="I117" s="33"/>
      <c r="J117" s="33"/>
      <c r="K117" s="33"/>
      <c r="L117" s="33"/>
      <c r="M117" s="34"/>
      <c r="N117" s="222"/>
    </row>
    <row r="118" spans="1:14" x14ac:dyDescent="0.2">
      <c r="A118" s="187"/>
      <c r="B118" s="224"/>
      <c r="C118" s="224"/>
      <c r="D118" s="224"/>
      <c r="E118" s="224"/>
      <c r="F118" s="224"/>
      <c r="G118" s="224"/>
      <c r="H118" s="224"/>
      <c r="I118" s="224"/>
      <c r="J118" s="224"/>
      <c r="K118" s="224"/>
      <c r="L118" s="224"/>
      <c r="M118" s="188"/>
      <c r="N118" s="222"/>
    </row>
    <row r="119" spans="1:14" x14ac:dyDescent="0.2">
      <c r="A119" s="189"/>
      <c r="B119" s="233"/>
      <c r="C119" s="233"/>
      <c r="D119" s="233"/>
      <c r="E119" s="233"/>
      <c r="F119" s="224"/>
      <c r="G119" s="224"/>
      <c r="H119" s="224"/>
      <c r="I119" s="224"/>
      <c r="J119" s="224"/>
      <c r="K119" s="224"/>
      <c r="L119" s="224"/>
      <c r="M119" s="188"/>
      <c r="N119" s="222"/>
    </row>
    <row r="120" spans="1:14" x14ac:dyDescent="0.2">
      <c r="A120" s="189"/>
      <c r="B120" s="233" t="s">
        <v>283</v>
      </c>
      <c r="C120" s="233"/>
      <c r="D120" s="234">
        <f>B25</f>
        <v>10000</v>
      </c>
      <c r="E120" s="233" t="s">
        <v>267</v>
      </c>
      <c r="F120" s="224"/>
      <c r="G120" s="224"/>
      <c r="H120" s="224"/>
      <c r="I120" s="330" t="s">
        <v>127</v>
      </c>
      <c r="J120" s="224"/>
      <c r="K120" s="224"/>
      <c r="L120" s="224"/>
      <c r="M120" s="188"/>
      <c r="N120" s="222"/>
    </row>
    <row r="121" spans="1:14" x14ac:dyDescent="0.2">
      <c r="A121" s="191"/>
      <c r="B121" s="233" t="s">
        <v>274</v>
      </c>
      <c r="C121" s="233"/>
      <c r="D121" s="239">
        <f>B24</f>
        <v>5</v>
      </c>
      <c r="E121" s="233" t="s">
        <v>267</v>
      </c>
      <c r="F121" s="233"/>
      <c r="G121" s="233"/>
      <c r="H121" s="233"/>
      <c r="I121" s="330" t="s">
        <v>128</v>
      </c>
      <c r="J121" s="331"/>
      <c r="K121" s="331"/>
      <c r="L121" s="331"/>
      <c r="M121" s="176"/>
    </row>
    <row r="122" spans="1:14" x14ac:dyDescent="0.2">
      <c r="A122" s="191"/>
      <c r="B122" s="233" t="s">
        <v>268</v>
      </c>
      <c r="C122" s="233"/>
      <c r="D122" s="233">
        <f>2^B26</f>
        <v>65536</v>
      </c>
      <c r="E122" s="233" t="s">
        <v>267</v>
      </c>
      <c r="F122" s="233"/>
      <c r="G122" s="233"/>
      <c r="H122" s="233"/>
      <c r="I122" s="330" t="s">
        <v>519</v>
      </c>
      <c r="J122" s="331"/>
      <c r="K122" s="331"/>
      <c r="L122" s="331"/>
      <c r="M122" s="176"/>
    </row>
    <row r="123" spans="1:14" x14ac:dyDescent="0.2">
      <c r="A123" s="191"/>
      <c r="B123" s="233" t="s">
        <v>640</v>
      </c>
      <c r="C123" s="233"/>
      <c r="D123" s="233"/>
      <c r="E123" s="233"/>
      <c r="F123" s="233"/>
      <c r="G123" s="233"/>
      <c r="H123" s="233"/>
      <c r="I123" s="330" t="s">
        <v>520</v>
      </c>
      <c r="J123" s="331"/>
      <c r="K123" s="331"/>
      <c r="L123" s="233"/>
      <c r="M123" s="176"/>
    </row>
    <row r="124" spans="1:14" x14ac:dyDescent="0.2">
      <c r="A124" s="191"/>
      <c r="B124" s="233" t="s">
        <v>527</v>
      </c>
      <c r="C124" s="233"/>
      <c r="D124" s="233"/>
      <c r="E124" s="233"/>
      <c r="F124" s="233"/>
      <c r="G124" s="233"/>
      <c r="H124" s="233"/>
      <c r="I124" s="330" t="s">
        <v>521</v>
      </c>
      <c r="J124" s="331"/>
      <c r="K124" s="331"/>
      <c r="L124" s="233"/>
      <c r="M124" s="176"/>
    </row>
    <row r="125" spans="1:14" x14ac:dyDescent="0.2">
      <c r="A125" s="191"/>
      <c r="B125" s="233" t="s">
        <v>528</v>
      </c>
      <c r="C125" s="233"/>
      <c r="D125" s="233"/>
      <c r="E125" s="233"/>
      <c r="F125" s="233"/>
      <c r="G125" s="233"/>
      <c r="H125" s="233"/>
      <c r="I125" s="330" t="s">
        <v>130</v>
      </c>
      <c r="J125" s="331"/>
      <c r="K125" s="331"/>
      <c r="L125" s="233"/>
      <c r="M125" s="176"/>
    </row>
    <row r="126" spans="1:14" x14ac:dyDescent="0.2">
      <c r="A126" s="191"/>
      <c r="B126" s="233"/>
      <c r="C126" s="233"/>
      <c r="D126" s="233"/>
      <c r="E126" s="233"/>
      <c r="F126" s="233"/>
      <c r="G126" s="233"/>
      <c r="H126" s="233"/>
      <c r="I126" s="233"/>
      <c r="J126" s="233"/>
      <c r="K126" s="233"/>
      <c r="L126" s="233"/>
      <c r="M126" s="176"/>
    </row>
    <row r="127" spans="1:14" x14ac:dyDescent="0.2">
      <c r="A127" s="191"/>
      <c r="B127" s="233"/>
      <c r="C127" s="233"/>
      <c r="D127" s="233"/>
      <c r="E127" s="233"/>
      <c r="F127" s="233"/>
      <c r="G127" s="233"/>
      <c r="H127" s="233"/>
      <c r="I127" s="233"/>
      <c r="J127" s="233"/>
      <c r="K127" s="233"/>
      <c r="L127" s="233"/>
      <c r="M127" s="176"/>
    </row>
    <row r="128" spans="1:14" x14ac:dyDescent="0.2">
      <c r="A128" s="191"/>
      <c r="B128" s="238" t="s">
        <v>509</v>
      </c>
      <c r="C128" s="224"/>
      <c r="D128" s="233"/>
      <c r="E128" s="224"/>
      <c r="F128" s="233"/>
      <c r="G128" s="233"/>
      <c r="H128" s="233"/>
      <c r="I128" s="238" t="s">
        <v>125</v>
      </c>
      <c r="J128" s="233"/>
      <c r="K128" s="233"/>
      <c r="L128" s="233"/>
      <c r="M128" s="176"/>
    </row>
    <row r="129" spans="1:13" x14ac:dyDescent="0.2">
      <c r="A129" s="191"/>
      <c r="B129" s="224" t="s">
        <v>31</v>
      </c>
      <c r="C129" s="224"/>
      <c r="D129" s="224"/>
      <c r="E129" s="224"/>
      <c r="F129" s="233"/>
      <c r="G129" s="233"/>
      <c r="H129" s="233"/>
      <c r="I129" s="233"/>
      <c r="J129" s="233"/>
      <c r="K129" s="233"/>
      <c r="L129" s="233"/>
      <c r="M129" s="176"/>
    </row>
    <row r="130" spans="1:13" x14ac:dyDescent="0.2">
      <c r="A130" s="191"/>
      <c r="B130" s="233" t="s">
        <v>530</v>
      </c>
      <c r="C130" s="233"/>
      <c r="D130" s="233"/>
      <c r="E130" s="233"/>
      <c r="F130" s="233"/>
      <c r="G130" s="233"/>
      <c r="H130" s="233"/>
      <c r="I130" s="233"/>
      <c r="J130" s="233"/>
      <c r="K130" s="233"/>
      <c r="L130" s="233"/>
      <c r="M130" s="176"/>
    </row>
    <row r="131" spans="1:13" x14ac:dyDescent="0.2">
      <c r="A131" s="191"/>
      <c r="B131" s="233" t="s">
        <v>641</v>
      </c>
      <c r="C131" s="233"/>
      <c r="D131" s="233"/>
      <c r="E131" s="233"/>
      <c r="F131" s="233"/>
      <c r="G131" s="233"/>
      <c r="H131" s="233"/>
      <c r="I131" s="233" t="s">
        <v>131</v>
      </c>
      <c r="J131" s="233"/>
      <c r="K131" s="233"/>
      <c r="L131" s="233"/>
      <c r="M131" s="176"/>
    </row>
    <row r="132" spans="1:13" x14ac:dyDescent="0.2">
      <c r="A132" s="191"/>
      <c r="B132" s="233" t="s">
        <v>531</v>
      </c>
      <c r="C132" s="233"/>
      <c r="D132" s="233"/>
      <c r="E132" s="233"/>
      <c r="F132" s="233"/>
      <c r="G132" s="233"/>
      <c r="H132" s="233"/>
      <c r="I132" s="233" t="s">
        <v>131</v>
      </c>
      <c r="J132" s="233"/>
      <c r="K132" s="233"/>
      <c r="L132" s="233"/>
      <c r="M132" s="176"/>
    </row>
    <row r="133" spans="1:13" x14ac:dyDescent="0.2">
      <c r="A133" s="191"/>
      <c r="B133" s="233" t="s">
        <v>532</v>
      </c>
      <c r="C133" s="233"/>
      <c r="D133" s="233"/>
      <c r="E133" s="233"/>
      <c r="F133" s="233"/>
      <c r="G133" s="233"/>
      <c r="H133" s="233"/>
      <c r="I133" s="233"/>
      <c r="J133" s="233"/>
      <c r="K133" s="233"/>
      <c r="L133" s="233"/>
      <c r="M133" s="176"/>
    </row>
    <row r="134" spans="1:13" x14ac:dyDescent="0.2">
      <c r="A134" s="191"/>
      <c r="B134" s="233"/>
      <c r="C134" s="233"/>
      <c r="D134" s="233"/>
      <c r="E134" s="233"/>
      <c r="F134" s="233"/>
      <c r="G134" s="233"/>
      <c r="H134" s="233"/>
      <c r="I134" s="233"/>
      <c r="J134" s="233"/>
      <c r="K134" s="233"/>
      <c r="L134" s="233"/>
      <c r="M134" s="176"/>
    </row>
    <row r="135" spans="1:13" x14ac:dyDescent="0.2">
      <c r="A135" s="191"/>
      <c r="B135" s="233" t="s">
        <v>548</v>
      </c>
      <c r="C135" s="192">
        <f>C93</f>
        <v>-272.02521353708556</v>
      </c>
      <c r="D135" s="233" t="s">
        <v>267</v>
      </c>
      <c r="E135" s="233"/>
      <c r="F135" s="233"/>
      <c r="G135" s="233"/>
      <c r="H135" s="233"/>
      <c r="I135" s="233"/>
      <c r="J135" s="233"/>
      <c r="K135" s="233"/>
      <c r="L135" s="233"/>
      <c r="M135" s="176"/>
    </row>
    <row r="136" spans="1:13" x14ac:dyDescent="0.2">
      <c r="A136" s="191"/>
      <c r="B136" s="233" t="s">
        <v>549</v>
      </c>
      <c r="C136" s="192">
        <f>C94</f>
        <v>5.256220450624291E-2</v>
      </c>
      <c r="D136" s="233" t="s">
        <v>267</v>
      </c>
      <c r="E136" s="233"/>
      <c r="F136" s="233"/>
      <c r="G136" s="233"/>
      <c r="H136" s="233"/>
      <c r="I136" s="233"/>
      <c r="J136" s="233"/>
      <c r="K136" s="233"/>
      <c r="L136" s="233"/>
      <c r="M136" s="176"/>
    </row>
    <row r="137" spans="1:13" x14ac:dyDescent="0.2">
      <c r="A137" s="191"/>
      <c r="B137" s="233" t="s">
        <v>550</v>
      </c>
      <c r="C137" s="192">
        <f>C95</f>
        <v>-3.442327011860244E-6</v>
      </c>
      <c r="D137" s="233" t="s">
        <v>267</v>
      </c>
      <c r="E137" s="233"/>
      <c r="F137" s="233"/>
      <c r="G137" s="233"/>
      <c r="H137" s="233"/>
      <c r="I137" s="233"/>
      <c r="J137" s="233"/>
      <c r="K137" s="233"/>
      <c r="L137" s="233"/>
      <c r="M137" s="176"/>
    </row>
    <row r="138" spans="1:13" x14ac:dyDescent="0.2">
      <c r="A138" s="191"/>
      <c r="B138" s="233" t="s">
        <v>551</v>
      </c>
      <c r="C138" s="192">
        <f>C96</f>
        <v>1.3701863139870555E-10</v>
      </c>
      <c r="D138" s="233" t="s">
        <v>267</v>
      </c>
      <c r="E138" s="233"/>
      <c r="F138" s="233"/>
      <c r="G138" s="233"/>
      <c r="H138" s="233"/>
      <c r="I138" s="233"/>
      <c r="J138" s="233"/>
      <c r="K138" s="233"/>
      <c r="L138" s="233"/>
      <c r="M138" s="176"/>
    </row>
    <row r="139" spans="1:13" x14ac:dyDescent="0.2">
      <c r="A139" s="191"/>
      <c r="B139" s="233" t="s">
        <v>552</v>
      </c>
      <c r="C139" s="192">
        <f>C97</f>
        <v>-2.2272066242496962E-15</v>
      </c>
      <c r="D139" s="233" t="s">
        <v>267</v>
      </c>
      <c r="E139" s="233"/>
      <c r="F139" s="233"/>
      <c r="G139" s="233"/>
      <c r="H139" s="233"/>
      <c r="I139" s="233"/>
      <c r="J139" s="233"/>
      <c r="K139" s="233"/>
      <c r="L139" s="233"/>
      <c r="M139" s="176"/>
    </row>
    <row r="140" spans="1:13" x14ac:dyDescent="0.2">
      <c r="A140" s="191"/>
      <c r="B140" s="233"/>
      <c r="C140" s="233"/>
      <c r="D140" s="233"/>
      <c r="E140" s="233"/>
      <c r="F140" s="233"/>
      <c r="G140" s="233"/>
      <c r="H140" s="233"/>
      <c r="I140" s="233"/>
      <c r="J140" s="233"/>
      <c r="K140" s="233"/>
      <c r="L140" s="233"/>
      <c r="M140" s="176"/>
    </row>
    <row r="141" spans="1:13" x14ac:dyDescent="0.2">
      <c r="A141" s="191"/>
      <c r="B141" s="233" t="s">
        <v>642</v>
      </c>
      <c r="C141" s="233"/>
      <c r="D141" s="233"/>
      <c r="E141" s="233"/>
      <c r="F141" s="233"/>
      <c r="G141" s="233"/>
      <c r="H141" s="233"/>
      <c r="I141" s="226"/>
      <c r="J141" s="190" t="s">
        <v>132</v>
      </c>
      <c r="K141" s="233"/>
      <c r="L141" s="233"/>
      <c r="M141" s="176"/>
    </row>
    <row r="142" spans="1:13" x14ac:dyDescent="0.2">
      <c r="A142" s="191"/>
      <c r="B142" s="233" t="s">
        <v>643</v>
      </c>
      <c r="C142" s="233"/>
      <c r="D142" s="233"/>
      <c r="E142" s="233"/>
      <c r="F142" s="233"/>
      <c r="G142" s="233"/>
      <c r="H142" s="233"/>
      <c r="I142" s="226"/>
      <c r="J142" s="190" t="s">
        <v>133</v>
      </c>
      <c r="K142" s="233"/>
      <c r="L142" s="233"/>
      <c r="M142" s="176"/>
    </row>
    <row r="143" spans="1:13" x14ac:dyDescent="0.2">
      <c r="A143" s="191"/>
      <c r="B143" s="233" t="s">
        <v>553</v>
      </c>
      <c r="C143" s="233"/>
      <c r="D143" s="233"/>
      <c r="E143" s="233"/>
      <c r="F143" s="233"/>
      <c r="G143" s="233"/>
      <c r="H143" s="233"/>
      <c r="I143" s="226"/>
      <c r="J143" s="190" t="s">
        <v>134</v>
      </c>
      <c r="K143" s="233"/>
      <c r="L143" s="233"/>
      <c r="M143" s="176"/>
    </row>
    <row r="144" spans="1:13" x14ac:dyDescent="0.2">
      <c r="A144" s="191"/>
      <c r="B144" s="233" t="s">
        <v>554</v>
      </c>
      <c r="C144" s="233"/>
      <c r="D144" s="233"/>
      <c r="E144" s="233"/>
      <c r="F144" s="233"/>
      <c r="G144" s="233"/>
      <c r="H144" s="233"/>
      <c r="I144" s="233"/>
      <c r="J144" s="233"/>
      <c r="K144" s="233"/>
      <c r="L144" s="233"/>
      <c r="M144" s="176"/>
    </row>
    <row r="145" spans="1:13" x14ac:dyDescent="0.2">
      <c r="A145" s="191"/>
      <c r="B145" s="233"/>
      <c r="C145" s="233"/>
      <c r="D145" s="233"/>
      <c r="E145" s="233"/>
      <c r="F145" s="233"/>
      <c r="G145" s="233"/>
      <c r="H145" s="233"/>
      <c r="I145" s="233"/>
      <c r="J145" s="233"/>
      <c r="K145" s="233"/>
      <c r="L145" s="233"/>
      <c r="M145" s="176"/>
    </row>
    <row r="146" spans="1:13" x14ac:dyDescent="0.2">
      <c r="A146" s="191"/>
      <c r="B146" s="233" t="s">
        <v>35</v>
      </c>
      <c r="C146" s="233"/>
      <c r="D146" s="233"/>
      <c r="E146" s="233"/>
      <c r="F146" s="233"/>
      <c r="G146" s="233"/>
      <c r="H146" s="233"/>
      <c r="I146" s="233"/>
      <c r="J146" s="233"/>
      <c r="K146" s="233"/>
      <c r="L146" s="233"/>
      <c r="M146" s="176"/>
    </row>
    <row r="147" spans="1:13" x14ac:dyDescent="0.2">
      <c r="A147" s="191"/>
      <c r="B147" s="233"/>
      <c r="C147" s="233"/>
      <c r="D147" s="233"/>
      <c r="E147" s="233"/>
      <c r="F147" s="233"/>
      <c r="G147" s="233"/>
      <c r="H147" s="233"/>
      <c r="I147" s="233"/>
      <c r="J147" s="233"/>
      <c r="K147" s="233"/>
      <c r="L147" s="233"/>
      <c r="M147" s="176"/>
    </row>
    <row r="148" spans="1:13" ht="13.5" thickBot="1" x14ac:dyDescent="0.25">
      <c r="A148" s="193"/>
      <c r="B148" s="194"/>
      <c r="C148" s="194"/>
      <c r="D148" s="194"/>
      <c r="E148" s="194"/>
      <c r="F148" s="194"/>
      <c r="G148" s="194"/>
      <c r="H148" s="194"/>
      <c r="I148" s="194"/>
      <c r="J148" s="194"/>
      <c r="K148" s="194"/>
      <c r="L148" s="194"/>
      <c r="M148" s="177"/>
    </row>
    <row r="149" spans="1:13" ht="13.5" thickTop="1" x14ac:dyDescent="0.2"/>
    <row r="150" spans="1:13" x14ac:dyDescent="0.2"/>
    <row r="151" spans="1:13" x14ac:dyDescent="0.2"/>
    <row r="152" spans="1:13" x14ac:dyDescent="0.2"/>
    <row r="153" spans="1:13" x14ac:dyDescent="0.2"/>
    <row r="154" spans="1:13" x14ac:dyDescent="0.2"/>
    <row r="155" spans="1:13" x14ac:dyDescent="0.2"/>
  </sheetData>
  <sheetProtection algorithmName="SHA-512" hashValue="2dNvRYw0wjEISLdjbd1LsFRt667CzhxSVgQcU/R2w6meJhHXva6C+4OqwY7jksl2ktCUFFlT+QCmt0QrZrmcxA==" saltValue="tqvxYdUUKUVF8wvLZBntwA==" spinCount="100000" sheet="1" objects="1" scenarios="1"/>
  <mergeCells count="2">
    <mergeCell ref="A1:U3"/>
    <mergeCell ref="A4:Y4"/>
  </mergeCells>
  <hyperlinks>
    <hyperlink ref="A5" location="Main!K41" display="Return to Menu" xr:uid="{00000000-0004-0000-0400-000000000000}"/>
    <hyperlink ref="B29" location="'4th Order Polynomial TMP vs Res'!A147" display="Example Code" xr:uid="{00000000-0004-0000-04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whole" allowBlank="1" showInputMessage="1" showErrorMessage="1" errorTitle="Resistance" error="Enter a value between min and max resistance for your device." promptTitle="Resistance" prompt="Enter a value between min and max resistance for the selected TI device." xr:uid="{00000000-0002-0000-0400-000000000000}">
          <x14:formula1>
            <xm:f>VLOOKUP(-40,'Device Resistance Tables'!$B$20:$F$20,2,FALSE)</xm:f>
          </x14:formula1>
          <x14:formula2>
            <xm:f>1+VLOOKUP(VLOOKUP(Main!$N$22,Coefficients!$E$2:$H$28,4,FALSE),'Device Resistance Tables'!$B$85:$F$210,5,FALSE)</xm:f>
          </x14:formula2>
          <xm:sqref>C99</xm:sqref>
        </x14:dataValidation>
        <x14:dataValidation type="decimal" allowBlank="1" showInputMessage="1" showErrorMessage="1" errorTitle="High temperature" error="Enter a value between -40 and the maximum operating temperature of the device selected." promptTitle="High temperature" prompt="Enter a value between -40 and the maximum operating temperature of the device selected." xr:uid="{00000000-0002-0000-0400-000001000000}">
          <x14:formula1>
            <xm:f>-40</xm:f>
          </x14:formula1>
          <x14:formula2>
            <xm:f>VLOOKUP(Main!$N$22,Coefficients!$E$2:$H$28,4,FALSE)</xm:f>
          </x14:formula2>
          <xm:sqref>C84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J189"/>
  <sheetViews>
    <sheetView showGridLines="0" zoomScale="80" zoomScaleNormal="80" workbookViewId="0">
      <selection activeCell="A122" sqref="A122"/>
    </sheetView>
  </sheetViews>
  <sheetFormatPr defaultColWidth="0" defaultRowHeight="13.15" customHeight="1" zeroHeight="1" x14ac:dyDescent="0.2"/>
  <cols>
    <col min="1" max="1" width="14.7109375" style="225" customWidth="1"/>
    <col min="2" max="2" width="24.7109375" style="225" customWidth="1"/>
    <col min="3" max="3" width="16.85546875" style="225" customWidth="1"/>
    <col min="4" max="4" width="17.85546875" style="225" customWidth="1"/>
    <col min="5" max="5" width="20.140625" style="225" customWidth="1"/>
    <col min="6" max="6" width="18.5703125" style="225" customWidth="1"/>
    <col min="7" max="7" width="14.7109375" style="225" customWidth="1"/>
    <col min="8" max="9" width="16.140625" style="225" customWidth="1"/>
    <col min="10" max="10" width="16.85546875" style="225" customWidth="1"/>
    <col min="11" max="11" width="14.42578125" style="225" customWidth="1"/>
    <col min="12" max="12" width="17" style="225" customWidth="1"/>
    <col min="13" max="13" width="16.7109375" style="225" customWidth="1"/>
    <col min="14" max="16" width="10.7109375" style="225" customWidth="1"/>
    <col min="17" max="23" width="10.7109375" style="225" hidden="1" customWidth="1"/>
    <col min="24" max="25" width="9.140625" style="225" hidden="1" customWidth="1"/>
    <col min="26" max="36" width="0" style="225" hidden="1" customWidth="1"/>
    <col min="37" max="16384" width="9.140625" style="225" hidden="1"/>
  </cols>
  <sheetData>
    <row r="1" spans="1:36" s="174" customFormat="1" ht="12.75" x14ac:dyDescent="0.2">
      <c r="A1" s="768"/>
      <c r="B1" s="768"/>
      <c r="C1" s="768"/>
      <c r="D1" s="768"/>
      <c r="E1" s="768"/>
      <c r="F1" s="768"/>
      <c r="G1" s="768"/>
      <c r="H1" s="768"/>
      <c r="I1" s="768"/>
      <c r="J1" s="768"/>
      <c r="K1" s="768"/>
      <c r="L1" s="768"/>
      <c r="M1" s="768"/>
      <c r="N1" s="768"/>
      <c r="O1" s="768"/>
      <c r="P1" s="768"/>
      <c r="Q1" s="768"/>
      <c r="R1" s="768"/>
      <c r="S1" s="768"/>
      <c r="T1" s="768"/>
      <c r="U1" s="768"/>
      <c r="V1" s="275"/>
      <c r="W1" s="275"/>
      <c r="X1" s="275"/>
      <c r="Y1" s="275"/>
      <c r="Z1" s="275"/>
      <c r="AA1" s="275"/>
      <c r="AB1" s="275"/>
      <c r="AC1" s="275"/>
      <c r="AD1" s="275"/>
      <c r="AE1" s="275"/>
      <c r="AF1" s="275"/>
      <c r="AG1" s="275"/>
      <c r="AH1" s="275"/>
      <c r="AI1" s="275"/>
      <c r="AJ1" s="275"/>
    </row>
    <row r="2" spans="1:36" s="174" customFormat="1" ht="12.75" x14ac:dyDescent="0.2">
      <c r="A2" s="768"/>
      <c r="B2" s="768"/>
      <c r="C2" s="768"/>
      <c r="D2" s="768"/>
      <c r="E2" s="768"/>
      <c r="F2" s="768"/>
      <c r="G2" s="768"/>
      <c r="H2" s="768"/>
      <c r="I2" s="768"/>
      <c r="J2" s="768"/>
      <c r="K2" s="768"/>
      <c r="L2" s="768"/>
      <c r="M2" s="768"/>
      <c r="N2" s="768"/>
      <c r="O2" s="768"/>
      <c r="P2" s="768"/>
      <c r="Q2" s="768"/>
      <c r="R2" s="768"/>
      <c r="S2" s="768"/>
      <c r="T2" s="768"/>
      <c r="U2" s="768"/>
      <c r="V2" s="275"/>
      <c r="W2" s="275"/>
      <c r="X2" s="275"/>
      <c r="Y2" s="275"/>
      <c r="Z2" s="275"/>
      <c r="AA2" s="275"/>
      <c r="AB2" s="275"/>
      <c r="AC2" s="275"/>
      <c r="AD2" s="275"/>
      <c r="AE2" s="275"/>
      <c r="AF2" s="275"/>
      <c r="AG2" s="275"/>
      <c r="AH2" s="275"/>
      <c r="AI2" s="275"/>
      <c r="AJ2" s="275"/>
    </row>
    <row r="3" spans="1:36" s="174" customFormat="1" ht="12.75" x14ac:dyDescent="0.2">
      <c r="A3" s="768"/>
      <c r="B3" s="768"/>
      <c r="C3" s="768"/>
      <c r="D3" s="768"/>
      <c r="E3" s="768"/>
      <c r="F3" s="768"/>
      <c r="G3" s="768"/>
      <c r="H3" s="768"/>
      <c r="I3" s="768"/>
      <c r="J3" s="768"/>
      <c r="K3" s="768"/>
      <c r="L3" s="768"/>
      <c r="M3" s="768"/>
      <c r="N3" s="768"/>
      <c r="O3" s="768"/>
      <c r="P3" s="768"/>
      <c r="Q3" s="768"/>
      <c r="R3" s="768"/>
      <c r="S3" s="768"/>
      <c r="T3" s="768"/>
      <c r="U3" s="768"/>
      <c r="V3" s="275"/>
      <c r="W3" s="275"/>
      <c r="X3" s="275"/>
      <c r="Y3" s="275"/>
      <c r="Z3" s="275"/>
      <c r="AA3" s="275"/>
      <c r="AB3" s="275"/>
      <c r="AC3" s="275"/>
      <c r="AD3" s="275"/>
      <c r="AE3" s="275"/>
      <c r="AF3" s="275"/>
      <c r="AG3" s="275"/>
      <c r="AH3" s="275"/>
      <c r="AI3" s="275"/>
      <c r="AJ3" s="275"/>
    </row>
    <row r="4" spans="1:36" s="174" customFormat="1" ht="12.75" customHeight="1" x14ac:dyDescent="0.2">
      <c r="A4" s="769"/>
      <c r="B4" s="770"/>
      <c r="C4" s="770"/>
      <c r="D4" s="770"/>
      <c r="E4" s="770"/>
      <c r="F4" s="770"/>
      <c r="G4" s="770"/>
      <c r="H4" s="770"/>
      <c r="I4" s="770"/>
      <c r="J4" s="770"/>
      <c r="K4" s="770"/>
      <c r="L4" s="770"/>
      <c r="M4" s="770"/>
      <c r="N4" s="770"/>
      <c r="O4" s="770"/>
      <c r="P4" s="770"/>
      <c r="Q4" s="770"/>
      <c r="R4" s="770"/>
      <c r="S4" s="770"/>
      <c r="T4" s="770"/>
      <c r="U4" s="770"/>
      <c r="V4" s="770"/>
      <c r="W4" s="770"/>
      <c r="X4" s="770"/>
      <c r="Y4" s="770"/>
      <c r="Z4" s="275"/>
      <c r="AA4" s="275"/>
      <c r="AB4" s="275"/>
      <c r="AC4" s="275"/>
      <c r="AD4" s="275"/>
      <c r="AE4" s="275"/>
      <c r="AF4" s="275"/>
      <c r="AG4" s="275"/>
      <c r="AH4" s="275"/>
      <c r="AI4" s="275"/>
      <c r="AJ4" s="275"/>
    </row>
    <row r="5" spans="1:36" ht="15" x14ac:dyDescent="0.2">
      <c r="A5" s="418" t="s">
        <v>75</v>
      </c>
      <c r="B5" s="222"/>
      <c r="C5" s="222"/>
    </row>
    <row r="6" spans="1:36" ht="15.75" x14ac:dyDescent="0.25">
      <c r="A6" s="124"/>
      <c r="B6" s="226"/>
      <c r="C6" s="226"/>
      <c r="D6" s="226"/>
    </row>
    <row r="7" spans="1:36" ht="15.75" x14ac:dyDescent="0.25">
      <c r="A7" s="124"/>
      <c r="B7" s="226"/>
      <c r="C7" s="226"/>
      <c r="D7" s="226"/>
    </row>
    <row r="8" spans="1:36" ht="15.75" x14ac:dyDescent="0.25">
      <c r="A8" s="124"/>
      <c r="B8" s="226"/>
      <c r="C8" s="226"/>
      <c r="D8" s="226"/>
    </row>
    <row r="9" spans="1:36" ht="15.75" x14ac:dyDescent="0.25">
      <c r="A9" s="124"/>
      <c r="B9" s="226"/>
      <c r="C9" s="226"/>
      <c r="D9" s="226"/>
    </row>
    <row r="10" spans="1:36" ht="15.75" x14ac:dyDescent="0.25">
      <c r="A10" s="124"/>
      <c r="B10" s="226"/>
      <c r="C10" s="226"/>
      <c r="D10" s="226"/>
    </row>
    <row r="11" spans="1:36" ht="15.75" x14ac:dyDescent="0.25">
      <c r="A11" s="124"/>
      <c r="B11" s="226"/>
      <c r="C11" s="226"/>
      <c r="D11" s="226"/>
    </row>
    <row r="12" spans="1:36" ht="15.75" x14ac:dyDescent="0.25">
      <c r="A12" s="124"/>
      <c r="B12" s="226"/>
      <c r="C12" s="226"/>
      <c r="D12" s="226"/>
    </row>
    <row r="13" spans="1:36" s="226" customFormat="1" ht="15.75" x14ac:dyDescent="0.25">
      <c r="A13" s="124"/>
    </row>
    <row r="14" spans="1:36" s="226" customFormat="1" ht="15.75" x14ac:dyDescent="0.25">
      <c r="A14" s="124"/>
    </row>
    <row r="15" spans="1:36" s="226" customFormat="1" ht="15.75" x14ac:dyDescent="0.25">
      <c r="A15" s="124"/>
    </row>
    <row r="16" spans="1:36" s="226" customFormat="1" ht="15.75" x14ac:dyDescent="0.25">
      <c r="A16" s="124"/>
    </row>
    <row r="17" spans="1:3" s="226" customFormat="1" ht="15.75" x14ac:dyDescent="0.25">
      <c r="A17" s="124"/>
    </row>
    <row r="18" spans="1:3" s="226" customFormat="1" ht="15.75" x14ac:dyDescent="0.25">
      <c r="A18" s="124"/>
    </row>
    <row r="19" spans="1:3" s="226" customFormat="1" ht="15.75" x14ac:dyDescent="0.25">
      <c r="A19" s="124"/>
    </row>
    <row r="20" spans="1:3" ht="12.75" x14ac:dyDescent="0.2"/>
    <row r="21" spans="1:3" ht="12.75" x14ac:dyDescent="0.2"/>
    <row r="22" spans="1:3" ht="12.75" x14ac:dyDescent="0.2"/>
    <row r="23" spans="1:3" ht="12.75" x14ac:dyDescent="0.2"/>
    <row r="24" spans="1:3" ht="15.75" x14ac:dyDescent="0.25">
      <c r="A24" s="440" t="s">
        <v>300</v>
      </c>
      <c r="B24" s="254" t="str">
        <f>Main!N22</f>
        <v>TMP6131DECR</v>
      </c>
      <c r="C24" s="441"/>
    </row>
    <row r="25" spans="1:3" ht="15.75" x14ac:dyDescent="0.25">
      <c r="A25" s="440" t="s">
        <v>206</v>
      </c>
      <c r="B25" s="283">
        <f>Main!$N$25</f>
        <v>5</v>
      </c>
      <c r="C25" s="242" t="s">
        <v>2</v>
      </c>
    </row>
    <row r="26" spans="1:3" ht="15.75" x14ac:dyDescent="0.25">
      <c r="A26" s="437" t="s">
        <v>243</v>
      </c>
      <c r="B26" s="638">
        <f>Main!N31</f>
        <v>10000</v>
      </c>
      <c r="C26" s="206" t="s">
        <v>1</v>
      </c>
    </row>
    <row r="27" spans="1:3" ht="15.75" x14ac:dyDescent="0.25">
      <c r="A27" s="440" t="s">
        <v>46</v>
      </c>
      <c r="B27" s="284">
        <f>Main!N28</f>
        <v>16</v>
      </c>
      <c r="C27" s="242" t="s">
        <v>17</v>
      </c>
    </row>
    <row r="28" spans="1:3" ht="15" x14ac:dyDescent="0.2">
      <c r="A28" s="441"/>
      <c r="B28" s="441"/>
      <c r="C28" s="441"/>
    </row>
    <row r="29" spans="1:3" ht="12.75" x14ac:dyDescent="0.2"/>
    <row r="30" spans="1:3" ht="15" x14ac:dyDescent="0.2">
      <c r="B30" s="418" t="s">
        <v>247</v>
      </c>
    </row>
    <row r="31" spans="1:3" ht="15" customHeight="1" x14ac:dyDescent="0.2"/>
    <row r="32" spans="1:3" ht="15.75" customHeight="1" x14ac:dyDescent="0.2"/>
    <row r="33" spans="2:18" ht="17.25" hidden="1" customHeight="1" x14ac:dyDescent="0.2">
      <c r="B33" s="119"/>
      <c r="C33" s="224"/>
      <c r="D33" s="224"/>
      <c r="E33" s="224"/>
      <c r="F33" s="224"/>
      <c r="G33" s="224"/>
      <c r="H33" s="223"/>
      <c r="I33" s="223"/>
      <c r="J33" s="223"/>
      <c r="K33" s="223"/>
      <c r="L33" s="223"/>
      <c r="M33" s="223"/>
      <c r="N33" s="223"/>
      <c r="P33" s="223"/>
      <c r="Q33" s="223"/>
      <c r="R33" s="222"/>
    </row>
    <row r="34" spans="2:18" ht="14.25" hidden="1" customHeight="1" x14ac:dyDescent="0.2">
      <c r="B34" s="63" t="s">
        <v>639</v>
      </c>
      <c r="D34" s="222"/>
      <c r="E34" s="222"/>
      <c r="F34" s="222"/>
      <c r="G34" s="222"/>
      <c r="J34" s="222"/>
      <c r="K34" s="222"/>
      <c r="L34" s="222"/>
    </row>
    <row r="35" spans="2:18" ht="14.25" hidden="1" customHeight="1" x14ac:dyDescent="0.2">
      <c r="B35" s="394" t="s">
        <v>85</v>
      </c>
      <c r="C35" s="394" t="s">
        <v>84</v>
      </c>
      <c r="D35" s="394" t="s">
        <v>83</v>
      </c>
      <c r="E35" s="394" t="s">
        <v>82</v>
      </c>
      <c r="F35" s="394" t="s">
        <v>81</v>
      </c>
      <c r="G35" s="74"/>
      <c r="K35" s="222"/>
      <c r="L35" s="222"/>
    </row>
    <row r="36" spans="2:18" ht="15.75" hidden="1" customHeight="1" x14ac:dyDescent="0.2">
      <c r="B36" s="163">
        <f t="array" ref="B36:F36">IF((VLOOKUP(Main!$N$22,Coefficients!$E$2:$H$28,4,FALSE)) = 125,LINEST('NTC Thermistor Comparison'!B33:B198,'NTC Thermistor Comparison'!F33:F198^{1,2,3,4},TRUE,FALSE),LINEST('NTC Thermistor Comparison'!B33:B223,'NTC Thermistor Comparison'!F33:F223^{1,2,3,4},TRUE,FALSE))</f>
        <v>-0.61842606608893691</v>
      </c>
      <c r="C36" s="163">
        <v>18.066607007336309</v>
      </c>
      <c r="D36" s="163">
        <v>-102.27908609750003</v>
      </c>
      <c r="E36" s="163">
        <v>338.43872798490929</v>
      </c>
      <c r="F36" s="163">
        <v>-440.92666550498086</v>
      </c>
      <c r="G36" s="161" t="s">
        <v>62</v>
      </c>
      <c r="K36" s="222"/>
      <c r="L36" s="222"/>
    </row>
    <row r="37" spans="2:18" ht="15" hidden="1" x14ac:dyDescent="0.2">
      <c r="B37" s="174"/>
      <c r="C37" s="224"/>
      <c r="D37" s="77"/>
      <c r="E37" s="77"/>
      <c r="F37" s="77"/>
      <c r="G37" s="77"/>
      <c r="H37" s="222"/>
      <c r="I37" s="222"/>
      <c r="J37" s="222"/>
      <c r="K37" s="222"/>
      <c r="L37" s="222"/>
      <c r="M37" s="222"/>
      <c r="N37" s="222"/>
      <c r="O37" s="222"/>
      <c r="P37" s="222"/>
      <c r="Q37" s="222"/>
      <c r="R37" s="222"/>
    </row>
    <row r="38" spans="2:18" ht="15" x14ac:dyDescent="0.2">
      <c r="B38" s="174"/>
      <c r="C38" s="224"/>
      <c r="D38" s="77"/>
      <c r="E38" s="77"/>
      <c r="F38" s="77"/>
      <c r="G38" s="77"/>
      <c r="H38" s="222"/>
      <c r="I38" s="222"/>
      <c r="J38" s="222"/>
      <c r="K38" s="222"/>
      <c r="L38" s="222"/>
      <c r="M38" s="222"/>
      <c r="N38" s="222"/>
      <c r="O38" s="222"/>
      <c r="P38" s="222"/>
      <c r="Q38" s="222"/>
      <c r="R38" s="222"/>
    </row>
    <row r="39" spans="2:18" ht="15" x14ac:dyDescent="0.2">
      <c r="B39" s="174"/>
      <c r="C39" s="224"/>
      <c r="D39" s="77"/>
      <c r="E39" s="77"/>
      <c r="F39" s="77"/>
      <c r="G39" s="77"/>
      <c r="H39" s="222"/>
      <c r="I39" s="222"/>
      <c r="J39" s="222"/>
      <c r="K39" s="222"/>
      <c r="L39" s="222"/>
      <c r="M39" s="222"/>
      <c r="N39" s="222"/>
      <c r="O39" s="222"/>
      <c r="P39" s="222"/>
      <c r="Q39" s="222"/>
      <c r="R39" s="222"/>
    </row>
    <row r="40" spans="2:18" ht="15" x14ac:dyDescent="0.2">
      <c r="B40" s="174"/>
      <c r="C40" s="224"/>
      <c r="D40" s="77"/>
      <c r="E40" s="77"/>
      <c r="F40" s="77"/>
      <c r="G40" s="77"/>
      <c r="H40" s="222"/>
      <c r="I40" s="222"/>
      <c r="J40" s="222"/>
      <c r="K40" s="222"/>
      <c r="L40" s="222"/>
      <c r="M40" s="222"/>
      <c r="N40" s="222"/>
      <c r="O40" s="222"/>
      <c r="P40" s="222"/>
      <c r="Q40" s="222"/>
      <c r="R40" s="222"/>
    </row>
    <row r="41" spans="2:18" ht="15" x14ac:dyDescent="0.2">
      <c r="B41" s="174"/>
      <c r="C41" s="224"/>
      <c r="D41" s="77"/>
      <c r="E41" s="77"/>
      <c r="F41" s="77"/>
      <c r="G41" s="77"/>
      <c r="H41" s="222"/>
      <c r="I41" s="222"/>
      <c r="J41" s="222"/>
      <c r="K41" s="222"/>
      <c r="L41" s="222"/>
      <c r="M41" s="222"/>
      <c r="N41" s="222"/>
      <c r="O41" s="222"/>
      <c r="P41" s="222"/>
      <c r="Q41" s="222"/>
      <c r="R41" s="222"/>
    </row>
    <row r="42" spans="2:18" ht="15" x14ac:dyDescent="0.2">
      <c r="B42" s="174"/>
      <c r="C42" s="224"/>
      <c r="D42" s="77"/>
      <c r="E42" s="77"/>
      <c r="F42" s="77"/>
      <c r="G42" s="77"/>
      <c r="H42" s="222"/>
      <c r="I42" s="222"/>
      <c r="J42" s="222"/>
      <c r="K42" s="222"/>
      <c r="L42" s="222"/>
      <c r="M42" s="222"/>
      <c r="N42" s="222"/>
      <c r="O42" s="222"/>
      <c r="P42" s="222"/>
      <c r="Q42" s="222"/>
      <c r="R42" s="222"/>
    </row>
    <row r="43" spans="2:18" ht="15" x14ac:dyDescent="0.2">
      <c r="B43" s="174"/>
      <c r="C43" s="224"/>
      <c r="D43" s="77"/>
      <c r="E43" s="77"/>
      <c r="F43" s="77"/>
      <c r="G43" s="77"/>
      <c r="H43" s="222"/>
      <c r="I43" s="222"/>
      <c r="J43" s="174"/>
      <c r="K43" s="222"/>
      <c r="L43" s="222"/>
      <c r="M43" s="222"/>
      <c r="N43" s="222"/>
      <c r="O43" s="222"/>
      <c r="P43" s="222"/>
      <c r="Q43" s="222"/>
      <c r="R43" s="222"/>
    </row>
    <row r="44" spans="2:18" ht="15" x14ac:dyDescent="0.2">
      <c r="B44" s="174"/>
      <c r="C44" s="224"/>
      <c r="D44" s="77"/>
      <c r="E44" s="77"/>
      <c r="F44" s="77"/>
      <c r="G44" s="77"/>
      <c r="H44" s="222"/>
      <c r="I44" s="222"/>
      <c r="J44" s="222"/>
      <c r="K44" s="222"/>
      <c r="L44" s="222"/>
      <c r="M44" s="222"/>
      <c r="N44" s="222"/>
      <c r="O44" s="222"/>
      <c r="P44" s="222"/>
      <c r="Q44" s="222"/>
      <c r="R44" s="222"/>
    </row>
    <row r="45" spans="2:18" ht="15" x14ac:dyDescent="0.2">
      <c r="B45" s="174"/>
      <c r="C45" s="224"/>
      <c r="D45" s="77"/>
      <c r="E45" s="77"/>
      <c r="F45" s="77"/>
      <c r="G45" s="77"/>
      <c r="H45" s="222"/>
      <c r="I45" s="222"/>
      <c r="J45" s="222"/>
      <c r="K45" s="222"/>
      <c r="L45" s="222"/>
      <c r="M45" s="222"/>
      <c r="N45" s="222"/>
      <c r="O45" s="222"/>
      <c r="P45" s="222"/>
      <c r="Q45" s="222"/>
      <c r="R45" s="222"/>
    </row>
    <row r="46" spans="2:18" ht="15" x14ac:dyDescent="0.2">
      <c r="B46" s="174"/>
      <c r="C46" s="224"/>
      <c r="D46" s="77"/>
      <c r="E46" s="77"/>
      <c r="F46" s="77"/>
      <c r="G46" s="77"/>
      <c r="H46" s="222"/>
      <c r="I46" s="222"/>
      <c r="J46" s="222"/>
      <c r="K46" s="222"/>
      <c r="L46" s="222"/>
      <c r="M46" s="222"/>
      <c r="N46" s="222"/>
      <c r="O46" s="222"/>
      <c r="P46" s="222"/>
      <c r="Q46" s="222"/>
      <c r="R46" s="222"/>
    </row>
    <row r="47" spans="2:18" ht="15" x14ac:dyDescent="0.2">
      <c r="B47" s="174"/>
      <c r="C47" s="224"/>
      <c r="D47" s="77"/>
      <c r="E47" s="77"/>
      <c r="F47" s="77"/>
      <c r="G47" s="77"/>
      <c r="H47" s="222"/>
      <c r="I47" s="222"/>
      <c r="J47" s="222"/>
      <c r="K47" s="222"/>
      <c r="L47" s="222"/>
      <c r="M47" s="222"/>
      <c r="N47" s="222"/>
      <c r="O47" s="222"/>
      <c r="P47" s="222"/>
      <c r="Q47" s="222"/>
      <c r="R47" s="222"/>
    </row>
    <row r="48" spans="2:18" ht="15" x14ac:dyDescent="0.2">
      <c r="B48" s="174"/>
      <c r="C48" s="224"/>
      <c r="D48" s="77"/>
      <c r="E48" s="77"/>
      <c r="F48" s="77"/>
      <c r="G48" s="77"/>
      <c r="H48" s="222"/>
      <c r="I48" s="222"/>
      <c r="J48" s="222"/>
      <c r="K48" s="222"/>
      <c r="L48" s="222"/>
      <c r="M48" s="222"/>
      <c r="N48" s="222"/>
      <c r="O48" s="222"/>
      <c r="P48" s="222"/>
      <c r="Q48" s="222"/>
      <c r="R48" s="222"/>
    </row>
    <row r="49" spans="2:18" ht="15" x14ac:dyDescent="0.2">
      <c r="B49" s="174"/>
      <c r="C49" s="224"/>
      <c r="D49" s="77"/>
      <c r="E49" s="77"/>
      <c r="F49" s="77"/>
      <c r="G49" s="77"/>
      <c r="H49" s="222"/>
      <c r="I49" s="222"/>
      <c r="J49" s="222"/>
      <c r="K49" s="222"/>
      <c r="L49" s="222"/>
      <c r="M49" s="222"/>
      <c r="N49" s="222"/>
      <c r="O49" s="222"/>
      <c r="P49" s="222"/>
      <c r="Q49" s="222"/>
      <c r="R49" s="222"/>
    </row>
    <row r="50" spans="2:18" ht="15" x14ac:dyDescent="0.2">
      <c r="B50" s="174"/>
      <c r="C50" s="224"/>
      <c r="D50" s="77"/>
      <c r="E50" s="77"/>
      <c r="F50" s="77"/>
      <c r="G50" s="77"/>
      <c r="H50" s="222"/>
      <c r="I50" s="222"/>
      <c r="J50" s="222"/>
      <c r="K50" s="222"/>
      <c r="L50" s="222"/>
      <c r="M50" s="222"/>
      <c r="N50" s="222"/>
      <c r="O50" s="222"/>
      <c r="P50" s="222"/>
      <c r="Q50" s="222"/>
      <c r="R50" s="222"/>
    </row>
    <row r="51" spans="2:18" ht="15" x14ac:dyDescent="0.2">
      <c r="B51" s="174"/>
      <c r="C51" s="224"/>
      <c r="D51" s="77"/>
      <c r="E51" s="77"/>
      <c r="F51" s="77"/>
      <c r="G51" s="77"/>
      <c r="H51" s="222"/>
      <c r="I51" s="222"/>
      <c r="J51" s="222"/>
      <c r="K51" s="222"/>
      <c r="L51" s="222"/>
      <c r="M51" s="222"/>
      <c r="N51" s="222"/>
      <c r="O51" s="222"/>
      <c r="P51" s="222"/>
      <c r="Q51" s="222"/>
      <c r="R51" s="222"/>
    </row>
    <row r="52" spans="2:18" ht="15" x14ac:dyDescent="0.2">
      <c r="B52" s="174"/>
      <c r="C52" s="224"/>
      <c r="D52" s="77"/>
      <c r="E52" s="77"/>
      <c r="F52" s="77"/>
      <c r="G52" s="77"/>
      <c r="H52" s="222"/>
      <c r="I52" s="222"/>
      <c r="J52" s="222"/>
      <c r="K52" s="222"/>
      <c r="L52" s="222"/>
      <c r="M52" s="222"/>
      <c r="N52" s="222"/>
      <c r="O52" s="222"/>
      <c r="P52" s="222"/>
      <c r="Q52" s="222"/>
      <c r="R52" s="222"/>
    </row>
    <row r="53" spans="2:18" ht="15" x14ac:dyDescent="0.2">
      <c r="B53" s="174"/>
      <c r="C53" s="224"/>
      <c r="D53" s="77"/>
      <c r="E53" s="77"/>
      <c r="F53" s="77"/>
      <c r="G53" s="77"/>
      <c r="H53" s="222"/>
      <c r="I53" s="222"/>
      <c r="J53" s="222"/>
      <c r="K53" s="222"/>
      <c r="L53" s="222"/>
      <c r="M53" s="222"/>
      <c r="N53" s="222"/>
      <c r="O53" s="222"/>
      <c r="P53" s="222"/>
      <c r="Q53" s="222"/>
      <c r="R53" s="222"/>
    </row>
    <row r="54" spans="2:18" ht="15" x14ac:dyDescent="0.2">
      <c r="B54" s="174"/>
      <c r="C54" s="224"/>
      <c r="D54" s="77"/>
      <c r="E54" s="77"/>
      <c r="F54" s="77"/>
      <c r="G54" s="77"/>
      <c r="H54" s="222"/>
      <c r="I54" s="222"/>
      <c r="J54" s="222"/>
      <c r="K54" s="222"/>
      <c r="L54" s="222"/>
      <c r="M54" s="222"/>
      <c r="N54" s="222"/>
      <c r="O54" s="222"/>
      <c r="P54" s="222"/>
      <c r="Q54" s="222"/>
      <c r="R54" s="222"/>
    </row>
    <row r="55" spans="2:18" ht="15" x14ac:dyDescent="0.2">
      <c r="B55" s="174"/>
      <c r="C55" s="224"/>
      <c r="D55" s="77"/>
      <c r="E55" s="77"/>
      <c r="F55" s="77"/>
      <c r="G55" s="77"/>
      <c r="H55" s="222"/>
      <c r="I55" s="222"/>
      <c r="J55" s="222"/>
      <c r="K55" s="222"/>
      <c r="L55" s="222"/>
      <c r="M55" s="222"/>
      <c r="N55" s="222"/>
      <c r="O55" s="222"/>
      <c r="P55" s="222"/>
      <c r="Q55" s="222"/>
      <c r="R55" s="222"/>
    </row>
    <row r="56" spans="2:18" ht="15" x14ac:dyDescent="0.2">
      <c r="B56" s="174"/>
      <c r="C56" s="224"/>
      <c r="D56" s="77"/>
      <c r="E56" s="77"/>
      <c r="F56" s="77"/>
      <c r="G56" s="77"/>
      <c r="H56" s="222"/>
      <c r="I56" s="222"/>
      <c r="J56" s="222"/>
      <c r="K56" s="222"/>
      <c r="L56" s="222"/>
      <c r="M56" s="222"/>
      <c r="N56" s="222"/>
      <c r="O56" s="222"/>
      <c r="P56" s="222"/>
      <c r="Q56" s="222"/>
      <c r="R56" s="222"/>
    </row>
    <row r="57" spans="2:18" ht="15" x14ac:dyDescent="0.2">
      <c r="B57" s="174"/>
      <c r="C57" s="224"/>
      <c r="D57" s="77"/>
      <c r="E57" s="77"/>
      <c r="F57" s="77"/>
      <c r="G57" s="77"/>
      <c r="H57" s="222"/>
      <c r="I57" s="222"/>
      <c r="J57" s="222"/>
      <c r="K57" s="222"/>
      <c r="L57" s="222"/>
      <c r="M57" s="222"/>
      <c r="N57" s="222"/>
      <c r="O57" s="222"/>
      <c r="P57" s="222"/>
      <c r="Q57" s="222"/>
      <c r="R57" s="222"/>
    </row>
    <row r="58" spans="2:18" ht="15" x14ac:dyDescent="0.2">
      <c r="B58" s="174"/>
      <c r="C58" s="224"/>
      <c r="D58" s="77"/>
      <c r="E58" s="77"/>
      <c r="F58" s="77"/>
      <c r="G58" s="77"/>
      <c r="H58" s="222"/>
      <c r="I58" s="222"/>
      <c r="J58" s="222"/>
      <c r="K58" s="222"/>
      <c r="L58" s="222"/>
      <c r="M58" s="222"/>
      <c r="N58" s="222"/>
      <c r="O58" s="222"/>
      <c r="P58" s="222"/>
      <c r="Q58" s="222"/>
      <c r="R58" s="222"/>
    </row>
    <row r="59" spans="2:18" ht="15" x14ac:dyDescent="0.2">
      <c r="B59" s="174"/>
      <c r="C59" s="224"/>
      <c r="D59" s="77"/>
      <c r="E59" s="77"/>
      <c r="F59" s="77"/>
      <c r="G59" s="77"/>
      <c r="H59" s="222"/>
      <c r="I59" s="222"/>
      <c r="J59" s="222"/>
      <c r="K59" s="222"/>
      <c r="L59" s="222"/>
      <c r="M59" s="222"/>
      <c r="N59" s="222"/>
      <c r="O59" s="222"/>
      <c r="P59" s="222"/>
      <c r="Q59" s="222"/>
      <c r="R59" s="222"/>
    </row>
    <row r="60" spans="2:18" ht="15" x14ac:dyDescent="0.2">
      <c r="B60" s="174"/>
      <c r="C60" s="224"/>
      <c r="D60" s="77"/>
      <c r="E60" s="77"/>
      <c r="F60" s="77"/>
      <c r="G60" s="77"/>
      <c r="H60" s="222"/>
      <c r="I60" s="222"/>
      <c r="J60" s="222"/>
      <c r="K60" s="222"/>
      <c r="L60" s="222"/>
      <c r="M60" s="222"/>
      <c r="N60" s="222"/>
      <c r="O60" s="222"/>
      <c r="P60" s="222"/>
      <c r="Q60" s="222"/>
      <c r="R60" s="222"/>
    </row>
    <row r="61" spans="2:18" ht="15" x14ac:dyDescent="0.2">
      <c r="B61" s="174"/>
      <c r="C61" s="224"/>
      <c r="D61" s="77"/>
      <c r="E61" s="77"/>
      <c r="F61" s="77"/>
      <c r="G61" s="77"/>
      <c r="H61" s="222"/>
      <c r="I61" s="222"/>
      <c r="J61" s="222"/>
      <c r="K61" s="222"/>
      <c r="L61" s="222"/>
      <c r="M61" s="222"/>
      <c r="N61" s="222"/>
      <c r="O61" s="222"/>
      <c r="P61" s="222"/>
      <c r="Q61" s="222"/>
      <c r="R61" s="222"/>
    </row>
    <row r="62" spans="2:18" ht="15" x14ac:dyDescent="0.2">
      <c r="B62" s="174"/>
      <c r="C62" s="224"/>
      <c r="D62" s="77"/>
      <c r="E62" s="77"/>
      <c r="F62" s="77"/>
      <c r="G62" s="77"/>
      <c r="H62" s="222"/>
      <c r="I62" s="222"/>
      <c r="J62" s="222"/>
      <c r="K62" s="222"/>
      <c r="L62" s="222"/>
      <c r="M62" s="222"/>
      <c r="N62" s="222"/>
      <c r="O62" s="222"/>
      <c r="P62" s="222"/>
      <c r="Q62" s="222"/>
      <c r="R62" s="222"/>
    </row>
    <row r="63" spans="2:18" ht="15" x14ac:dyDescent="0.2">
      <c r="B63" s="174"/>
      <c r="C63" s="224"/>
      <c r="D63" s="77"/>
      <c r="E63" s="77"/>
      <c r="F63" s="77"/>
      <c r="G63" s="77"/>
      <c r="H63" s="222"/>
      <c r="I63" s="222"/>
      <c r="J63" s="222"/>
      <c r="K63" s="222"/>
      <c r="L63" s="222"/>
      <c r="M63" s="222"/>
      <c r="N63" s="222"/>
      <c r="O63" s="222"/>
      <c r="P63" s="222"/>
      <c r="Q63" s="222"/>
      <c r="R63" s="222"/>
    </row>
    <row r="64" spans="2:18" ht="15" x14ac:dyDescent="0.2">
      <c r="B64" s="174"/>
      <c r="C64" s="224"/>
      <c r="D64" s="77"/>
      <c r="E64" s="77"/>
      <c r="F64" s="77"/>
      <c r="G64" s="77"/>
      <c r="H64" s="222"/>
      <c r="I64" s="222"/>
      <c r="J64" s="222"/>
      <c r="K64" s="222"/>
      <c r="L64" s="222"/>
      <c r="M64" s="222"/>
      <c r="N64" s="222"/>
      <c r="O64" s="222"/>
      <c r="P64" s="222"/>
      <c r="Q64" s="222"/>
      <c r="R64" s="222"/>
    </row>
    <row r="65" spans="1:19" ht="15" x14ac:dyDescent="0.2">
      <c r="B65" s="174"/>
      <c r="C65" s="224"/>
      <c r="D65" s="77"/>
      <c r="E65" s="77"/>
      <c r="F65" s="77"/>
      <c r="G65" s="77"/>
      <c r="H65" s="222"/>
      <c r="I65" s="222"/>
      <c r="J65" s="222"/>
      <c r="K65" s="222"/>
      <c r="L65" s="222"/>
      <c r="M65" s="222"/>
      <c r="N65" s="222"/>
      <c r="O65" s="222"/>
      <c r="P65" s="222"/>
      <c r="Q65" s="222"/>
      <c r="R65" s="222"/>
    </row>
    <row r="66" spans="1:19" ht="15" x14ac:dyDescent="0.2">
      <c r="A66" s="441"/>
      <c r="B66" s="441"/>
      <c r="C66" s="441"/>
      <c r="D66" s="441"/>
      <c r="E66" s="441"/>
      <c r="F66" s="441"/>
      <c r="G66" s="441"/>
      <c r="H66" s="441"/>
      <c r="I66" s="441"/>
      <c r="J66" s="538"/>
      <c r="K66" s="538"/>
      <c r="L66" s="233"/>
      <c r="M66" s="233"/>
      <c r="N66" s="233"/>
      <c r="O66" s="233"/>
      <c r="P66" s="233"/>
      <c r="Q66" s="233"/>
      <c r="R66" s="233"/>
      <c r="S66" s="233"/>
    </row>
    <row r="67" spans="1:19" ht="15.75" thickBot="1" x14ac:dyDescent="0.25">
      <c r="A67" s="441"/>
      <c r="B67" s="441"/>
      <c r="C67" s="441"/>
      <c r="D67" s="441"/>
      <c r="E67" s="441"/>
      <c r="F67" s="441"/>
      <c r="G67" s="441"/>
      <c r="H67" s="441"/>
      <c r="I67" s="441"/>
      <c r="J67" s="441"/>
      <c r="K67" s="538"/>
      <c r="L67" s="233"/>
      <c r="M67" s="233"/>
      <c r="N67" s="233"/>
      <c r="O67" s="233"/>
      <c r="P67" s="233"/>
      <c r="Q67" s="233"/>
      <c r="R67" s="233"/>
      <c r="S67" s="233"/>
    </row>
    <row r="68" spans="1:19" ht="16.5" thickTop="1" x14ac:dyDescent="0.25">
      <c r="A68" s="441"/>
      <c r="B68" s="706"/>
      <c r="C68" s="707"/>
      <c r="D68" s="707"/>
      <c r="E68" s="707"/>
      <c r="F68" s="707"/>
      <c r="G68" s="707"/>
      <c r="H68" s="708"/>
      <c r="I68" s="708"/>
      <c r="J68" s="709"/>
      <c r="K68" s="538"/>
      <c r="L68" s="233"/>
      <c r="M68" s="233"/>
      <c r="N68" s="233"/>
      <c r="O68" s="233"/>
      <c r="P68" s="233"/>
      <c r="Q68" s="233"/>
      <c r="R68" s="233"/>
      <c r="S68" s="233"/>
    </row>
    <row r="69" spans="1:19" ht="15.75" x14ac:dyDescent="0.25">
      <c r="A69" s="441"/>
      <c r="B69" s="736"/>
      <c r="C69" s="539"/>
      <c r="D69" s="538"/>
      <c r="E69" s="538"/>
      <c r="F69" s="538"/>
      <c r="G69" s="538"/>
      <c r="H69" s="530"/>
      <c r="I69" s="530"/>
      <c r="J69" s="711"/>
      <c r="K69" s="538"/>
      <c r="L69" s="233"/>
      <c r="M69" s="233"/>
      <c r="N69" s="233"/>
      <c r="O69" s="233"/>
      <c r="P69" s="233"/>
      <c r="Q69" s="233"/>
      <c r="R69" s="233"/>
      <c r="S69" s="233"/>
    </row>
    <row r="70" spans="1:19" ht="15.75" thickBot="1" x14ac:dyDescent="0.25">
      <c r="A70" s="441"/>
      <c r="B70" s="712" t="s">
        <v>62</v>
      </c>
      <c r="C70" s="441"/>
      <c r="D70" s="441"/>
      <c r="E70" s="441"/>
      <c r="F70" s="441"/>
      <c r="G70" s="441"/>
      <c r="H70" s="530"/>
      <c r="I70" s="530"/>
      <c r="J70" s="714"/>
      <c r="K70" s="538"/>
      <c r="L70" s="233"/>
      <c r="M70" s="233"/>
      <c r="N70" s="64"/>
      <c r="O70" s="233"/>
      <c r="P70" s="233"/>
      <c r="Q70" s="233"/>
      <c r="R70" s="233"/>
      <c r="S70" s="233"/>
    </row>
    <row r="71" spans="1:19" ht="18.75" thickBot="1" x14ac:dyDescent="0.3">
      <c r="A71" s="441"/>
      <c r="B71" s="737" t="s">
        <v>722</v>
      </c>
      <c r="C71" s="716"/>
      <c r="D71" s="716"/>
      <c r="E71" s="717"/>
      <c r="F71" s="718" t="s">
        <v>723</v>
      </c>
      <c r="G71" s="530"/>
      <c r="H71" s="530"/>
      <c r="I71" s="530"/>
      <c r="J71" s="719"/>
      <c r="K71" s="538"/>
      <c r="L71" s="233"/>
      <c r="M71" s="233"/>
      <c r="N71" s="233"/>
      <c r="O71" s="233"/>
      <c r="P71" s="233"/>
      <c r="Q71" s="233"/>
      <c r="R71" s="233"/>
      <c r="S71" s="233"/>
    </row>
    <row r="72" spans="1:19" ht="15" x14ac:dyDescent="0.2">
      <c r="A72" s="441"/>
      <c r="B72" s="720"/>
      <c r="C72" s="530" t="s">
        <v>11</v>
      </c>
      <c r="D72" s="530"/>
      <c r="E72" s="530"/>
      <c r="F72" s="530"/>
      <c r="G72" s="530"/>
      <c r="H72" s="530"/>
      <c r="I72" s="530"/>
      <c r="J72" s="721"/>
      <c r="K72" s="722"/>
      <c r="L72" s="233"/>
      <c r="M72" s="56"/>
      <c r="N72" s="59"/>
      <c r="O72" s="59"/>
      <c r="P72" s="233"/>
      <c r="Q72" s="233"/>
      <c r="R72" s="233"/>
      <c r="S72" s="233"/>
    </row>
    <row r="73" spans="1:19" ht="15.75" x14ac:dyDescent="0.25">
      <c r="A73" s="441"/>
      <c r="B73" s="712"/>
      <c r="C73" s="534">
        <f>F36</f>
        <v>-440.92666550498086</v>
      </c>
      <c r="D73" s="530" t="s">
        <v>81</v>
      </c>
      <c r="E73" s="607"/>
      <c r="F73" s="738"/>
      <c r="G73" s="738"/>
      <c r="H73" s="530"/>
      <c r="I73" s="530"/>
      <c r="J73" s="714"/>
      <c r="K73" s="722"/>
      <c r="L73" s="233"/>
      <c r="M73" s="233"/>
      <c r="N73" s="233"/>
      <c r="O73" s="234"/>
      <c r="P73" s="233"/>
      <c r="Q73" s="233"/>
      <c r="R73" s="233"/>
      <c r="S73" s="233"/>
    </row>
    <row r="74" spans="1:19" ht="15" x14ac:dyDescent="0.2">
      <c r="A74" s="441"/>
      <c r="B74" s="723"/>
      <c r="C74" s="534">
        <f>E36</f>
        <v>338.43872798490929</v>
      </c>
      <c r="D74" s="724" t="s">
        <v>82</v>
      </c>
      <c r="E74" s="441"/>
      <c r="F74" s="441"/>
      <c r="G74" s="268"/>
      <c r="H74" s="530"/>
      <c r="I74" s="530"/>
      <c r="J74" s="714"/>
      <c r="K74" s="722"/>
      <c r="L74" s="233"/>
      <c r="M74" s="233"/>
      <c r="N74" s="233"/>
      <c r="O74" s="233"/>
      <c r="P74" s="233"/>
      <c r="Q74" s="233"/>
      <c r="R74" s="233"/>
      <c r="S74" s="233"/>
    </row>
    <row r="75" spans="1:19" ht="15" x14ac:dyDescent="0.2">
      <c r="A75" s="441"/>
      <c r="B75" s="720"/>
      <c r="C75" s="534">
        <f>D36</f>
        <v>-102.27908609750003</v>
      </c>
      <c r="D75" s="726" t="s">
        <v>83</v>
      </c>
      <c r="E75" s="441"/>
      <c r="F75" s="538"/>
      <c r="G75" s="539"/>
      <c r="H75" s="535"/>
      <c r="I75" s="530"/>
      <c r="J75" s="721"/>
      <c r="K75" s="722"/>
      <c r="L75" s="56"/>
      <c r="M75" s="233"/>
      <c r="N75" s="233"/>
      <c r="O75" s="233"/>
      <c r="P75" s="233"/>
      <c r="Q75" s="233"/>
      <c r="R75" s="233"/>
      <c r="S75" s="233"/>
    </row>
    <row r="76" spans="1:19" ht="15" x14ac:dyDescent="0.2">
      <c r="A76" s="441"/>
      <c r="B76" s="720"/>
      <c r="C76" s="534">
        <f>C36</f>
        <v>18.066607007336309</v>
      </c>
      <c r="D76" s="728" t="s">
        <v>84</v>
      </c>
      <c r="E76" s="441"/>
      <c r="F76" s="493"/>
      <c r="G76" s="539"/>
      <c r="H76" s="530"/>
      <c r="I76" s="530"/>
      <c r="J76" s="721"/>
      <c r="K76" s="722"/>
      <c r="L76" s="233"/>
      <c r="M76" s="233"/>
      <c r="N76" s="233"/>
      <c r="O76" s="233"/>
      <c r="P76" s="233"/>
      <c r="Q76" s="233"/>
      <c r="R76" s="233"/>
      <c r="S76" s="233"/>
    </row>
    <row r="77" spans="1:19" ht="15" x14ac:dyDescent="0.2">
      <c r="A77" s="441"/>
      <c r="B77" s="720"/>
      <c r="C77" s="534">
        <f>B36</f>
        <v>-0.61842606608893691</v>
      </c>
      <c r="D77" s="729" t="s">
        <v>85</v>
      </c>
      <c r="E77" s="441"/>
      <c r="F77" s="493"/>
      <c r="G77" s="539"/>
      <c r="H77" s="535"/>
      <c r="I77" s="530"/>
      <c r="J77" s="721"/>
      <c r="K77" s="538"/>
      <c r="L77" s="233"/>
      <c r="M77" s="233"/>
      <c r="N77" s="233"/>
      <c r="O77" s="233"/>
      <c r="P77" s="233"/>
      <c r="Q77" s="233"/>
      <c r="R77" s="233"/>
      <c r="S77" s="233"/>
    </row>
    <row r="78" spans="1:19" ht="15.75" thickBot="1" x14ac:dyDescent="0.25">
      <c r="A78" s="441"/>
      <c r="B78" s="720"/>
      <c r="C78" s="441"/>
      <c r="D78" s="441"/>
      <c r="E78" s="441"/>
      <c r="F78" s="441"/>
      <c r="G78" s="493"/>
      <c r="H78" s="530"/>
      <c r="I78" s="530"/>
      <c r="J78" s="721"/>
      <c r="K78" s="539"/>
      <c r="L78" s="56"/>
      <c r="M78" s="56"/>
      <c r="N78" s="233"/>
      <c r="O78" s="233"/>
      <c r="P78" s="233"/>
      <c r="Q78" s="233"/>
      <c r="R78" s="233"/>
      <c r="S78" s="233"/>
    </row>
    <row r="79" spans="1:19" ht="20.25" thickBot="1" x14ac:dyDescent="0.4">
      <c r="A79" s="441"/>
      <c r="B79" s="723" t="s">
        <v>724</v>
      </c>
      <c r="C79" s="747">
        <v>1.6080000000000001</v>
      </c>
      <c r="D79" s="731" t="s">
        <v>2</v>
      </c>
      <c r="E79" s="535" t="s">
        <v>725</v>
      </c>
      <c r="F79" s="530"/>
      <c r="G79" s="530"/>
      <c r="H79" s="530"/>
      <c r="I79" s="530"/>
      <c r="J79" s="714"/>
      <c r="K79" s="523"/>
      <c r="L79" s="56"/>
      <c r="M79" s="56"/>
      <c r="N79" s="233"/>
      <c r="O79" s="233"/>
      <c r="P79" s="233"/>
      <c r="Q79" s="233"/>
      <c r="R79" s="233"/>
      <c r="S79" s="233"/>
    </row>
    <row r="80" spans="1:19" ht="15.75" thickBot="1" x14ac:dyDescent="0.25">
      <c r="A80" s="441"/>
      <c r="B80" s="723" t="s">
        <v>36</v>
      </c>
      <c r="C80" s="740">
        <f>$C$77*C79^4 + $C$76*C79^3 + $C$75*C79^2 + $C$74*C79 + $C$73</f>
        <v>-90.194733206703745</v>
      </c>
      <c r="D80" s="741" t="s">
        <v>221</v>
      </c>
      <c r="E80" s="535" t="s">
        <v>193</v>
      </c>
      <c r="F80" s="530"/>
      <c r="G80" s="530"/>
      <c r="H80" s="530"/>
      <c r="I80" s="530"/>
      <c r="J80" s="714"/>
      <c r="K80" s="667"/>
      <c r="L80" s="233"/>
      <c r="M80" s="233"/>
      <c r="N80" s="233"/>
      <c r="O80" s="233"/>
      <c r="P80" s="233"/>
      <c r="Q80" s="233"/>
      <c r="R80" s="233"/>
      <c r="S80" s="233"/>
    </row>
    <row r="81" spans="1:19" ht="15" x14ac:dyDescent="0.2">
      <c r="A81" s="441"/>
      <c r="B81" s="720"/>
      <c r="C81" s="742">
        <f>(C80*1.8)+32</f>
        <v>-130.35051977206675</v>
      </c>
      <c r="D81" s="533" t="s">
        <v>225</v>
      </c>
      <c r="E81" s="535"/>
      <c r="F81" s="530"/>
      <c r="G81" s="530"/>
      <c r="H81" s="530"/>
      <c r="I81" s="530"/>
      <c r="J81" s="721"/>
      <c r="K81" s="538"/>
      <c r="L81" s="233"/>
      <c r="M81" s="233"/>
      <c r="N81" s="233"/>
      <c r="O81" s="233"/>
      <c r="P81" s="233"/>
      <c r="Q81" s="233"/>
      <c r="R81" s="233"/>
      <c r="S81" s="233"/>
    </row>
    <row r="82" spans="1:19" ht="15" x14ac:dyDescent="0.2">
      <c r="A82" s="441"/>
      <c r="B82" s="720"/>
      <c r="C82" s="552">
        <f>C80+273.15</f>
        <v>182.95526679329623</v>
      </c>
      <c r="D82" s="535" t="s">
        <v>226</v>
      </c>
      <c r="E82" s="530"/>
      <c r="F82" s="743"/>
      <c r="G82" s="530"/>
      <c r="H82" s="530"/>
      <c r="I82" s="530"/>
      <c r="J82" s="721"/>
      <c r="K82" s="538"/>
      <c r="L82" s="233"/>
      <c r="M82" s="233"/>
      <c r="N82" s="233"/>
      <c r="O82" s="233"/>
      <c r="P82" s="233"/>
      <c r="Q82" s="233"/>
      <c r="R82" s="233"/>
      <c r="S82" s="233"/>
    </row>
    <row r="83" spans="1:19" ht="15" x14ac:dyDescent="0.2">
      <c r="A83" s="441"/>
      <c r="B83" s="720"/>
      <c r="C83" s="441"/>
      <c r="D83" s="441"/>
      <c r="E83" s="441"/>
      <c r="F83" s="441"/>
      <c r="G83" s="530"/>
      <c r="H83" s="530"/>
      <c r="I83" s="530"/>
      <c r="J83" s="721"/>
      <c r="K83" s="538"/>
      <c r="L83" s="233"/>
      <c r="M83" s="233"/>
      <c r="N83" s="233"/>
      <c r="O83" s="233"/>
      <c r="P83" s="233"/>
      <c r="Q83" s="233"/>
      <c r="R83" s="233"/>
      <c r="S83" s="233"/>
    </row>
    <row r="84" spans="1:19" ht="15" x14ac:dyDescent="0.2">
      <c r="A84" s="441"/>
      <c r="B84" s="720"/>
      <c r="C84" s="530"/>
      <c r="D84" s="530"/>
      <c r="E84" s="530"/>
      <c r="F84" s="530"/>
      <c r="G84" s="530"/>
      <c r="H84" s="530"/>
      <c r="I84" s="530"/>
      <c r="J84" s="721"/>
      <c r="K84" s="538"/>
      <c r="L84" s="233"/>
      <c r="M84" s="233"/>
      <c r="N84" s="233"/>
      <c r="O84" s="233"/>
      <c r="P84" s="233"/>
      <c r="Q84" s="233"/>
      <c r="R84" s="233"/>
      <c r="S84" s="233"/>
    </row>
    <row r="85" spans="1:19" ht="15.75" thickBot="1" x14ac:dyDescent="0.25">
      <c r="A85" s="441"/>
      <c r="B85" s="744"/>
      <c r="C85" s="745"/>
      <c r="D85" s="745"/>
      <c r="E85" s="745"/>
      <c r="F85" s="745"/>
      <c r="G85" s="745"/>
      <c r="H85" s="745"/>
      <c r="I85" s="745"/>
      <c r="J85" s="746"/>
      <c r="K85" s="538"/>
      <c r="L85" s="233"/>
      <c r="M85" s="233"/>
      <c r="N85" s="233"/>
      <c r="O85" s="233"/>
      <c r="P85" s="233"/>
      <c r="Q85" s="233"/>
      <c r="R85" s="233"/>
      <c r="S85" s="233"/>
    </row>
    <row r="86" spans="1:19" ht="15.75" thickTop="1" x14ac:dyDescent="0.2">
      <c r="A86" s="441"/>
      <c r="B86" s="441"/>
      <c r="C86" s="441"/>
      <c r="D86" s="441"/>
      <c r="E86" s="441"/>
      <c r="F86" s="441"/>
      <c r="G86" s="441"/>
      <c r="H86" s="441"/>
      <c r="I86" s="441"/>
      <c r="J86" s="441"/>
      <c r="K86" s="441"/>
    </row>
    <row r="87" spans="1:19" ht="12.75" x14ac:dyDescent="0.2"/>
    <row r="88" spans="1:19" ht="12.75" x14ac:dyDescent="0.2"/>
    <row r="89" spans="1:19" ht="12.75" x14ac:dyDescent="0.2"/>
    <row r="90" spans="1:19" ht="12.75" x14ac:dyDescent="0.2"/>
    <row r="91" spans="1:19" ht="12.75" x14ac:dyDescent="0.2"/>
    <row r="92" spans="1:19" ht="12.75" x14ac:dyDescent="0.2"/>
    <row r="93" spans="1:19" ht="12.75" x14ac:dyDescent="0.2"/>
    <row r="94" spans="1:19" ht="16.5" thickBot="1" x14ac:dyDescent="0.3">
      <c r="A94" s="242" t="s">
        <v>145</v>
      </c>
      <c r="D94" s="242" t="s">
        <v>281</v>
      </c>
    </row>
    <row r="95" spans="1:19" ht="13.5" thickTop="1" x14ac:dyDescent="0.2">
      <c r="A95" s="195"/>
      <c r="B95" s="196"/>
      <c r="C95" s="196"/>
      <c r="D95" s="196"/>
      <c r="E95" s="196"/>
      <c r="F95" s="196"/>
      <c r="G95" s="196"/>
      <c r="H95" s="196"/>
      <c r="I95" s="196"/>
      <c r="J95" s="196"/>
      <c r="K95" s="196"/>
      <c r="L95" s="196"/>
      <c r="M95" s="196"/>
      <c r="N95" s="197"/>
      <c r="O95" s="222"/>
    </row>
    <row r="96" spans="1:19" ht="12.75" x14ac:dyDescent="0.2">
      <c r="A96" s="32" t="s">
        <v>126</v>
      </c>
      <c r="B96" s="33"/>
      <c r="C96" s="33"/>
      <c r="D96" s="33"/>
      <c r="E96" s="33"/>
      <c r="F96" s="33"/>
      <c r="G96" s="33"/>
      <c r="H96" s="33"/>
      <c r="I96" s="33"/>
      <c r="J96" s="33"/>
      <c r="K96" s="33"/>
      <c r="L96" s="33"/>
      <c r="M96" s="33"/>
      <c r="N96" s="34"/>
      <c r="O96" s="222"/>
    </row>
    <row r="97" spans="1:15" ht="12.75" x14ac:dyDescent="0.2">
      <c r="A97" s="32" t="s">
        <v>210</v>
      </c>
      <c r="B97" s="33"/>
      <c r="C97" s="33"/>
      <c r="D97" s="33"/>
      <c r="E97" s="33"/>
      <c r="F97" s="33"/>
      <c r="G97" s="33"/>
      <c r="H97" s="33"/>
      <c r="I97" s="33"/>
      <c r="J97" s="33"/>
      <c r="K97" s="33"/>
      <c r="L97" s="33"/>
      <c r="M97" s="33"/>
      <c r="N97" s="34"/>
      <c r="O97" s="222"/>
    </row>
    <row r="98" spans="1:15" ht="12.75" x14ac:dyDescent="0.2">
      <c r="A98" s="187"/>
      <c r="B98" s="224"/>
      <c r="C98" s="224"/>
      <c r="D98" s="224"/>
      <c r="E98" s="224"/>
      <c r="F98" s="224"/>
      <c r="G98" s="224"/>
      <c r="H98" s="224"/>
      <c r="I98" s="224"/>
      <c r="J98" s="224"/>
      <c r="K98" s="224"/>
      <c r="L98" s="224"/>
      <c r="M98" s="224"/>
      <c r="N98" s="188"/>
      <c r="O98" s="222"/>
    </row>
    <row r="99" spans="1:15" ht="12.75" x14ac:dyDescent="0.2">
      <c r="A99" s="189"/>
      <c r="B99" s="233"/>
      <c r="C99" s="233"/>
      <c r="D99" s="233"/>
      <c r="E99" s="233"/>
      <c r="F99" s="224"/>
      <c r="G99" s="224"/>
      <c r="H99" s="224"/>
      <c r="I99" s="224"/>
      <c r="J99" s="224"/>
      <c r="K99" s="224"/>
      <c r="L99" s="224"/>
      <c r="M99" s="224"/>
      <c r="N99" s="188"/>
      <c r="O99" s="222"/>
    </row>
    <row r="100" spans="1:15" ht="12.75" x14ac:dyDescent="0.2">
      <c r="A100" s="191"/>
      <c r="B100" s="233" t="s">
        <v>274</v>
      </c>
      <c r="C100" s="233"/>
      <c r="D100" s="239">
        <f>B25</f>
        <v>5</v>
      </c>
      <c r="E100" s="233" t="s">
        <v>267</v>
      </c>
      <c r="F100" s="233"/>
      <c r="G100" s="233"/>
      <c r="H100" s="233"/>
      <c r="I100" s="330" t="s">
        <v>128</v>
      </c>
      <c r="J100" s="331"/>
      <c r="K100" s="331"/>
      <c r="L100" s="331"/>
      <c r="M100" s="331"/>
      <c r="N100" s="176"/>
    </row>
    <row r="101" spans="1:15" ht="12.75" x14ac:dyDescent="0.2">
      <c r="A101" s="191"/>
      <c r="B101" s="233" t="s">
        <v>268</v>
      </c>
      <c r="C101" s="233"/>
      <c r="D101" s="233">
        <f>2^B27</f>
        <v>65536</v>
      </c>
      <c r="E101" s="233" t="s">
        <v>267</v>
      </c>
      <c r="F101" s="233"/>
      <c r="G101" s="233"/>
      <c r="H101" s="233"/>
      <c r="I101" s="330" t="s">
        <v>519</v>
      </c>
      <c r="J101" s="331"/>
      <c r="K101" s="331"/>
      <c r="L101" s="331"/>
      <c r="M101" s="331"/>
      <c r="N101" s="176"/>
    </row>
    <row r="102" spans="1:15" ht="12.75" x14ac:dyDescent="0.2">
      <c r="A102" s="191"/>
      <c r="B102" s="233" t="s">
        <v>640</v>
      </c>
      <c r="C102" s="233"/>
      <c r="D102" s="233"/>
      <c r="E102" s="233"/>
      <c r="F102" s="233"/>
      <c r="G102" s="233"/>
      <c r="H102" s="233"/>
      <c r="I102" s="330" t="s">
        <v>520</v>
      </c>
      <c r="J102" s="331"/>
      <c r="K102" s="331"/>
      <c r="L102" s="233"/>
      <c r="M102" s="233"/>
      <c r="N102" s="176"/>
    </row>
    <row r="103" spans="1:15" ht="12.75" x14ac:dyDescent="0.2">
      <c r="A103" s="191"/>
      <c r="B103" s="233" t="s">
        <v>528</v>
      </c>
      <c r="C103" s="233"/>
      <c r="D103" s="233"/>
      <c r="E103" s="233"/>
      <c r="F103" s="233"/>
      <c r="G103" s="233"/>
      <c r="H103" s="233"/>
      <c r="I103" s="330" t="s">
        <v>130</v>
      </c>
      <c r="J103" s="331"/>
      <c r="K103" s="331"/>
      <c r="L103" s="233"/>
      <c r="M103" s="233"/>
      <c r="N103" s="176"/>
    </row>
    <row r="104" spans="1:15" ht="12.75" x14ac:dyDescent="0.2">
      <c r="A104" s="191"/>
      <c r="B104" s="233"/>
      <c r="C104" s="233"/>
      <c r="D104" s="233"/>
      <c r="E104" s="233"/>
      <c r="F104" s="233"/>
      <c r="G104" s="233"/>
      <c r="H104" s="233"/>
      <c r="I104" s="233"/>
      <c r="J104" s="233"/>
      <c r="K104" s="233"/>
      <c r="L104" s="233"/>
      <c r="M104" s="233"/>
      <c r="N104" s="176"/>
    </row>
    <row r="105" spans="1:15" ht="12.75" x14ac:dyDescent="0.2">
      <c r="A105" s="191"/>
      <c r="B105" s="233"/>
      <c r="C105" s="233"/>
      <c r="D105" s="233"/>
      <c r="E105" s="233"/>
      <c r="F105" s="233"/>
      <c r="G105" s="233"/>
      <c r="H105" s="233"/>
      <c r="I105" s="233"/>
      <c r="J105" s="233"/>
      <c r="K105" s="233"/>
      <c r="L105" s="233"/>
      <c r="M105" s="233"/>
      <c r="N105" s="176"/>
    </row>
    <row r="106" spans="1:15" ht="12.75" x14ac:dyDescent="0.2">
      <c r="A106" s="191"/>
      <c r="B106" s="238" t="s">
        <v>509</v>
      </c>
      <c r="C106" s="224"/>
      <c r="D106" s="233"/>
      <c r="E106" s="224"/>
      <c r="F106" s="233"/>
      <c r="G106" s="233"/>
      <c r="H106" s="233"/>
      <c r="I106" s="238" t="s">
        <v>125</v>
      </c>
      <c r="J106" s="233"/>
      <c r="K106" s="233"/>
      <c r="L106" s="233"/>
      <c r="M106" s="233"/>
      <c r="N106" s="176"/>
    </row>
    <row r="107" spans="1:15" ht="12.75" x14ac:dyDescent="0.2">
      <c r="A107" s="191"/>
      <c r="B107" s="224" t="s">
        <v>31</v>
      </c>
      <c r="C107" s="224"/>
      <c r="D107" s="224"/>
      <c r="E107" s="224"/>
      <c r="F107" s="233"/>
      <c r="G107" s="233"/>
      <c r="H107" s="233"/>
      <c r="I107" s="233"/>
      <c r="J107" s="233"/>
      <c r="K107" s="233"/>
      <c r="L107" s="233"/>
      <c r="M107" s="233"/>
      <c r="N107" s="176"/>
    </row>
    <row r="108" spans="1:15" ht="12.75" x14ac:dyDescent="0.2">
      <c r="A108" s="191"/>
      <c r="B108" s="233" t="s">
        <v>530</v>
      </c>
      <c r="C108" s="233"/>
      <c r="D108" s="233"/>
      <c r="E108" s="233"/>
      <c r="F108" s="233"/>
      <c r="G108" s="233"/>
      <c r="H108" s="233"/>
      <c r="I108" s="233"/>
      <c r="J108" s="233"/>
      <c r="K108" s="233"/>
      <c r="L108" s="233"/>
      <c r="M108" s="233"/>
      <c r="N108" s="176"/>
    </row>
    <row r="109" spans="1:15" ht="12.75" x14ac:dyDescent="0.2">
      <c r="A109" s="191"/>
      <c r="B109" s="233" t="s">
        <v>641</v>
      </c>
      <c r="C109" s="233"/>
      <c r="D109" s="233"/>
      <c r="E109" s="233"/>
      <c r="F109" s="233"/>
      <c r="G109" s="233"/>
      <c r="H109" s="233"/>
      <c r="I109" s="233" t="s">
        <v>131</v>
      </c>
      <c r="J109" s="233"/>
      <c r="K109" s="233"/>
      <c r="L109" s="233"/>
      <c r="M109" s="233"/>
      <c r="N109" s="176"/>
    </row>
    <row r="110" spans="1:15" ht="12.75" x14ac:dyDescent="0.2">
      <c r="A110" s="191"/>
      <c r="B110" s="233" t="s">
        <v>532</v>
      </c>
      <c r="C110" s="233"/>
      <c r="D110" s="233"/>
      <c r="E110" s="233"/>
      <c r="F110" s="233"/>
      <c r="G110" s="233"/>
      <c r="H110" s="233"/>
      <c r="I110" s="233"/>
      <c r="J110" s="233"/>
      <c r="K110" s="233"/>
      <c r="L110" s="233"/>
      <c r="M110" s="233"/>
      <c r="N110" s="176"/>
    </row>
    <row r="111" spans="1:15" ht="12.75" x14ac:dyDescent="0.2">
      <c r="A111" s="191"/>
      <c r="B111" s="233"/>
      <c r="C111" s="233"/>
      <c r="D111" s="233"/>
      <c r="E111" s="233"/>
      <c r="F111" s="233"/>
      <c r="G111" s="233"/>
      <c r="H111" s="233"/>
      <c r="I111" s="233"/>
      <c r="J111" s="233"/>
      <c r="K111" s="233"/>
      <c r="L111" s="233"/>
      <c r="M111" s="233"/>
      <c r="N111" s="176"/>
    </row>
    <row r="112" spans="1:15" ht="12.75" x14ac:dyDescent="0.2">
      <c r="A112" s="191"/>
      <c r="B112" s="233" t="s">
        <v>548</v>
      </c>
      <c r="C112" s="192">
        <f>C73</f>
        <v>-440.92666550498086</v>
      </c>
      <c r="D112" s="233" t="s">
        <v>267</v>
      </c>
      <c r="E112" s="233"/>
      <c r="F112" s="233"/>
      <c r="G112" s="233"/>
      <c r="H112" s="233"/>
      <c r="I112" s="233"/>
      <c r="J112" s="233"/>
      <c r="K112" s="233"/>
      <c r="L112" s="233"/>
      <c r="M112" s="233"/>
      <c r="N112" s="176"/>
    </row>
    <row r="113" spans="1:14" ht="12.75" x14ac:dyDescent="0.2">
      <c r="A113" s="191"/>
      <c r="B113" s="233" t="s">
        <v>549</v>
      </c>
      <c r="C113" s="192">
        <f>C74</f>
        <v>338.43872798490929</v>
      </c>
      <c r="D113" s="233" t="s">
        <v>267</v>
      </c>
      <c r="E113" s="233"/>
      <c r="F113" s="233"/>
      <c r="G113" s="233"/>
      <c r="H113" s="233"/>
      <c r="I113" s="233"/>
      <c r="J113" s="233"/>
      <c r="K113" s="233"/>
      <c r="L113" s="233"/>
      <c r="M113" s="233"/>
      <c r="N113" s="176"/>
    </row>
    <row r="114" spans="1:14" ht="12.75" x14ac:dyDescent="0.2">
      <c r="A114" s="191"/>
      <c r="B114" s="233" t="s">
        <v>550</v>
      </c>
      <c r="C114" s="192">
        <f>C75</f>
        <v>-102.27908609750003</v>
      </c>
      <c r="D114" s="233" t="s">
        <v>267</v>
      </c>
      <c r="E114" s="233"/>
      <c r="F114" s="233"/>
      <c r="G114" s="233"/>
      <c r="H114" s="233"/>
      <c r="I114" s="233"/>
      <c r="J114" s="233"/>
      <c r="K114" s="233"/>
      <c r="L114" s="233"/>
      <c r="M114" s="233"/>
      <c r="N114" s="176"/>
    </row>
    <row r="115" spans="1:14" ht="12.75" x14ac:dyDescent="0.2">
      <c r="A115" s="191"/>
      <c r="B115" s="233" t="s">
        <v>551</v>
      </c>
      <c r="C115" s="192">
        <f>C76</f>
        <v>18.066607007336309</v>
      </c>
      <c r="D115" s="233" t="s">
        <v>267</v>
      </c>
      <c r="E115" s="233"/>
      <c r="F115" s="233"/>
      <c r="G115" s="233"/>
      <c r="H115" s="233"/>
      <c r="I115" s="233"/>
      <c r="J115" s="233"/>
      <c r="K115" s="233"/>
      <c r="L115" s="233"/>
      <c r="M115" s="233"/>
      <c r="N115" s="176"/>
    </row>
    <row r="116" spans="1:14" ht="12.75" x14ac:dyDescent="0.2">
      <c r="A116" s="191"/>
      <c r="B116" s="233" t="s">
        <v>552</v>
      </c>
      <c r="C116" s="192">
        <f>C77</f>
        <v>-0.61842606608893691</v>
      </c>
      <c r="D116" s="233" t="s">
        <v>267</v>
      </c>
      <c r="E116" s="233"/>
      <c r="F116" s="233"/>
      <c r="G116" s="233"/>
      <c r="H116" s="233"/>
      <c r="I116" s="233"/>
      <c r="J116" s="233"/>
      <c r="K116" s="233"/>
      <c r="L116" s="233"/>
      <c r="M116" s="233"/>
      <c r="N116" s="176"/>
    </row>
    <row r="117" spans="1:14" ht="12.75" x14ac:dyDescent="0.2">
      <c r="A117" s="191"/>
      <c r="B117" s="233"/>
      <c r="C117" s="233"/>
      <c r="D117" s="233"/>
      <c r="E117" s="233"/>
      <c r="F117" s="233"/>
      <c r="G117" s="233"/>
      <c r="H117" s="233"/>
      <c r="I117" s="233"/>
      <c r="J117" s="233"/>
      <c r="K117" s="233"/>
      <c r="L117" s="233"/>
      <c r="M117" s="233"/>
      <c r="N117" s="176"/>
    </row>
    <row r="118" spans="1:14" ht="12.75" x14ac:dyDescent="0.2">
      <c r="A118" s="191"/>
      <c r="B118" s="233" t="s">
        <v>642</v>
      </c>
      <c r="C118" s="233"/>
      <c r="D118" s="233"/>
      <c r="E118" s="233"/>
      <c r="F118" s="233"/>
      <c r="G118" s="233"/>
      <c r="H118" s="233"/>
      <c r="I118" s="190" t="s">
        <v>132</v>
      </c>
      <c r="L118" s="233"/>
      <c r="M118" s="233"/>
      <c r="N118" s="176"/>
    </row>
    <row r="119" spans="1:14" ht="12.75" x14ac:dyDescent="0.2">
      <c r="A119" s="191"/>
      <c r="B119" s="233" t="s">
        <v>644</v>
      </c>
      <c r="C119" s="233"/>
      <c r="D119" s="233"/>
      <c r="E119" s="233"/>
      <c r="F119" s="233"/>
      <c r="G119" s="233"/>
      <c r="H119" s="233"/>
      <c r="I119" s="190" t="s">
        <v>134</v>
      </c>
      <c r="L119" s="233"/>
      <c r="M119" s="233"/>
      <c r="N119" s="176"/>
    </row>
    <row r="120" spans="1:14" ht="12.75" x14ac:dyDescent="0.2">
      <c r="A120" s="191"/>
      <c r="B120" s="233" t="s">
        <v>554</v>
      </c>
      <c r="C120" s="233"/>
      <c r="D120" s="233"/>
      <c r="E120" s="233"/>
      <c r="F120" s="233"/>
      <c r="G120" s="233"/>
      <c r="H120" s="233"/>
      <c r="I120" s="233"/>
      <c r="J120" s="233"/>
      <c r="K120" s="233"/>
      <c r="L120" s="233"/>
      <c r="M120" s="233"/>
      <c r="N120" s="176"/>
    </row>
    <row r="121" spans="1:14" ht="12.75" x14ac:dyDescent="0.2">
      <c r="A121" s="191"/>
      <c r="B121" s="233"/>
      <c r="C121" s="233"/>
      <c r="D121" s="233"/>
      <c r="E121" s="233"/>
      <c r="F121" s="233"/>
      <c r="G121" s="233"/>
      <c r="H121" s="233"/>
      <c r="I121" s="233"/>
      <c r="J121" s="233"/>
      <c r="K121" s="233"/>
      <c r="L121" s="233"/>
      <c r="M121" s="233"/>
      <c r="N121" s="176"/>
    </row>
    <row r="122" spans="1:14" ht="12.75" x14ac:dyDescent="0.2">
      <c r="A122" s="191"/>
      <c r="B122" s="233" t="s">
        <v>35</v>
      </c>
      <c r="C122" s="233"/>
      <c r="D122" s="233"/>
      <c r="E122" s="233"/>
      <c r="F122" s="233"/>
      <c r="G122" s="233"/>
      <c r="H122" s="233"/>
      <c r="I122" s="233"/>
      <c r="J122" s="233"/>
      <c r="K122" s="233"/>
      <c r="L122" s="233"/>
      <c r="M122" s="233"/>
      <c r="N122" s="176"/>
    </row>
    <row r="123" spans="1:14" ht="12.75" x14ac:dyDescent="0.2">
      <c r="A123" s="191"/>
      <c r="B123" s="233"/>
      <c r="C123" s="233"/>
      <c r="D123" s="233"/>
      <c r="E123" s="233"/>
      <c r="F123" s="233"/>
      <c r="G123" s="233"/>
      <c r="H123" s="233"/>
      <c r="I123" s="233"/>
      <c r="J123" s="233"/>
      <c r="K123" s="233"/>
      <c r="L123" s="233"/>
      <c r="M123" s="233"/>
      <c r="N123" s="176"/>
    </row>
    <row r="124" spans="1:14" ht="13.5" thickBot="1" x14ac:dyDescent="0.25">
      <c r="A124" s="193"/>
      <c r="B124" s="194"/>
      <c r="C124" s="194"/>
      <c r="D124" s="194"/>
      <c r="E124" s="194"/>
      <c r="F124" s="194"/>
      <c r="G124" s="194"/>
      <c r="H124" s="194"/>
      <c r="I124" s="194"/>
      <c r="J124" s="194"/>
      <c r="K124" s="194"/>
      <c r="L124" s="194"/>
      <c r="M124" s="194"/>
      <c r="N124" s="177"/>
    </row>
    <row r="125" spans="1:14" ht="13.5" thickTop="1" x14ac:dyDescent="0.2"/>
    <row r="126" spans="1:14" ht="12.75" x14ac:dyDescent="0.2"/>
    <row r="127" spans="1:14" ht="12.75" x14ac:dyDescent="0.2"/>
    <row r="128" spans="1:14" ht="12.75" x14ac:dyDescent="0.2"/>
    <row r="129" ht="12.75" x14ac:dyDescent="0.2"/>
    <row r="130" ht="12.75" x14ac:dyDescent="0.2"/>
    <row r="131" ht="12.75" x14ac:dyDescent="0.2"/>
    <row r="132" ht="12.75" hidden="1" x14ac:dyDescent="0.2"/>
    <row r="133" ht="12.75" hidden="1" x14ac:dyDescent="0.2"/>
    <row r="134" ht="12.75" hidden="1" x14ac:dyDescent="0.2"/>
    <row r="135" ht="12.75" hidden="1" x14ac:dyDescent="0.2"/>
    <row r="136" ht="12.75" hidden="1" x14ac:dyDescent="0.2"/>
    <row r="137" ht="12.75" hidden="1" x14ac:dyDescent="0.2"/>
    <row r="138" ht="12.75" hidden="1" x14ac:dyDescent="0.2"/>
    <row r="139" ht="12.75" hidden="1" x14ac:dyDescent="0.2"/>
    <row r="140" ht="12.75" hidden="1" x14ac:dyDescent="0.2"/>
    <row r="141" ht="12.75" hidden="1" x14ac:dyDescent="0.2"/>
    <row r="142" ht="12.75" hidden="1" x14ac:dyDescent="0.2"/>
    <row r="143" ht="12.75" hidden="1" x14ac:dyDescent="0.2"/>
    <row r="144" ht="12.75" hidden="1" x14ac:dyDescent="0.2"/>
    <row r="145" ht="12.75" hidden="1" x14ac:dyDescent="0.2"/>
    <row r="146" ht="12.75" hidden="1" x14ac:dyDescent="0.2"/>
    <row r="147" ht="12.75" hidden="1" x14ac:dyDescent="0.2"/>
    <row r="148" ht="12.75" hidden="1" x14ac:dyDescent="0.2"/>
    <row r="149" ht="12.75" hidden="1" x14ac:dyDescent="0.2"/>
    <row r="150" ht="12.75" hidden="1" x14ac:dyDescent="0.2"/>
    <row r="151" ht="12.75" hidden="1" x14ac:dyDescent="0.2"/>
    <row r="152" ht="12.75" hidden="1" x14ac:dyDescent="0.2"/>
    <row r="153" ht="12.75" hidden="1" x14ac:dyDescent="0.2"/>
    <row r="154" ht="12.75" hidden="1" x14ac:dyDescent="0.2"/>
    <row r="155" ht="12.75" hidden="1" x14ac:dyDescent="0.2"/>
    <row r="156" ht="12.75" hidden="1" x14ac:dyDescent="0.2"/>
    <row r="157" ht="12.75" hidden="1" x14ac:dyDescent="0.2"/>
    <row r="158" ht="12.75" hidden="1" x14ac:dyDescent="0.2"/>
    <row r="159" ht="12.75" hidden="1" x14ac:dyDescent="0.2"/>
    <row r="160" ht="12.75" hidden="1" x14ac:dyDescent="0.2"/>
    <row r="161" ht="12.75" hidden="1" x14ac:dyDescent="0.2"/>
    <row r="162" ht="12.75" hidden="1" x14ac:dyDescent="0.2"/>
    <row r="163" ht="12.75" hidden="1" x14ac:dyDescent="0.2"/>
    <row r="164" ht="12.75" hidden="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sheetData>
  <sheetProtection algorithmName="SHA-512" hashValue="h99WrNNGvC5ZEQeLMLHHrm8JIke8aDaXUjgJov67bmqRKDrRUO4jUKlYsuvsYUs4rYS1QSwxiDnCdmbimKKUvg==" saltValue="jvQxjthz07AL0hUa7jix1g==" spinCount="100000" sheet="1" objects="1" scenarios="1"/>
  <mergeCells count="2">
    <mergeCell ref="A1:U3"/>
    <mergeCell ref="A4:Y4"/>
  </mergeCells>
  <dataValidations count="1">
    <dataValidation type="decimal" allowBlank="1" showInputMessage="1" showErrorMessage="1" errorTitle="Vsense Voltage" error="Enter a value up to the maximum voltage for the selected TI device." promptTitle="Vsense Voltage" prompt="Enter a value up to the maximum voltage for the selected TI device." sqref="C79" xr:uid="{00000000-0002-0000-0500-000000000000}">
      <formula1>0</formula1>
      <formula2>5.5</formula2>
    </dataValidation>
  </dataValidations>
  <hyperlinks>
    <hyperlink ref="A5" location="Main!K42" display="Return to Menu" xr:uid="{00000000-0004-0000-0500-000000000000}"/>
    <hyperlink ref="B30" location="'4th Order Polynomial TMP vs Vdc'!A122" display="Example Code" xr:uid="{00000000-0004-0000-0500-000001000000}"/>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2"/>
  <dimension ref="A1:AJ110"/>
  <sheetViews>
    <sheetView showGridLines="0" zoomScale="80" zoomScaleNormal="80" workbookViewId="0">
      <selection activeCell="A102" sqref="A102"/>
    </sheetView>
  </sheetViews>
  <sheetFormatPr defaultColWidth="0" defaultRowHeight="12.75" zeroHeight="1" x14ac:dyDescent="0.2"/>
  <cols>
    <col min="1" max="1" width="30.28515625" style="16" customWidth="1"/>
    <col min="2" max="2" width="26.28515625" style="11" customWidth="1"/>
    <col min="3" max="3" width="32.7109375" style="11" customWidth="1"/>
    <col min="4" max="4" width="14.7109375" style="11" customWidth="1"/>
    <col min="5" max="5" width="16.28515625" style="11" customWidth="1"/>
    <col min="6" max="6" width="19.7109375" style="11" customWidth="1"/>
    <col min="7" max="7" width="10" style="11" customWidth="1"/>
    <col min="8" max="8" width="9.42578125" style="11" customWidth="1"/>
    <col min="9" max="9" width="20.140625" style="11" customWidth="1"/>
    <col min="10" max="10" width="19.7109375" style="11" customWidth="1"/>
    <col min="11" max="11" width="22" style="11" customWidth="1"/>
    <col min="12" max="12" width="15.140625" style="11" customWidth="1"/>
    <col min="13" max="13" width="13.140625" style="11" customWidth="1"/>
    <col min="14" max="14" width="10" style="11" customWidth="1"/>
    <col min="15" max="15" width="10.140625" style="11" customWidth="1"/>
    <col min="16" max="16" width="9.140625" style="11" customWidth="1"/>
    <col min="17" max="17" width="9.5703125" style="11" customWidth="1"/>
    <col min="18" max="19" width="9.140625" style="11" customWidth="1"/>
    <col min="20" max="25" width="9.140625" style="11" hidden="1" customWidth="1"/>
    <col min="26" max="36" width="0" style="11" hidden="1" customWidth="1"/>
    <col min="37" max="16384" width="0" style="11" hidden="1"/>
  </cols>
  <sheetData>
    <row r="1" spans="1:36" s="2" customFormat="1" x14ac:dyDescent="0.2">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ht="15" x14ac:dyDescent="0.2">
      <c r="A5" s="418" t="s">
        <v>75</v>
      </c>
    </row>
    <row r="6" spans="1:36" ht="15.75" x14ac:dyDescent="0.25">
      <c r="A6" s="124"/>
      <c r="B6" s="158"/>
      <c r="C6" s="158"/>
      <c r="D6" s="121"/>
    </row>
    <row r="7" spans="1:36" x14ac:dyDescent="0.2">
      <c r="A7" s="139"/>
      <c r="B7" s="146"/>
      <c r="C7" s="146"/>
      <c r="D7" s="40"/>
    </row>
    <row r="8" spans="1:36" s="146" customFormat="1" x14ac:dyDescent="0.2">
      <c r="A8" s="164"/>
    </row>
    <row r="9" spans="1:36" s="146" customFormat="1" x14ac:dyDescent="0.2">
      <c r="D9" s="160"/>
    </row>
    <row r="10" spans="1:36" s="146" customFormat="1" x14ac:dyDescent="0.2">
      <c r="D10" s="160"/>
    </row>
    <row r="11" spans="1:36" s="13" customFormat="1" x14ac:dyDescent="0.2">
      <c r="A11" s="146"/>
      <c r="B11" s="146"/>
      <c r="C11" s="146"/>
      <c r="D11" s="146"/>
      <c r="E11" s="146"/>
      <c r="F11" s="146"/>
      <c r="G11" s="146"/>
      <c r="H11" s="146"/>
      <c r="I11" s="146"/>
      <c r="J11" s="146"/>
      <c r="K11" s="146"/>
      <c r="L11" s="146"/>
      <c r="M11" s="146"/>
    </row>
    <row r="12" spans="1:36" x14ac:dyDescent="0.2">
      <c r="A12" s="151"/>
      <c r="B12" s="146"/>
      <c r="C12" s="146"/>
      <c r="D12" s="146"/>
      <c r="E12" s="146"/>
      <c r="F12" s="146"/>
      <c r="G12" s="146"/>
      <c r="H12" s="146"/>
      <c r="I12" s="146"/>
      <c r="J12" s="146"/>
      <c r="K12" s="146"/>
      <c r="L12" s="146"/>
      <c r="M12" s="146"/>
    </row>
    <row r="13" spans="1:36" x14ac:dyDescent="0.2">
      <c r="A13" s="14"/>
      <c r="G13" s="15"/>
    </row>
    <row r="14" spans="1:36" ht="15.75" x14ac:dyDescent="0.25">
      <c r="B14" s="166"/>
      <c r="C14" s="165"/>
      <c r="D14" s="165"/>
      <c r="E14" s="165"/>
      <c r="G14" s="17"/>
    </row>
    <row r="15" spans="1:36" ht="15" x14ac:dyDescent="0.2">
      <c r="B15" s="167"/>
      <c r="C15" s="165"/>
      <c r="D15" s="165"/>
      <c r="E15" s="165"/>
    </row>
    <row r="16" spans="1:36" ht="15" x14ac:dyDescent="0.2">
      <c r="B16" s="167"/>
      <c r="C16" s="165"/>
      <c r="D16" s="165"/>
      <c r="E16" s="165"/>
    </row>
    <row r="17" spans="1:14" s="145" customFormat="1" ht="15" x14ac:dyDescent="0.2">
      <c r="A17" s="148"/>
      <c r="B17" s="167"/>
      <c r="C17" s="165"/>
      <c r="D17" s="165"/>
      <c r="E17" s="165"/>
    </row>
    <row r="18" spans="1:14" s="145" customFormat="1" ht="15" x14ac:dyDescent="0.2">
      <c r="A18" s="148"/>
      <c r="B18" s="167"/>
      <c r="C18" s="165"/>
      <c r="D18" s="165"/>
      <c r="E18" s="165"/>
    </row>
    <row r="19" spans="1:14" s="145" customFormat="1" ht="15" x14ac:dyDescent="0.2">
      <c r="A19" s="148"/>
      <c r="B19" s="167"/>
      <c r="C19" s="165"/>
      <c r="D19" s="165"/>
      <c r="E19" s="165"/>
    </row>
    <row r="20" spans="1:14" ht="15" x14ac:dyDescent="0.2">
      <c r="B20" s="165"/>
      <c r="C20" s="165"/>
      <c r="D20" s="165"/>
      <c r="E20" s="165"/>
    </row>
    <row r="21" spans="1:14" ht="15" x14ac:dyDescent="0.2">
      <c r="A21" s="419" t="s">
        <v>247</v>
      </c>
      <c r="B21" s="165"/>
      <c r="C21" s="165"/>
      <c r="D21" s="165"/>
      <c r="E21" s="165"/>
    </row>
    <row r="22" spans="1:14" ht="15" x14ac:dyDescent="0.2">
      <c r="A22" s="148"/>
      <c r="B22" s="167"/>
      <c r="C22" s="165"/>
      <c r="D22" s="165"/>
      <c r="E22" s="165"/>
      <c r="F22" s="222"/>
      <c r="G22" s="222"/>
      <c r="H22" s="222"/>
    </row>
    <row r="23" spans="1:14" ht="14.25" x14ac:dyDescent="0.2">
      <c r="A23" s="186"/>
      <c r="B23" s="253"/>
      <c r="C23" s="253"/>
      <c r="D23" s="253"/>
      <c r="E23" s="253"/>
      <c r="F23" s="253"/>
      <c r="G23" s="253"/>
      <c r="H23" s="222"/>
    </row>
    <row r="24" spans="1:14" ht="15.75" x14ac:dyDescent="0.25">
      <c r="A24" s="433" t="s">
        <v>300</v>
      </c>
      <c r="B24" s="434" t="str">
        <f>Main!N22</f>
        <v>TMP6131DECR</v>
      </c>
      <c r="C24" s="435"/>
      <c r="D24" s="436"/>
      <c r="E24" s="436"/>
      <c r="F24" s="436"/>
      <c r="G24" s="436"/>
      <c r="H24" s="436"/>
      <c r="I24" s="436"/>
      <c r="J24" s="436"/>
      <c r="K24" s="436"/>
      <c r="L24" s="436"/>
    </row>
    <row r="25" spans="1:14" ht="15.75" x14ac:dyDescent="0.25">
      <c r="A25" s="437" t="s">
        <v>206</v>
      </c>
      <c r="B25" s="438">
        <f>Main!N25</f>
        <v>5</v>
      </c>
      <c r="C25" s="206" t="s">
        <v>2</v>
      </c>
      <c r="D25" s="436"/>
      <c r="E25" s="436"/>
      <c r="F25" s="436"/>
      <c r="G25" s="436"/>
      <c r="H25" s="436"/>
      <c r="I25" s="436"/>
      <c r="J25" s="436"/>
      <c r="K25" s="436"/>
      <c r="L25" s="436"/>
    </row>
    <row r="26" spans="1:14" ht="15.75" x14ac:dyDescent="0.25">
      <c r="A26" s="437" t="s">
        <v>251</v>
      </c>
      <c r="B26" s="439">
        <f>Main!N31</f>
        <v>10000</v>
      </c>
      <c r="C26" s="206" t="s">
        <v>1</v>
      </c>
      <c r="D26" s="436"/>
      <c r="E26" s="436"/>
      <c r="F26" s="436"/>
      <c r="G26" s="436"/>
      <c r="H26" s="436"/>
      <c r="I26" s="436"/>
      <c r="J26" s="436"/>
      <c r="K26" s="436"/>
      <c r="L26" s="436"/>
    </row>
    <row r="27" spans="1:14" s="171" customFormat="1" ht="15.75" x14ac:dyDescent="0.25">
      <c r="A27" s="440" t="s">
        <v>46</v>
      </c>
      <c r="B27" s="284">
        <f>Main!N28</f>
        <v>16</v>
      </c>
      <c r="C27" s="242" t="s">
        <v>17</v>
      </c>
      <c r="D27" s="441"/>
      <c r="E27" s="441"/>
      <c r="F27" s="435"/>
      <c r="G27" s="436"/>
      <c r="H27" s="435"/>
      <c r="I27" s="436"/>
      <c r="J27" s="436"/>
      <c r="K27" s="436"/>
      <c r="L27" s="436"/>
      <c r="M27" s="185"/>
      <c r="N27" s="185"/>
    </row>
    <row r="28" spans="1:14" s="222" customFormat="1" ht="15.75" customHeight="1" x14ac:dyDescent="0.25">
      <c r="A28" s="440"/>
      <c r="B28" s="268"/>
      <c r="C28" s="441"/>
      <c r="D28" s="441"/>
      <c r="E28" s="441"/>
      <c r="F28" s="435"/>
      <c r="G28" s="436"/>
      <c r="H28" s="435"/>
      <c r="I28" s="436"/>
      <c r="J28" s="436"/>
      <c r="K28" s="436"/>
      <c r="L28" s="436"/>
      <c r="M28" s="253"/>
      <c r="N28" s="253"/>
    </row>
    <row r="29" spans="1:14" s="171" customFormat="1" ht="13.5" hidden="1" customHeight="1" x14ac:dyDescent="0.25">
      <c r="A29" s="436"/>
      <c r="B29" s="442" t="s">
        <v>222</v>
      </c>
      <c r="C29" s="442" t="s">
        <v>5</v>
      </c>
      <c r="D29" s="442" t="s">
        <v>6</v>
      </c>
      <c r="E29" s="442" t="s">
        <v>7</v>
      </c>
      <c r="F29" s="436"/>
      <c r="G29" s="436"/>
      <c r="H29" s="436"/>
      <c r="I29" s="436"/>
      <c r="J29" s="436"/>
      <c r="K29" s="436"/>
      <c r="L29" s="436"/>
      <c r="M29" s="185"/>
      <c r="N29" s="185"/>
    </row>
    <row r="30" spans="1:14" s="171" customFormat="1" ht="21.75" hidden="1" customHeight="1" x14ac:dyDescent="0.25">
      <c r="A30" s="433" t="s">
        <v>8</v>
      </c>
      <c r="B30" s="443">
        <v>-40</v>
      </c>
      <c r="C30" s="444">
        <f>'Device Resistance Tables'!E20</f>
        <v>6603.4333582991267</v>
      </c>
      <c r="D30" s="445">
        <f>B30+273.15</f>
        <v>233.14999999999998</v>
      </c>
      <c r="E30" s="446">
        <f>LN(C30)</f>
        <v>8.7953449985572831</v>
      </c>
      <c r="F30" s="436"/>
      <c r="G30" s="436"/>
      <c r="H30" s="436"/>
      <c r="I30" s="436"/>
      <c r="J30" s="436"/>
      <c r="K30" s="436"/>
      <c r="L30" s="436"/>
      <c r="M30" s="185"/>
      <c r="N30" s="185"/>
    </row>
    <row r="31" spans="1:14" s="171" customFormat="1" ht="18" hidden="1" customHeight="1" x14ac:dyDescent="0.25">
      <c r="A31" s="433" t="s">
        <v>9</v>
      </c>
      <c r="B31" s="443">
        <v>25</v>
      </c>
      <c r="C31" s="444">
        <f>'Device Resistance Tables'!E85</f>
        <v>10059.739939720781</v>
      </c>
      <c r="D31" s="445">
        <f>B31+273.15</f>
        <v>298.14999999999998</v>
      </c>
      <c r="E31" s="446">
        <f>LN(C31)</f>
        <v>9.2162965923972013</v>
      </c>
      <c r="F31" s="435"/>
      <c r="G31" s="436"/>
      <c r="H31" s="436"/>
      <c r="I31" s="436"/>
      <c r="J31" s="436"/>
      <c r="K31" s="436"/>
      <c r="L31" s="436"/>
      <c r="M31" s="185"/>
      <c r="N31" s="185"/>
    </row>
    <row r="32" spans="1:14" s="171" customFormat="1" ht="21" hidden="1" customHeight="1" x14ac:dyDescent="0.25">
      <c r="A32" s="433" t="s">
        <v>10</v>
      </c>
      <c r="B32" s="443">
        <f>VLOOKUP(Main!$N$22,Coefficients!$E$2:$H$28,4,FALSE)</f>
        <v>125</v>
      </c>
      <c r="C32" s="444">
        <f>B53</f>
        <v>18081.05818919239</v>
      </c>
      <c r="D32" s="445">
        <f>B32+273.15</f>
        <v>398.15</v>
      </c>
      <c r="E32" s="446">
        <f>LN(C32)</f>
        <v>9.8026201603967564</v>
      </c>
      <c r="F32" s="435"/>
      <c r="G32" s="436"/>
      <c r="H32" s="436"/>
      <c r="I32" s="436"/>
      <c r="J32" s="436"/>
      <c r="K32" s="436"/>
      <c r="L32" s="436"/>
      <c r="M32" s="185"/>
      <c r="N32" s="185"/>
    </row>
    <row r="33" spans="1:14" s="171" customFormat="1" ht="17.25" hidden="1" customHeight="1" x14ac:dyDescent="0.2">
      <c r="A33" s="447"/>
      <c r="B33" s="435"/>
      <c r="C33" s="435"/>
      <c r="D33" s="435"/>
      <c r="E33" s="448">
        <f>1/D30</f>
        <v>4.2890842805061126E-3</v>
      </c>
      <c r="F33" s="449"/>
      <c r="G33" s="436"/>
      <c r="H33" s="436"/>
      <c r="I33" s="436"/>
      <c r="J33" s="436"/>
      <c r="K33" s="436"/>
      <c r="L33" s="436"/>
      <c r="M33" s="185"/>
      <c r="N33" s="185"/>
    </row>
    <row r="34" spans="1:14" s="171" customFormat="1" ht="24.75" hidden="1" customHeight="1" x14ac:dyDescent="0.2">
      <c r="A34" s="450"/>
      <c r="B34" s="451"/>
      <c r="C34" s="452"/>
      <c r="D34" s="451"/>
      <c r="E34" s="448">
        <f>1/D31</f>
        <v>3.3540164346805303E-3</v>
      </c>
      <c r="F34" s="449"/>
      <c r="G34" s="436"/>
      <c r="H34" s="436"/>
      <c r="I34" s="436"/>
      <c r="J34" s="436"/>
      <c r="K34" s="436"/>
      <c r="L34" s="436"/>
      <c r="M34" s="185"/>
      <c r="N34" s="185"/>
    </row>
    <row r="35" spans="1:14" s="171" customFormat="1" ht="13.5" hidden="1" customHeight="1" x14ac:dyDescent="0.2">
      <c r="A35" s="450"/>
      <c r="B35" s="451"/>
      <c r="C35" s="452"/>
      <c r="D35" s="451"/>
      <c r="E35" s="448">
        <f>1/D32</f>
        <v>2.511616225040814E-3</v>
      </c>
      <c r="F35" s="447"/>
      <c r="G35" s="436"/>
      <c r="H35" s="436"/>
      <c r="I35" s="436"/>
      <c r="J35" s="436"/>
      <c r="K35" s="436"/>
      <c r="L35" s="436"/>
      <c r="M35" s="185"/>
      <c r="N35" s="185"/>
    </row>
    <row r="36" spans="1:14" s="171" customFormat="1" ht="19.5" hidden="1" customHeight="1" x14ac:dyDescent="0.2">
      <c r="A36" s="450"/>
      <c r="B36" s="436"/>
      <c r="C36" s="436"/>
      <c r="D36" s="451"/>
      <c r="E36" s="453">
        <f>(E34-E33)/(E31-E30)</f>
        <v>-2.2213191718693788E-3</v>
      </c>
      <c r="F36" s="447"/>
      <c r="G36" s="436"/>
      <c r="H36" s="436"/>
      <c r="I36" s="436"/>
      <c r="J36" s="436"/>
      <c r="K36" s="436"/>
      <c r="L36" s="436"/>
      <c r="M36" s="185"/>
      <c r="N36" s="185"/>
    </row>
    <row r="37" spans="1:14" s="171" customFormat="1" ht="15.75" hidden="1" customHeight="1" x14ac:dyDescent="0.2">
      <c r="A37" s="450"/>
      <c r="B37" s="436"/>
      <c r="C37" s="436"/>
      <c r="D37" s="451"/>
      <c r="E37" s="453">
        <f>(E35-E33)/(E32-E30)</f>
        <v>-1.7646300860028243E-3</v>
      </c>
      <c r="F37" s="447"/>
      <c r="G37" s="436"/>
      <c r="H37" s="436"/>
      <c r="I37" s="436"/>
      <c r="J37" s="436"/>
      <c r="K37" s="436"/>
      <c r="L37" s="436"/>
      <c r="M37" s="185"/>
      <c r="N37" s="185"/>
    </row>
    <row r="38" spans="1:14" s="171" customFormat="1" ht="15" x14ac:dyDescent="0.2">
      <c r="A38" s="449"/>
      <c r="B38" s="436"/>
      <c r="C38" s="436"/>
      <c r="D38" s="435"/>
      <c r="E38" s="435"/>
      <c r="F38" s="454"/>
      <c r="G38" s="436"/>
      <c r="H38" s="436"/>
      <c r="I38" s="436"/>
      <c r="J38" s="436"/>
      <c r="K38" s="436"/>
      <c r="L38" s="436"/>
      <c r="M38" s="185"/>
      <c r="N38" s="185"/>
    </row>
    <row r="39" spans="1:14" s="171" customFormat="1" ht="15.75" x14ac:dyDescent="0.25">
      <c r="A39" s="455" t="s">
        <v>269</v>
      </c>
      <c r="B39" s="456"/>
      <c r="C39" s="436"/>
      <c r="D39" s="435"/>
      <c r="E39" s="435"/>
      <c r="F39" s="454"/>
      <c r="G39" s="436"/>
      <c r="H39" s="436"/>
      <c r="I39" s="436"/>
      <c r="J39" s="436"/>
      <c r="K39" s="436"/>
      <c r="L39" s="436"/>
      <c r="M39" s="185"/>
      <c r="N39" s="185"/>
    </row>
    <row r="40" spans="1:14" s="171" customFormat="1" ht="15.75" x14ac:dyDescent="0.25">
      <c r="A40" s="433" t="s">
        <v>12</v>
      </c>
      <c r="B40" s="453">
        <f>E33-(B41+E30^2*B42)*E30</f>
        <v>6.4712704651269798E-2</v>
      </c>
      <c r="C40" s="436"/>
      <c r="D40" s="435"/>
      <c r="E40" s="435"/>
      <c r="F40" s="454"/>
      <c r="G40" s="436"/>
      <c r="H40" s="436"/>
      <c r="I40" s="436"/>
      <c r="J40" s="436"/>
      <c r="K40" s="436"/>
      <c r="L40" s="436"/>
      <c r="M40" s="185"/>
      <c r="N40" s="185"/>
    </row>
    <row r="41" spans="1:14" s="171" customFormat="1" ht="15.75" x14ac:dyDescent="0.25">
      <c r="A41" s="433" t="s">
        <v>13</v>
      </c>
      <c r="B41" s="457">
        <f>E36-B42*(E30^2+E30*E31+E31^2)</f>
        <v>-9.0362690279193573E-3</v>
      </c>
      <c r="C41" s="436"/>
      <c r="D41" s="435"/>
      <c r="E41" s="435"/>
      <c r="F41" s="454"/>
      <c r="G41" s="436"/>
      <c r="H41" s="436"/>
      <c r="I41" s="436"/>
      <c r="J41" s="436"/>
      <c r="K41" s="436"/>
      <c r="L41" s="436"/>
      <c r="M41" s="185"/>
      <c r="N41" s="185"/>
    </row>
    <row r="42" spans="1:14" s="171" customFormat="1" ht="15.75" x14ac:dyDescent="0.25">
      <c r="A42" s="433" t="s">
        <v>14</v>
      </c>
      <c r="B42" s="457">
        <f>((E37-E36)/(E32-E31))*(E30+E31+E32)^-1</f>
        <v>2.8003721113840132E-5</v>
      </c>
      <c r="C42" s="436"/>
      <c r="D42" s="435"/>
      <c r="E42" s="435"/>
      <c r="F42" s="454"/>
      <c r="G42" s="436"/>
      <c r="H42" s="436"/>
      <c r="I42" s="436"/>
      <c r="J42" s="436"/>
      <c r="K42" s="436"/>
      <c r="L42" s="436"/>
      <c r="M42" s="185"/>
      <c r="N42" s="185"/>
    </row>
    <row r="43" spans="1:14" s="171" customFormat="1" ht="15" x14ac:dyDescent="0.2">
      <c r="A43" s="449"/>
      <c r="B43" s="436"/>
      <c r="C43" s="436"/>
      <c r="D43" s="435"/>
      <c r="E43" s="435"/>
      <c r="F43" s="454"/>
      <c r="G43" s="436"/>
      <c r="H43" s="436"/>
      <c r="I43" s="436"/>
      <c r="J43" s="436"/>
      <c r="K43" s="436"/>
      <c r="L43" s="436"/>
      <c r="M43" s="185"/>
      <c r="N43" s="185"/>
    </row>
    <row r="44" spans="1:14" ht="15.75" x14ac:dyDescent="0.25">
      <c r="A44" s="458" t="s">
        <v>304</v>
      </c>
      <c r="B44" s="459"/>
      <c r="C44" s="460"/>
      <c r="D44" s="435"/>
      <c r="E44" s="461"/>
      <c r="F44" s="435"/>
      <c r="G44" s="435"/>
      <c r="H44" s="435"/>
      <c r="I44" s="436"/>
      <c r="J44" s="436"/>
      <c r="K44" s="436"/>
      <c r="L44" s="436"/>
    </row>
    <row r="45" spans="1:14" ht="16.5" thickBot="1" x14ac:dyDescent="0.3">
      <c r="A45" s="462" t="s">
        <v>120</v>
      </c>
      <c r="B45" s="463"/>
      <c r="C45" s="460"/>
      <c r="D45" s="435"/>
      <c r="E45" s="461"/>
      <c r="F45" s="435"/>
      <c r="G45" s="435"/>
      <c r="H45" s="435"/>
      <c r="I45" s="436"/>
      <c r="J45" s="436"/>
      <c r="K45" s="436"/>
      <c r="L45" s="436"/>
    </row>
    <row r="46" spans="1:14" ht="15.75" thickBot="1" x14ac:dyDescent="0.25">
      <c r="A46" s="447" t="s">
        <v>333</v>
      </c>
      <c r="B46" s="464">
        <v>2.5</v>
      </c>
      <c r="C46" s="465" t="s">
        <v>15</v>
      </c>
      <c r="D46" s="466">
        <f>B46/((B25-B46)/B26)</f>
        <v>10000</v>
      </c>
      <c r="E46" s="467" t="s">
        <v>1</v>
      </c>
      <c r="F46" s="468" t="s">
        <v>252</v>
      </c>
      <c r="G46" s="469"/>
      <c r="H46" s="435"/>
      <c r="I46" s="436"/>
      <c r="J46" s="436"/>
      <c r="K46" s="436"/>
      <c r="L46" s="436"/>
    </row>
    <row r="47" spans="1:14" ht="15.75" thickBot="1" x14ac:dyDescent="0.25">
      <c r="A47" s="447"/>
      <c r="B47" s="436"/>
      <c r="C47" s="436"/>
      <c r="D47" s="470">
        <f>B46/E52</f>
        <v>32768</v>
      </c>
      <c r="E47" s="435" t="s">
        <v>16</v>
      </c>
      <c r="F47" s="435"/>
      <c r="G47" s="435"/>
      <c r="H47" s="435"/>
      <c r="I47" s="436"/>
      <c r="J47" s="436"/>
      <c r="K47" s="436"/>
      <c r="L47" s="436"/>
    </row>
    <row r="48" spans="1:14" ht="15.75" thickBot="1" x14ac:dyDescent="0.25">
      <c r="A48" s="447"/>
      <c r="B48" s="471"/>
      <c r="C48" s="435"/>
      <c r="D48" s="472">
        <f>1/(B40+(B41*LN(D46))+(B42*(LN(D46)^3)))-273.15</f>
        <v>23.994782996824654</v>
      </c>
      <c r="E48" s="447" t="s">
        <v>222</v>
      </c>
      <c r="F48" s="435" t="s">
        <v>253</v>
      </c>
      <c r="G48" s="435"/>
      <c r="H48" s="435"/>
      <c r="I48" s="436"/>
      <c r="J48" s="436"/>
      <c r="K48" s="436"/>
      <c r="L48" s="436"/>
    </row>
    <row r="49" spans="1:12" ht="15.75" x14ac:dyDescent="0.25">
      <c r="A49" s="462"/>
      <c r="B49" s="473"/>
      <c r="C49" s="474"/>
      <c r="D49" s="475"/>
      <c r="E49" s="435"/>
      <c r="F49" s="435"/>
      <c r="G49" s="435"/>
      <c r="H49" s="435"/>
      <c r="I49" s="436"/>
      <c r="J49" s="436"/>
      <c r="K49" s="436"/>
      <c r="L49" s="436"/>
    </row>
    <row r="50" spans="1:12" ht="15.75" x14ac:dyDescent="0.25">
      <c r="A50" s="476"/>
      <c r="B50" s="473"/>
      <c r="C50" s="474"/>
      <c r="D50" s="436"/>
      <c r="E50" s="435"/>
      <c r="F50" s="435"/>
      <c r="G50" s="435"/>
      <c r="H50" s="435"/>
      <c r="I50" s="436"/>
      <c r="J50" s="436"/>
      <c r="K50" s="436"/>
      <c r="L50" s="436"/>
    </row>
    <row r="51" spans="1:12" ht="15.75" x14ac:dyDescent="0.25">
      <c r="A51" s="462" t="s">
        <v>403</v>
      </c>
      <c r="B51" s="473"/>
      <c r="C51" s="474"/>
      <c r="D51" s="436"/>
      <c r="E51" s="435"/>
      <c r="F51" s="435"/>
      <c r="G51" s="435"/>
      <c r="H51" s="435"/>
      <c r="I51" s="436"/>
      <c r="J51" s="436"/>
      <c r="K51" s="436"/>
      <c r="L51" s="436"/>
    </row>
    <row r="52" spans="1:12" ht="15" x14ac:dyDescent="0.2">
      <c r="A52" s="447" t="s">
        <v>16</v>
      </c>
      <c r="B52" s="477">
        <f>B27</f>
        <v>16</v>
      </c>
      <c r="C52" s="478">
        <f>2^B52</f>
        <v>65536</v>
      </c>
      <c r="D52" s="453" t="s">
        <v>17</v>
      </c>
      <c r="E52" s="479">
        <f>B25/C52</f>
        <v>7.62939453125E-5</v>
      </c>
      <c r="F52" s="448" t="s">
        <v>18</v>
      </c>
      <c r="G52" s="435"/>
      <c r="H52" s="435"/>
      <c r="I52" s="436"/>
      <c r="J52" s="436"/>
      <c r="K52" s="436"/>
      <c r="L52" s="436"/>
    </row>
    <row r="53" spans="1:12" ht="15" x14ac:dyDescent="0.2">
      <c r="A53" s="480" t="s">
        <v>305</v>
      </c>
      <c r="B53" s="481">
        <f>VLOOKUP(B32,'Device Resistance Tables'!B160:D235,3,FALSE)</f>
        <v>18081.05818919239</v>
      </c>
      <c r="C53" s="482" t="s">
        <v>1</v>
      </c>
      <c r="D53" s="141"/>
      <c r="E53" s="483"/>
      <c r="F53" s="483"/>
      <c r="G53" s="435"/>
      <c r="H53" s="435"/>
      <c r="I53" s="436"/>
      <c r="J53" s="436"/>
      <c r="K53" s="436"/>
      <c r="L53" s="436"/>
    </row>
    <row r="54" spans="1:12" ht="15" x14ac:dyDescent="0.2">
      <c r="A54" s="447" t="s">
        <v>306</v>
      </c>
      <c r="B54" s="484">
        <f>VLOOKUP(B32-1,'Device Resistance Tables'!B160:D235,3,FALSE)</f>
        <v>17982.460054604664</v>
      </c>
      <c r="C54" s="482" t="s">
        <v>1</v>
      </c>
      <c r="D54" s="141"/>
      <c r="E54" s="483"/>
      <c r="F54" s="483"/>
      <c r="G54" s="435"/>
      <c r="H54" s="435"/>
      <c r="I54" s="436"/>
      <c r="J54" s="436"/>
      <c r="K54" s="436"/>
      <c r="L54" s="436"/>
    </row>
    <row r="55" spans="1:12" ht="15" x14ac:dyDescent="0.2">
      <c r="A55" s="447" t="s">
        <v>307</v>
      </c>
      <c r="B55" s="485">
        <f>B25/(B26+B53)</f>
        <v>1.7805596805907975E-4</v>
      </c>
      <c r="C55" s="482" t="s">
        <v>4</v>
      </c>
      <c r="D55" s="141"/>
      <c r="E55" s="483"/>
      <c r="F55" s="483"/>
      <c r="G55" s="435"/>
      <c r="H55" s="435"/>
      <c r="I55" s="436"/>
      <c r="J55" s="436"/>
      <c r="K55" s="436"/>
      <c r="L55" s="436"/>
    </row>
    <row r="56" spans="1:12" ht="15" x14ac:dyDescent="0.2">
      <c r="A56" s="447" t="s">
        <v>309</v>
      </c>
      <c r="B56" s="485">
        <f>B25/(B26+B54)</f>
        <v>1.7868336058527573E-4</v>
      </c>
      <c r="C56" s="482" t="s">
        <v>4</v>
      </c>
      <c r="D56" s="141"/>
      <c r="E56" s="483"/>
      <c r="F56" s="483"/>
      <c r="G56" s="435"/>
      <c r="H56" s="435"/>
      <c r="I56" s="436"/>
      <c r="J56" s="436"/>
      <c r="K56" s="436"/>
      <c r="L56" s="436"/>
    </row>
    <row r="57" spans="1:12" s="20" customFormat="1" ht="15" x14ac:dyDescent="0.2">
      <c r="A57" s="447" t="s">
        <v>308</v>
      </c>
      <c r="B57" s="485">
        <f>B53*B55</f>
        <v>3.2194403194092023</v>
      </c>
      <c r="C57" s="486" t="s">
        <v>19</v>
      </c>
      <c r="D57" s="141"/>
      <c r="E57" s="483"/>
      <c r="F57" s="483"/>
      <c r="G57" s="435"/>
      <c r="H57" s="435"/>
      <c r="I57" s="436"/>
      <c r="J57" s="165"/>
      <c r="K57" s="436"/>
      <c r="L57" s="436"/>
    </row>
    <row r="58" spans="1:12" s="20" customFormat="1" ht="15" x14ac:dyDescent="0.2">
      <c r="A58" s="447" t="s">
        <v>310</v>
      </c>
      <c r="B58" s="485">
        <f>B54*B56</f>
        <v>3.2131663941472421</v>
      </c>
      <c r="C58" s="482" t="s">
        <v>19</v>
      </c>
      <c r="D58" s="141"/>
      <c r="E58" s="483"/>
      <c r="F58" s="483"/>
      <c r="G58" s="435"/>
      <c r="H58" s="435"/>
      <c r="I58" s="436"/>
      <c r="J58" s="165"/>
      <c r="K58" s="436"/>
      <c r="L58" s="436"/>
    </row>
    <row r="59" spans="1:12" s="20" customFormat="1" ht="15" x14ac:dyDescent="0.2">
      <c r="A59" s="447" t="s">
        <v>311</v>
      </c>
      <c r="B59" s="485">
        <f>B57-B58</f>
        <v>6.2739252619601338E-3</v>
      </c>
      <c r="C59" s="487" t="s">
        <v>20</v>
      </c>
      <c r="D59" s="141"/>
      <c r="E59" s="488">
        <f>B59/E52</f>
        <v>82.233593193563863</v>
      </c>
      <c r="F59" s="448" t="s">
        <v>223</v>
      </c>
      <c r="G59" s="435"/>
      <c r="H59" s="435"/>
      <c r="I59" s="436"/>
      <c r="J59" s="489"/>
      <c r="K59" s="436"/>
      <c r="L59" s="436"/>
    </row>
    <row r="60" spans="1:12" s="20" customFormat="1" ht="15" x14ac:dyDescent="0.2">
      <c r="A60" s="447" t="s">
        <v>21</v>
      </c>
      <c r="B60" s="484">
        <f>'Device Resistance Tables'!E20</f>
        <v>6603.4333582991267</v>
      </c>
      <c r="C60" s="482" t="s">
        <v>1</v>
      </c>
      <c r="D60" s="141"/>
      <c r="E60" s="483"/>
      <c r="F60" s="483"/>
      <c r="G60" s="483"/>
      <c r="H60" s="483"/>
      <c r="I60" s="436"/>
      <c r="J60" s="165"/>
      <c r="K60" s="436"/>
      <c r="L60" s="436"/>
    </row>
    <row r="61" spans="1:12" s="20" customFormat="1" ht="15" x14ac:dyDescent="0.2">
      <c r="A61" s="447" t="s">
        <v>22</v>
      </c>
      <c r="B61" s="484">
        <f>'Device Resistance Tables'!E21</f>
        <v>6646.8933815461605</v>
      </c>
      <c r="C61" s="482" t="s">
        <v>1</v>
      </c>
      <c r="D61" s="141"/>
      <c r="E61" s="483"/>
      <c r="F61" s="483"/>
      <c r="G61" s="483"/>
      <c r="H61" s="483"/>
      <c r="I61" s="436"/>
      <c r="J61" s="165"/>
      <c r="K61" s="436"/>
      <c r="L61" s="436"/>
    </row>
    <row r="62" spans="1:12" s="20" customFormat="1" ht="15" x14ac:dyDescent="0.2">
      <c r="A62" s="447" t="s">
        <v>23</v>
      </c>
      <c r="B62" s="485">
        <f>B25/(B26+B60)</f>
        <v>3.0114253432412998E-4</v>
      </c>
      <c r="C62" s="482" t="s">
        <v>4</v>
      </c>
      <c r="D62" s="141"/>
      <c r="E62" s="483"/>
      <c r="F62" s="483"/>
      <c r="G62" s="483"/>
      <c r="H62" s="483"/>
      <c r="I62" s="436"/>
      <c r="J62" s="165"/>
      <c r="K62" s="436"/>
      <c r="L62" s="436"/>
    </row>
    <row r="63" spans="1:12" s="20" customFormat="1" ht="15" x14ac:dyDescent="0.2">
      <c r="A63" s="447" t="s">
        <v>24</v>
      </c>
      <c r="B63" s="485">
        <f>B25/(B26+B61)</f>
        <v>3.0035634189516273E-4</v>
      </c>
      <c r="C63" s="482" t="s">
        <v>4</v>
      </c>
      <c r="D63" s="141"/>
      <c r="E63" s="483"/>
      <c r="F63" s="483"/>
      <c r="G63" s="483"/>
      <c r="H63" s="483"/>
      <c r="I63" s="436"/>
      <c r="J63" s="436"/>
      <c r="K63" s="436"/>
      <c r="L63" s="436"/>
    </row>
    <row r="64" spans="1:12" s="20" customFormat="1" ht="15" x14ac:dyDescent="0.2">
      <c r="A64" s="447" t="s">
        <v>3</v>
      </c>
      <c r="B64" s="485">
        <f>B60*B62</f>
        <v>1.9885746567586997</v>
      </c>
      <c r="C64" s="486" t="s">
        <v>19</v>
      </c>
      <c r="D64" s="141"/>
      <c r="E64" s="483"/>
      <c r="F64" s="483"/>
      <c r="G64" s="483"/>
      <c r="H64" s="483"/>
      <c r="I64" s="436"/>
      <c r="J64" s="436"/>
      <c r="K64" s="436"/>
      <c r="L64" s="436"/>
    </row>
    <row r="65" spans="1:13" s="20" customFormat="1" ht="15" x14ac:dyDescent="0.2">
      <c r="A65" s="447" t="s">
        <v>25</v>
      </c>
      <c r="B65" s="485">
        <f>B61*B63</f>
        <v>1.9964365810483728</v>
      </c>
      <c r="C65" s="482" t="s">
        <v>19</v>
      </c>
      <c r="D65" s="141"/>
      <c r="E65" s="483"/>
      <c r="F65" s="483"/>
      <c r="G65" s="483"/>
      <c r="H65" s="483"/>
      <c r="I65" s="436"/>
      <c r="J65" s="436"/>
      <c r="K65" s="436"/>
      <c r="L65" s="436"/>
    </row>
    <row r="66" spans="1:13" s="20" customFormat="1" ht="15" x14ac:dyDescent="0.2">
      <c r="A66" s="447" t="s">
        <v>26</v>
      </c>
      <c r="B66" s="485">
        <f>B65-B64</f>
        <v>7.8619242896731389E-3</v>
      </c>
      <c r="C66" s="487" t="s">
        <v>20</v>
      </c>
      <c r="D66" s="141"/>
      <c r="E66" s="488">
        <f>B66/E52</f>
        <v>103.04781404960377</v>
      </c>
      <c r="F66" s="448" t="s">
        <v>223</v>
      </c>
      <c r="G66" s="483"/>
      <c r="H66" s="483"/>
      <c r="I66" s="436"/>
      <c r="J66" s="436"/>
      <c r="K66" s="436"/>
      <c r="L66" s="436"/>
    </row>
    <row r="67" spans="1:13" s="20" customFormat="1" ht="15.75" x14ac:dyDescent="0.25">
      <c r="A67" s="476"/>
      <c r="B67" s="490"/>
      <c r="C67" s="491"/>
      <c r="D67" s="141"/>
      <c r="E67" s="492"/>
      <c r="F67" s="451"/>
      <c r="G67" s="483"/>
      <c r="H67" s="483"/>
      <c r="I67" s="436"/>
      <c r="J67" s="436"/>
      <c r="K67" s="436"/>
      <c r="L67" s="436"/>
    </row>
    <row r="68" spans="1:13" s="20" customFormat="1" x14ac:dyDescent="0.2">
      <c r="A68" s="147"/>
      <c r="B68" s="153"/>
      <c r="C68" s="154"/>
      <c r="D68" s="223"/>
      <c r="E68" s="155"/>
      <c r="F68" s="150"/>
      <c r="G68" s="152"/>
      <c r="H68" s="152"/>
      <c r="I68" s="222"/>
      <c r="J68" s="222"/>
      <c r="K68" s="222"/>
      <c r="L68" s="222"/>
    </row>
    <row r="69" spans="1:13" s="149" customFormat="1" x14ac:dyDescent="0.2">
      <c r="A69" s="147"/>
      <c r="B69" s="153"/>
      <c r="C69" s="154"/>
      <c r="D69" s="146"/>
      <c r="E69" s="155"/>
      <c r="F69" s="150"/>
      <c r="G69" s="152"/>
      <c r="H69" s="152"/>
      <c r="I69" s="145"/>
      <c r="J69" s="145"/>
      <c r="K69" s="145"/>
      <c r="L69" s="145"/>
    </row>
    <row r="70" spans="1:13" s="149" customFormat="1" x14ac:dyDescent="0.2">
      <c r="A70" s="147"/>
      <c r="B70" s="153"/>
      <c r="C70" s="154"/>
      <c r="D70" s="146"/>
      <c r="E70" s="155"/>
      <c r="F70" s="150"/>
      <c r="G70" s="152"/>
      <c r="H70" s="152"/>
      <c r="I70" s="145"/>
      <c r="J70" s="145"/>
      <c r="K70" s="145"/>
      <c r="L70" s="145"/>
    </row>
    <row r="71" spans="1:13" s="149" customFormat="1" x14ac:dyDescent="0.2">
      <c r="A71" s="147"/>
      <c r="B71" s="153"/>
      <c r="C71" s="154"/>
      <c r="D71" s="146"/>
      <c r="E71" s="155"/>
      <c r="F71" s="150"/>
      <c r="G71" s="152"/>
      <c r="H71" s="152"/>
      <c r="I71" s="145"/>
      <c r="J71" s="145"/>
      <c r="K71" s="145"/>
      <c r="L71" s="145"/>
    </row>
    <row r="72" spans="1:13" s="20" customFormat="1" x14ac:dyDescent="0.2">
      <c r="A72" s="14"/>
      <c r="B72" s="24"/>
      <c r="C72" s="25"/>
      <c r="D72" s="13"/>
      <c r="E72" s="26"/>
      <c r="F72" s="22"/>
      <c r="G72" s="23"/>
      <c r="H72" s="23"/>
      <c r="I72" s="11"/>
      <c r="J72" s="11"/>
      <c r="K72" s="11"/>
      <c r="L72" s="11"/>
    </row>
    <row r="73" spans="1:13" s="20" customFormat="1" x14ac:dyDescent="0.2">
      <c r="A73" s="27"/>
      <c r="B73" s="24"/>
      <c r="C73" s="25"/>
      <c r="E73" s="26"/>
      <c r="F73" s="22"/>
      <c r="G73" s="28"/>
      <c r="H73" s="28"/>
      <c r="I73" s="18"/>
      <c r="J73" s="18"/>
      <c r="K73" s="18"/>
      <c r="L73" s="18"/>
    </row>
    <row r="74" spans="1:13" x14ac:dyDescent="0.2"/>
    <row r="75" spans="1:13" ht="16.5" thickBot="1" x14ac:dyDescent="0.3">
      <c r="A75" s="205" t="s">
        <v>145</v>
      </c>
      <c r="D75" s="205" t="s">
        <v>281</v>
      </c>
    </row>
    <row r="76" spans="1:13" ht="13.5" thickTop="1" x14ac:dyDescent="0.2">
      <c r="A76" s="195"/>
      <c r="B76" s="196"/>
      <c r="C76" s="196"/>
      <c r="D76" s="196"/>
      <c r="E76" s="196"/>
      <c r="F76" s="196"/>
      <c r="G76" s="196"/>
      <c r="H76" s="196"/>
      <c r="I76" s="196"/>
      <c r="J76" s="196"/>
      <c r="K76" s="196"/>
      <c r="L76" s="196"/>
      <c r="M76" s="197"/>
    </row>
    <row r="77" spans="1:13" x14ac:dyDescent="0.2">
      <c r="A77" s="32" t="s">
        <v>117</v>
      </c>
      <c r="B77" s="33"/>
      <c r="C77" s="33"/>
      <c r="D77" s="33"/>
      <c r="E77" s="33"/>
      <c r="F77" s="33"/>
      <c r="G77" s="33"/>
      <c r="H77" s="33"/>
      <c r="I77" s="33"/>
      <c r="J77" s="33"/>
      <c r="K77" s="33"/>
      <c r="L77" s="33"/>
      <c r="M77" s="34"/>
    </row>
    <row r="78" spans="1:13" x14ac:dyDescent="0.2">
      <c r="A78" s="32" t="s">
        <v>135</v>
      </c>
      <c r="B78" s="33"/>
      <c r="C78" s="33"/>
      <c r="D78" s="33"/>
      <c r="E78" s="33"/>
      <c r="F78" s="33"/>
      <c r="G78" s="33"/>
      <c r="H78" s="33"/>
      <c r="I78" s="33"/>
      <c r="J78" s="33"/>
      <c r="K78" s="33"/>
      <c r="L78" s="33"/>
      <c r="M78" s="34"/>
    </row>
    <row r="79" spans="1:13" x14ac:dyDescent="0.2">
      <c r="A79" s="187"/>
      <c r="B79" s="173"/>
      <c r="C79" s="173"/>
      <c r="D79" s="173"/>
      <c r="E79" s="173"/>
      <c r="F79" s="173"/>
      <c r="G79" s="173"/>
      <c r="H79" s="173"/>
      <c r="I79" s="173"/>
      <c r="J79" s="173"/>
      <c r="K79" s="173"/>
      <c r="L79" s="173"/>
      <c r="M79" s="188"/>
    </row>
    <row r="80" spans="1:13" x14ac:dyDescent="0.2">
      <c r="A80" s="187"/>
      <c r="B80" s="181" t="s">
        <v>273</v>
      </c>
      <c r="C80" s="179">
        <f>B26</f>
        <v>10000</v>
      </c>
      <c r="D80" s="181" t="s">
        <v>267</v>
      </c>
      <c r="E80" s="173"/>
      <c r="G80" s="330" t="s">
        <v>278</v>
      </c>
      <c r="H80" s="224"/>
      <c r="I80" s="224"/>
      <c r="J80" s="224"/>
      <c r="K80" s="173"/>
      <c r="L80" s="173"/>
      <c r="M80" s="188"/>
    </row>
    <row r="81" spans="1:13" x14ac:dyDescent="0.2">
      <c r="A81" s="187"/>
      <c r="B81" s="181" t="s">
        <v>274</v>
      </c>
      <c r="C81" s="173">
        <f>B25</f>
        <v>5</v>
      </c>
      <c r="D81" s="181" t="s">
        <v>267</v>
      </c>
      <c r="E81" s="173"/>
      <c r="G81" s="330" t="s">
        <v>277</v>
      </c>
      <c r="H81" s="224"/>
      <c r="I81" s="224"/>
      <c r="J81" s="224"/>
      <c r="K81" s="173"/>
      <c r="L81" s="173"/>
      <c r="M81" s="188"/>
    </row>
    <row r="82" spans="1:13" x14ac:dyDescent="0.2">
      <c r="A82" s="187"/>
      <c r="B82" s="180" t="s">
        <v>276</v>
      </c>
      <c r="C82" s="203">
        <f>E52</f>
        <v>7.62939453125E-5</v>
      </c>
      <c r="D82" s="180" t="s">
        <v>267</v>
      </c>
      <c r="E82" s="172"/>
      <c r="G82" s="198" t="s">
        <v>522</v>
      </c>
      <c r="H82" s="224"/>
      <c r="I82" s="224"/>
      <c r="J82" s="224"/>
      <c r="K82" s="173"/>
      <c r="L82" s="173"/>
      <c r="M82" s="188"/>
    </row>
    <row r="83" spans="1:13" x14ac:dyDescent="0.2">
      <c r="A83" s="187"/>
      <c r="B83" s="181" t="s">
        <v>136</v>
      </c>
      <c r="C83" s="173"/>
      <c r="D83" s="173"/>
      <c r="E83" s="173"/>
      <c r="G83" s="330" t="s">
        <v>129</v>
      </c>
      <c r="H83" s="224"/>
      <c r="I83" s="224"/>
      <c r="J83" s="224"/>
      <c r="K83" s="173"/>
      <c r="L83" s="173"/>
      <c r="M83" s="188"/>
    </row>
    <row r="84" spans="1:13" x14ac:dyDescent="0.2">
      <c r="A84" s="187"/>
      <c r="B84" s="181" t="s">
        <v>137</v>
      </c>
      <c r="C84" s="173"/>
      <c r="D84" s="173"/>
      <c r="E84" s="173"/>
      <c r="G84" s="330" t="s">
        <v>521</v>
      </c>
      <c r="H84" s="224"/>
      <c r="I84" s="224"/>
      <c r="J84" s="224"/>
      <c r="K84" s="173"/>
      <c r="L84" s="173"/>
      <c r="M84" s="188"/>
    </row>
    <row r="85" spans="1:13" x14ac:dyDescent="0.2">
      <c r="A85" s="187"/>
      <c r="B85" s="181" t="s">
        <v>138</v>
      </c>
      <c r="C85" s="173"/>
      <c r="D85" s="173"/>
      <c r="E85" s="173"/>
      <c r="G85" s="330" t="s">
        <v>143</v>
      </c>
      <c r="H85" s="224"/>
      <c r="I85" s="224"/>
      <c r="J85" s="224"/>
      <c r="K85" s="173"/>
      <c r="L85" s="173"/>
      <c r="M85" s="188"/>
    </row>
    <row r="86" spans="1:13" x14ac:dyDescent="0.2">
      <c r="A86" s="187"/>
      <c r="B86" s="181" t="s">
        <v>139</v>
      </c>
      <c r="C86" s="173"/>
      <c r="D86" s="173"/>
      <c r="E86" s="173"/>
      <c r="G86" s="330" t="s">
        <v>130</v>
      </c>
      <c r="H86" s="224"/>
      <c r="I86" s="224"/>
      <c r="J86" s="224"/>
      <c r="K86" s="173"/>
      <c r="L86" s="173"/>
      <c r="M86" s="188"/>
    </row>
    <row r="87" spans="1:13" x14ac:dyDescent="0.2">
      <c r="A87" s="187"/>
      <c r="B87" s="173"/>
      <c r="C87" s="173"/>
      <c r="D87" s="173"/>
      <c r="E87" s="173"/>
      <c r="G87" s="173"/>
      <c r="H87" s="173"/>
      <c r="I87" s="173"/>
      <c r="J87" s="173"/>
      <c r="K87" s="173"/>
      <c r="L87" s="173"/>
      <c r="M87" s="188"/>
    </row>
    <row r="88" spans="1:13" x14ac:dyDescent="0.2">
      <c r="A88" s="189"/>
      <c r="B88" s="181" t="s">
        <v>164</v>
      </c>
      <c r="C88" s="173"/>
      <c r="D88" s="173"/>
      <c r="E88" s="173"/>
      <c r="G88" s="173"/>
      <c r="H88" s="173"/>
      <c r="I88" s="173"/>
      <c r="J88" s="173"/>
      <c r="K88" s="173"/>
      <c r="L88" s="173"/>
      <c r="M88" s="188"/>
    </row>
    <row r="89" spans="1:13" x14ac:dyDescent="0.2">
      <c r="A89" s="189"/>
      <c r="B89" s="173" t="s">
        <v>31</v>
      </c>
      <c r="C89" s="173"/>
      <c r="D89" s="173"/>
      <c r="E89" s="173"/>
      <c r="G89" s="173"/>
      <c r="H89" s="173"/>
      <c r="I89" s="173"/>
      <c r="J89" s="173"/>
      <c r="K89" s="173"/>
      <c r="L89" s="173"/>
      <c r="M89" s="188"/>
    </row>
    <row r="90" spans="1:13" x14ac:dyDescent="0.2">
      <c r="A90" s="189"/>
      <c r="B90" s="173"/>
      <c r="C90" s="181" t="s">
        <v>270</v>
      </c>
      <c r="D90" s="173">
        <f>B40</f>
        <v>6.4712704651269798E-2</v>
      </c>
      <c r="E90" s="181" t="s">
        <v>267</v>
      </c>
      <c r="G90" s="181" t="s">
        <v>118</v>
      </c>
      <c r="H90" s="173"/>
      <c r="I90" s="173"/>
      <c r="J90" s="173"/>
      <c r="K90" s="173"/>
      <c r="L90" s="173"/>
      <c r="M90" s="188"/>
    </row>
    <row r="91" spans="1:13" x14ac:dyDescent="0.2">
      <c r="A91" s="189"/>
      <c r="B91" s="173"/>
      <c r="C91" s="181" t="s">
        <v>271</v>
      </c>
      <c r="D91" s="202">
        <f>B41</f>
        <v>-9.0362690279193573E-3</v>
      </c>
      <c r="E91" s="181" t="s">
        <v>267</v>
      </c>
      <c r="G91" s="181" t="s">
        <v>118</v>
      </c>
      <c r="H91" s="173"/>
      <c r="I91" s="173"/>
      <c r="J91" s="173"/>
      <c r="K91" s="173"/>
      <c r="L91" s="173"/>
      <c r="M91" s="188"/>
    </row>
    <row r="92" spans="1:13" x14ac:dyDescent="0.2">
      <c r="A92" s="189"/>
      <c r="B92" s="173"/>
      <c r="C92" s="181" t="s">
        <v>272</v>
      </c>
      <c r="D92" s="202">
        <f>B42</f>
        <v>2.8003721113840132E-5</v>
      </c>
      <c r="E92" s="181" t="s">
        <v>267</v>
      </c>
      <c r="G92" s="181" t="s">
        <v>118</v>
      </c>
      <c r="H92" s="173"/>
      <c r="I92" s="173"/>
      <c r="J92" s="173"/>
      <c r="K92" s="173"/>
      <c r="L92" s="173"/>
      <c r="M92" s="188"/>
    </row>
    <row r="93" spans="1:13" x14ac:dyDescent="0.2">
      <c r="A93" s="189"/>
      <c r="B93" s="173"/>
      <c r="C93" s="173"/>
      <c r="D93" s="173"/>
      <c r="E93" s="173"/>
      <c r="G93" s="181"/>
      <c r="H93" s="173"/>
      <c r="I93" s="173"/>
      <c r="J93" s="173"/>
      <c r="K93" s="173"/>
      <c r="L93" s="173"/>
      <c r="M93" s="188"/>
    </row>
    <row r="94" spans="1:13" x14ac:dyDescent="0.2">
      <c r="A94" s="189"/>
      <c r="B94" s="173"/>
      <c r="C94" s="181" t="s">
        <v>165</v>
      </c>
      <c r="D94" s="173"/>
      <c r="E94" s="173"/>
      <c r="G94" s="181" t="s">
        <v>144</v>
      </c>
      <c r="H94" s="173"/>
      <c r="I94" s="173"/>
      <c r="J94" s="173"/>
      <c r="K94" s="173"/>
      <c r="L94" s="173"/>
      <c r="M94" s="188"/>
    </row>
    <row r="95" spans="1:13" x14ac:dyDescent="0.2">
      <c r="A95" s="189"/>
      <c r="B95" s="173"/>
      <c r="C95" s="181" t="s">
        <v>275</v>
      </c>
      <c r="D95" s="173"/>
      <c r="E95" s="173"/>
      <c r="G95" s="173" t="s">
        <v>32</v>
      </c>
      <c r="H95" s="173"/>
      <c r="I95" s="173"/>
      <c r="J95" s="173"/>
      <c r="K95" s="173"/>
      <c r="L95" s="173"/>
      <c r="M95" s="188"/>
    </row>
    <row r="96" spans="1:13" x14ac:dyDescent="0.2">
      <c r="A96" s="189"/>
      <c r="B96" s="173"/>
      <c r="C96" s="181" t="s">
        <v>140</v>
      </c>
      <c r="D96" s="173"/>
      <c r="E96" s="173"/>
      <c r="G96" s="181" t="s">
        <v>142</v>
      </c>
      <c r="H96" s="173"/>
      <c r="I96" s="173"/>
      <c r="J96" s="173"/>
      <c r="K96" s="173"/>
      <c r="L96" s="173"/>
      <c r="M96" s="188"/>
    </row>
    <row r="97" spans="1:13" x14ac:dyDescent="0.2">
      <c r="A97" s="189"/>
      <c r="B97" s="173"/>
      <c r="C97" s="181" t="s">
        <v>141</v>
      </c>
      <c r="D97" s="173"/>
      <c r="E97" s="173"/>
      <c r="G97" s="173" t="s">
        <v>33</v>
      </c>
      <c r="H97" s="173"/>
      <c r="I97" s="173"/>
      <c r="J97" s="173"/>
      <c r="K97" s="173"/>
      <c r="L97" s="173"/>
      <c r="M97" s="188"/>
    </row>
    <row r="98" spans="1:13" x14ac:dyDescent="0.2">
      <c r="A98" s="189"/>
      <c r="B98" s="173"/>
      <c r="C98" s="173"/>
      <c r="D98" s="173"/>
      <c r="E98" s="173"/>
      <c r="G98" s="173"/>
      <c r="H98" s="173"/>
      <c r="I98" s="173"/>
      <c r="J98" s="173"/>
      <c r="K98" s="173"/>
      <c r="L98" s="173"/>
      <c r="M98" s="188"/>
    </row>
    <row r="99" spans="1:13" x14ac:dyDescent="0.2">
      <c r="A99" s="189"/>
      <c r="B99" s="173"/>
      <c r="C99" s="173" t="s">
        <v>34</v>
      </c>
      <c r="D99" s="173"/>
      <c r="E99" s="173"/>
      <c r="G99" s="181" t="s">
        <v>119</v>
      </c>
      <c r="H99" s="173"/>
      <c r="I99" s="173"/>
      <c r="J99" s="173"/>
      <c r="K99" s="173"/>
      <c r="L99" s="173"/>
      <c r="M99" s="188"/>
    </row>
    <row r="100" spans="1:13" x14ac:dyDescent="0.2">
      <c r="A100" s="189"/>
      <c r="B100" s="173" t="s">
        <v>35</v>
      </c>
      <c r="C100" s="173"/>
      <c r="D100" s="173"/>
      <c r="E100" s="173"/>
      <c r="F100" s="173"/>
      <c r="G100" s="173"/>
      <c r="H100" s="173"/>
      <c r="I100" s="173"/>
      <c r="J100" s="173"/>
      <c r="K100" s="173"/>
      <c r="L100" s="173"/>
      <c r="M100" s="188"/>
    </row>
    <row r="101" spans="1:13" x14ac:dyDescent="0.2">
      <c r="A101" s="189"/>
      <c r="B101" s="173"/>
      <c r="C101" s="173"/>
      <c r="D101" s="173"/>
      <c r="E101" s="173"/>
      <c r="F101" s="173"/>
      <c r="G101" s="173"/>
      <c r="H101" s="173"/>
      <c r="I101" s="173"/>
      <c r="J101" s="173"/>
      <c r="K101" s="173"/>
      <c r="L101" s="173"/>
      <c r="M101" s="188"/>
    </row>
    <row r="102" spans="1:13" ht="13.5" thickBot="1" x14ac:dyDescent="0.25">
      <c r="A102" s="199"/>
      <c r="B102" s="200"/>
      <c r="C102" s="200"/>
      <c r="D102" s="200"/>
      <c r="E102" s="200"/>
      <c r="F102" s="200"/>
      <c r="G102" s="200"/>
      <c r="H102" s="200"/>
      <c r="I102" s="200"/>
      <c r="J102" s="200"/>
      <c r="K102" s="200"/>
      <c r="L102" s="200"/>
      <c r="M102" s="201"/>
    </row>
    <row r="103" spans="1:13" ht="13.5" thickTop="1" x14ac:dyDescent="0.2">
      <c r="A103" s="11"/>
    </row>
    <row r="104" spans="1:13" x14ac:dyDescent="0.2">
      <c r="A104" s="11"/>
    </row>
    <row r="105" spans="1:13" x14ac:dyDescent="0.2">
      <c r="A105" s="11"/>
    </row>
    <row r="106" spans="1:13" x14ac:dyDescent="0.2"/>
    <row r="107" spans="1:13" x14ac:dyDescent="0.2"/>
    <row r="108" spans="1:13" x14ac:dyDescent="0.2"/>
    <row r="109" spans="1:13" x14ac:dyDescent="0.2"/>
    <row r="110" spans="1:13" x14ac:dyDescent="0.2"/>
  </sheetData>
  <sheetProtection algorithmName="SHA-512" hashValue="Zqv0MXF2Bi8HbAH87kaH9ZIiGx3Vhoq5radxY6EwNY1lPuH9AjpYLH4UzotgBHSy6YCXvuLGJL1tfvCmCLHZuw==" saltValue="h5T8H9UZ3s/nlOOOZcsZvg==" spinCount="100000" sheet="1" objects="1" scenarios="1"/>
  <mergeCells count="2">
    <mergeCell ref="A1:U3"/>
    <mergeCell ref="A4:Y4"/>
  </mergeCells>
  <hyperlinks>
    <hyperlink ref="A5" location="Main!K43" display="Return to Menu" xr:uid="{00000000-0004-0000-0600-000000000000}"/>
    <hyperlink ref="A21" location="'Steinhart-Hart'!A102" display="Example Code" xr:uid="{00000000-0004-0000-06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decimal" allowBlank="1" showInputMessage="1" showErrorMessage="1" errorTitle="Resistor Divider Voltage" error="Enter a value betwen the minimum and maximum Vdc values in column F of the &quot;NTC Thermistor Comparison&quot; sheet_x000a_" promptTitle="Resistor Divider Voltage" prompt="Enter a value betwen the minimum and maximum Vdc values in column F of the &quot;NTC Thermistor Comparison&quot; sheet_x000a_" xr:uid="{00000000-0002-0000-0600-000000000000}">
          <x14:formula1>
            <xm:f>('NTC Thermistor Comparison'!F33)-0.01</xm:f>
          </x14:formula1>
          <x14:formula2>
            <xm:f>IF((VLOOKUP(Main!$N$22,Coefficients!$E$2:$H$28,4,FALSE)) = 125,'NTC Thermistor Comparison'!F198+0.01,'NTC Thermistor Comparison'!F223+0.01)</xm:f>
          </x14:formula2>
          <xm:sqref>B46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J343"/>
  <sheetViews>
    <sheetView showGridLines="0" zoomScale="80" zoomScaleNormal="80" workbookViewId="0">
      <selection activeCell="A323" sqref="A323"/>
    </sheetView>
  </sheetViews>
  <sheetFormatPr defaultColWidth="0" defaultRowHeight="12.75" zeroHeight="1" x14ac:dyDescent="0.2"/>
  <cols>
    <col min="1" max="1" width="28.7109375" style="41" customWidth="1"/>
    <col min="2" max="2" width="24.28515625" style="41" customWidth="1"/>
    <col min="3" max="3" width="26.85546875" style="41" customWidth="1"/>
    <col min="4" max="20" width="10.7109375" style="41" customWidth="1"/>
    <col min="21" max="25" width="10.7109375" style="41" hidden="1" customWidth="1"/>
    <col min="26" max="36" width="0" style="41" hidden="1" customWidth="1"/>
    <col min="37" max="16384" width="0" style="41" hidden="1"/>
  </cols>
  <sheetData>
    <row r="1" spans="1:36" s="2" customFormat="1" x14ac:dyDescent="0.2">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s="29" customFormat="1" ht="15" x14ac:dyDescent="0.2">
      <c r="A5" s="418" t="s">
        <v>75</v>
      </c>
      <c r="B5" s="11"/>
      <c r="C5" s="11"/>
    </row>
    <row r="6" spans="1:36" s="158" customFormat="1" ht="15.75" x14ac:dyDescent="0.25">
      <c r="A6" s="138"/>
      <c r="F6" s="168"/>
    </row>
    <row r="7" spans="1:36" s="29" customFormat="1" x14ac:dyDescent="0.2">
      <c r="D7" s="40"/>
      <c r="F7" s="39"/>
    </row>
    <row r="8" spans="1:36" s="156" customFormat="1" x14ac:dyDescent="0.2">
      <c r="D8" s="158"/>
      <c r="F8" s="157"/>
    </row>
    <row r="9" spans="1:36" s="156" customFormat="1" x14ac:dyDescent="0.2">
      <c r="D9" s="158"/>
      <c r="F9" s="157"/>
    </row>
    <row r="10" spans="1:36" s="225" customFormat="1" x14ac:dyDescent="0.2">
      <c r="D10" s="226"/>
      <c r="F10" s="157"/>
    </row>
    <row r="11" spans="1:36" s="225" customFormat="1" x14ac:dyDescent="0.2">
      <c r="D11" s="226"/>
      <c r="F11" s="157"/>
    </row>
    <row r="12" spans="1:36" s="225" customFormat="1" x14ac:dyDescent="0.2">
      <c r="D12" s="226"/>
      <c r="F12" s="157"/>
    </row>
    <row r="13" spans="1:36" s="225" customFormat="1" x14ac:dyDescent="0.2">
      <c r="D13" s="226"/>
      <c r="F13" s="157"/>
    </row>
    <row r="14" spans="1:36" s="225" customFormat="1" x14ac:dyDescent="0.2">
      <c r="D14" s="226"/>
      <c r="F14" s="157"/>
    </row>
    <row r="15" spans="1:36" s="225" customFormat="1" x14ac:dyDescent="0.2">
      <c r="D15" s="226"/>
      <c r="F15" s="157"/>
    </row>
    <row r="16" spans="1:36" s="225" customFormat="1" x14ac:dyDescent="0.2">
      <c r="D16" s="226"/>
      <c r="F16" s="157"/>
    </row>
    <row r="17" spans="1:7" s="225" customFormat="1" x14ac:dyDescent="0.2">
      <c r="D17" s="226"/>
      <c r="F17" s="157"/>
    </row>
    <row r="18" spans="1:7" s="156" customFormat="1" x14ac:dyDescent="0.2">
      <c r="D18" s="158"/>
      <c r="F18" s="157"/>
    </row>
    <row r="19" spans="1:7" s="156" customFormat="1" x14ac:dyDescent="0.2">
      <c r="D19" s="158"/>
      <c r="F19" s="157"/>
    </row>
    <row r="20" spans="1:7" s="156" customFormat="1" x14ac:dyDescent="0.2">
      <c r="D20" s="158"/>
      <c r="F20" s="157"/>
    </row>
    <row r="21" spans="1:7" s="156" customFormat="1" x14ac:dyDescent="0.2">
      <c r="D21" s="158"/>
      <c r="F21" s="157"/>
    </row>
    <row r="22" spans="1:7" s="158" customFormat="1" x14ac:dyDescent="0.2">
      <c r="A22" s="168"/>
      <c r="F22" s="169"/>
    </row>
    <row r="23" spans="1:7" s="158" customFormat="1" x14ac:dyDescent="0.2">
      <c r="A23" s="146"/>
      <c r="B23" s="146"/>
      <c r="C23" s="146"/>
    </row>
    <row r="24" spans="1:7" s="158" customFormat="1" x14ac:dyDescent="0.2">
      <c r="A24" s="146"/>
      <c r="B24" s="146"/>
      <c r="C24" s="146"/>
    </row>
    <row r="25" spans="1:7" s="40" customFormat="1" x14ac:dyDescent="0.2">
      <c r="A25" s="13"/>
      <c r="B25" s="13"/>
      <c r="C25" s="13"/>
    </row>
    <row r="26" spans="1:7" ht="15" x14ac:dyDescent="0.2">
      <c r="A26" s="418" t="s">
        <v>247</v>
      </c>
    </row>
    <row r="27" spans="1:7" s="40" customFormat="1" x14ac:dyDescent="0.2">
      <c r="B27" s="29"/>
      <c r="C27" s="29"/>
      <c r="E27" s="29"/>
      <c r="F27" s="13"/>
      <c r="G27" s="13"/>
    </row>
    <row r="28" spans="1:7" s="493" customFormat="1" ht="15.75" x14ac:dyDescent="0.25">
      <c r="A28" s="433" t="s">
        <v>300</v>
      </c>
      <c r="B28" s="254" t="str">
        <f>Main!$N$22</f>
        <v>TMP6131DECR</v>
      </c>
      <c r="G28" s="141"/>
    </row>
    <row r="29" spans="1:7" s="436" customFormat="1" ht="15.75" x14ac:dyDescent="0.25">
      <c r="A29" s="437" t="s">
        <v>206</v>
      </c>
      <c r="B29" s="282">
        <f>Main!N25</f>
        <v>5</v>
      </c>
      <c r="C29" s="242" t="s">
        <v>2</v>
      </c>
      <c r="D29" s="441"/>
      <c r="E29" s="493"/>
      <c r="F29" s="441"/>
    </row>
    <row r="30" spans="1:7" s="436" customFormat="1" ht="15.75" x14ac:dyDescent="0.25">
      <c r="A30" s="437" t="s">
        <v>251</v>
      </c>
      <c r="B30" s="439">
        <f>Main!N31</f>
        <v>10000</v>
      </c>
      <c r="C30" s="206" t="s">
        <v>1</v>
      </c>
      <c r="D30" s="441"/>
      <c r="E30" s="493"/>
      <c r="F30" s="441"/>
    </row>
    <row r="31" spans="1:7" s="436" customFormat="1" ht="15.75" x14ac:dyDescent="0.25">
      <c r="A31" s="440" t="s">
        <v>46</v>
      </c>
      <c r="B31" s="284">
        <f>Main!N28</f>
        <v>16</v>
      </c>
      <c r="C31" s="242" t="s">
        <v>17</v>
      </c>
      <c r="D31" s="441"/>
      <c r="E31" s="441"/>
      <c r="F31" s="441"/>
    </row>
    <row r="32" spans="1:7" s="436" customFormat="1" ht="15" x14ac:dyDescent="0.2"/>
    <row r="33" spans="1:8" s="436" customFormat="1" ht="15.75" x14ac:dyDescent="0.25">
      <c r="A33" s="269" t="s">
        <v>312</v>
      </c>
      <c r="B33" s="494"/>
      <c r="C33" s="491"/>
      <c r="D33" s="141"/>
      <c r="E33" s="492"/>
      <c r="F33" s="451"/>
    </row>
    <row r="34" spans="1:8" s="141" customFormat="1" ht="16.5" thickBot="1" x14ac:dyDescent="0.3">
      <c r="A34" s="462" t="s">
        <v>163</v>
      </c>
      <c r="B34" s="490"/>
      <c r="C34" s="491"/>
      <c r="D34" s="495"/>
      <c r="E34" s="492"/>
      <c r="F34" s="451"/>
    </row>
    <row r="35" spans="1:8" s="436" customFormat="1" ht="16.5" thickBot="1" x14ac:dyDescent="0.3">
      <c r="A35" s="476" t="s">
        <v>5</v>
      </c>
      <c r="B35" s="496">
        <v>10000</v>
      </c>
      <c r="C35" s="491" t="s">
        <v>1</v>
      </c>
      <c r="D35" s="141" t="s">
        <v>334</v>
      </c>
      <c r="E35" s="492"/>
      <c r="F35" s="451"/>
      <c r="H35" s="497"/>
    </row>
    <row r="36" spans="1:8" s="436" customFormat="1" ht="15.75" x14ac:dyDescent="0.25">
      <c r="A36" s="498" t="s">
        <v>213</v>
      </c>
      <c r="B36" s="499">
        <f t="array" ref="B36">VLOOKUP(B37,B46:C261,2,FALSE)</f>
        <v>9996.7030833907429</v>
      </c>
      <c r="C36" s="491" t="s">
        <v>1</v>
      </c>
      <c r="D36" s="500" t="s">
        <v>335</v>
      </c>
      <c r="E36" s="492"/>
      <c r="F36" s="451"/>
    </row>
    <row r="37" spans="1:8" s="436" customFormat="1" ht="15.75" x14ac:dyDescent="0.25">
      <c r="A37" s="498" t="s">
        <v>214</v>
      </c>
      <c r="B37" s="501">
        <f t="array" ref="B37">MAX(IF(C46:C261&lt;B35+0.001,B46:B261,""))</f>
        <v>24</v>
      </c>
      <c r="C37" s="165" t="s">
        <v>220</v>
      </c>
      <c r="D37" s="502" t="s">
        <v>27</v>
      </c>
      <c r="E37" s="492"/>
      <c r="F37" s="451"/>
    </row>
    <row r="38" spans="1:8" s="436" customFormat="1" ht="15.75" x14ac:dyDescent="0.25">
      <c r="A38" s="476"/>
      <c r="B38" s="141"/>
    </row>
    <row r="39" spans="1:8" s="436" customFormat="1" ht="15.75" x14ac:dyDescent="0.25">
      <c r="A39" s="476" t="s">
        <v>215</v>
      </c>
      <c r="B39" s="484">
        <f>VLOOKUP(B40,B46:C261,2,FALSE)</f>
        <v>10059.739939720781</v>
      </c>
      <c r="C39" s="491" t="s">
        <v>1</v>
      </c>
      <c r="D39" s="165" t="s">
        <v>30</v>
      </c>
      <c r="E39" s="492"/>
      <c r="F39" s="451"/>
    </row>
    <row r="40" spans="1:8" s="436" customFormat="1" ht="15.75" x14ac:dyDescent="0.25">
      <c r="A40" s="476" t="s">
        <v>216</v>
      </c>
      <c r="B40" s="501">
        <f t="array" ref="B40">MIN(IF(C46:C261&gt;B35,B46:B261,""))</f>
        <v>25</v>
      </c>
      <c r="C40" s="491" t="s">
        <v>220</v>
      </c>
      <c r="D40" s="141" t="s">
        <v>29</v>
      </c>
      <c r="E40" s="492"/>
      <c r="F40" s="451"/>
    </row>
    <row r="41" spans="1:8" s="436" customFormat="1" ht="16.5" thickBot="1" x14ac:dyDescent="0.3">
      <c r="A41" s="476"/>
      <c r="B41" s="141"/>
    </row>
    <row r="42" spans="1:8" s="436" customFormat="1" ht="16.5" thickBot="1" x14ac:dyDescent="0.3">
      <c r="A42" s="476" t="s">
        <v>217</v>
      </c>
      <c r="B42" s="503">
        <f>IF(ABS(B35-B36)&lt;=ABS(B35-B39),B37,B40)</f>
        <v>24</v>
      </c>
      <c r="C42" s="491" t="s">
        <v>221</v>
      </c>
      <c r="D42" s="141" t="s">
        <v>313</v>
      </c>
      <c r="E42" s="492"/>
      <c r="F42" s="451"/>
    </row>
    <row r="43" spans="1:8" s="436" customFormat="1" ht="15" x14ac:dyDescent="0.2"/>
    <row r="44" spans="1:8" s="436" customFormat="1" ht="15.75" x14ac:dyDescent="0.25">
      <c r="A44" s="206" t="s">
        <v>314</v>
      </c>
    </row>
    <row r="45" spans="1:8" s="436" customFormat="1" ht="15.75" x14ac:dyDescent="0.25">
      <c r="A45" s="504" t="s">
        <v>113</v>
      </c>
      <c r="B45" s="504" t="str">
        <f>'Device Resistance Tables'!B19</f>
        <v>Temperature (°C)</v>
      </c>
      <c r="C45" s="504" t="s">
        <v>717</v>
      </c>
    </row>
    <row r="46" spans="1:8" s="436" customFormat="1" ht="15" x14ac:dyDescent="0.2">
      <c r="A46" s="505">
        <v>1</v>
      </c>
      <c r="B46" s="506">
        <v>-40</v>
      </c>
      <c r="C46" s="507">
        <f>IFERROR('Device Resistance Tables'!D20,NA())</f>
        <v>6603.4333582991267</v>
      </c>
    </row>
    <row r="47" spans="1:8" s="436" customFormat="1" ht="15" x14ac:dyDescent="0.2">
      <c r="A47" s="505">
        <v>2</v>
      </c>
      <c r="B47" s="506">
        <v>-39</v>
      </c>
      <c r="C47" s="507">
        <f>IFERROR('Device Resistance Tables'!D21,NA())</f>
        <v>6646.8933815461605</v>
      </c>
    </row>
    <row r="48" spans="1:8" s="436" customFormat="1" ht="15" x14ac:dyDescent="0.2">
      <c r="A48" s="505">
        <v>3</v>
      </c>
      <c r="B48" s="506">
        <v>-38</v>
      </c>
      <c r="C48" s="507">
        <f>IFERROR('Device Resistance Tables'!D22,NA())</f>
        <v>6690.6551550258555</v>
      </c>
    </row>
    <row r="49" spans="1:3" s="436" customFormat="1" ht="15" x14ac:dyDescent="0.2">
      <c r="A49" s="505">
        <v>4</v>
      </c>
      <c r="B49" s="506">
        <v>-37</v>
      </c>
      <c r="C49" s="507">
        <f>IFERROR('Device Resistance Tables'!D23,NA())</f>
        <v>6734.7186294058711</v>
      </c>
    </row>
    <row r="50" spans="1:3" s="436" customFormat="1" ht="15" x14ac:dyDescent="0.2">
      <c r="A50" s="505">
        <v>5</v>
      </c>
      <c r="B50" s="506">
        <v>-36</v>
      </c>
      <c r="C50" s="507">
        <f>IFERROR('Device Resistance Tables'!D24,NA())</f>
        <v>6779.083764096953</v>
      </c>
    </row>
    <row r="51" spans="1:3" s="436" customFormat="1" ht="15" x14ac:dyDescent="0.2">
      <c r="A51" s="505">
        <v>6</v>
      </c>
      <c r="B51" s="506">
        <v>-35</v>
      </c>
      <c r="C51" s="507">
        <f>IFERROR('Device Resistance Tables'!D25,NA())</f>
        <v>6823.7505272529388</v>
      </c>
    </row>
    <row r="52" spans="1:3" s="436" customFormat="1" ht="15" x14ac:dyDescent="0.2">
      <c r="A52" s="505">
        <v>7</v>
      </c>
      <c r="B52" s="506">
        <v>-34</v>
      </c>
      <c r="C52" s="507">
        <f>IFERROR('Device Resistance Tables'!D26,NA())</f>
        <v>6868.7188957707649</v>
      </c>
    </row>
    <row r="53" spans="1:3" s="436" customFormat="1" ht="15" x14ac:dyDescent="0.2">
      <c r="A53" s="505">
        <v>8</v>
      </c>
      <c r="B53" s="506">
        <v>-33</v>
      </c>
      <c r="C53" s="507">
        <f>IFERROR('Device Resistance Tables'!D27,NA())</f>
        <v>6913.988855290454</v>
      </c>
    </row>
    <row r="54" spans="1:3" s="436" customFormat="1" ht="15" x14ac:dyDescent="0.2">
      <c r="A54" s="505">
        <v>9</v>
      </c>
      <c r="B54" s="506">
        <v>-32</v>
      </c>
      <c r="C54" s="507">
        <f>IFERROR('Device Resistance Tables'!D28,NA())</f>
        <v>6959.5604001951224</v>
      </c>
    </row>
    <row r="55" spans="1:3" s="436" customFormat="1" ht="15" x14ac:dyDescent="0.2">
      <c r="A55" s="505">
        <v>10</v>
      </c>
      <c r="B55" s="506">
        <v>-31</v>
      </c>
      <c r="C55" s="507">
        <f>IFERROR('Device Resistance Tables'!D29,NA())</f>
        <v>7005.4335336109807</v>
      </c>
    </row>
    <row r="56" spans="1:3" s="436" customFormat="1" ht="15" x14ac:dyDescent="0.2">
      <c r="A56" s="505">
        <v>11</v>
      </c>
      <c r="B56" s="506">
        <v>-30</v>
      </c>
      <c r="C56" s="507">
        <f>IFERROR('Device Resistance Tables'!D30,NA())</f>
        <v>7051.6082674073314</v>
      </c>
    </row>
    <row r="57" spans="1:3" s="436" customFormat="1" ht="15" x14ac:dyDescent="0.2">
      <c r="A57" s="505">
        <v>12</v>
      </c>
      <c r="B57" s="506">
        <v>-29</v>
      </c>
      <c r="C57" s="507">
        <f>IFERROR('Device Resistance Tables'!D31,NA())</f>
        <v>7098.0846221965667</v>
      </c>
    </row>
    <row r="58" spans="1:3" s="436" customFormat="1" ht="15" x14ac:dyDescent="0.2">
      <c r="A58" s="505">
        <v>13</v>
      </c>
      <c r="B58" s="506">
        <v>-28</v>
      </c>
      <c r="C58" s="507">
        <f>IFERROR('Device Resistance Tables'!D32,NA())</f>
        <v>7144.8626273341724</v>
      </c>
    </row>
    <row r="59" spans="1:3" s="436" customFormat="1" ht="15" x14ac:dyDescent="0.2">
      <c r="A59" s="505">
        <v>14</v>
      </c>
      <c r="B59" s="506">
        <v>-27</v>
      </c>
      <c r="C59" s="507">
        <f>IFERROR('Device Resistance Tables'!D33,NA())</f>
        <v>7191.9423209187325</v>
      </c>
    </row>
    <row r="60" spans="1:3" s="436" customFormat="1" ht="15" x14ac:dyDescent="0.2">
      <c r="A60" s="505">
        <v>15</v>
      </c>
      <c r="B60" s="506">
        <v>-26</v>
      </c>
      <c r="C60" s="507">
        <f>IFERROR('Device Resistance Tables'!D34,NA())</f>
        <v>7239.3237497919117</v>
      </c>
    </row>
    <row r="61" spans="1:3" s="436" customFormat="1" ht="15" x14ac:dyDescent="0.2">
      <c r="A61" s="505">
        <v>16</v>
      </c>
      <c r="B61" s="506">
        <v>-25</v>
      </c>
      <c r="C61" s="507">
        <f>IFERROR('Device Resistance Tables'!D35,NA())</f>
        <v>7287.0069695384755</v>
      </c>
    </row>
    <row r="62" spans="1:3" s="436" customFormat="1" ht="15" x14ac:dyDescent="0.2">
      <c r="A62" s="505">
        <v>17</v>
      </c>
      <c r="B62" s="506">
        <v>-24</v>
      </c>
      <c r="C62" s="507">
        <f>IFERROR('Device Resistance Tables'!D36,NA())</f>
        <v>7334.992044486281</v>
      </c>
    </row>
    <row r="63" spans="1:3" s="436" customFormat="1" ht="15" x14ac:dyDescent="0.2">
      <c r="A63" s="505">
        <v>18</v>
      </c>
      <c r="B63" s="506">
        <v>-23</v>
      </c>
      <c r="C63" s="507">
        <f>IFERROR('Device Resistance Tables'!D37,NA())</f>
        <v>7383.2790477062763</v>
      </c>
    </row>
    <row r="64" spans="1:3" s="436" customFormat="1" ht="15" x14ac:dyDescent="0.2">
      <c r="A64" s="505">
        <v>19</v>
      </c>
      <c r="B64" s="506">
        <v>-22</v>
      </c>
      <c r="C64" s="507">
        <f>IFERROR('Device Resistance Tables'!D38,NA())</f>
        <v>7431.8680610125002</v>
      </c>
    </row>
    <row r="65" spans="1:3" s="436" customFormat="1" ht="15" x14ac:dyDescent="0.2">
      <c r="A65" s="505">
        <v>20</v>
      </c>
      <c r="B65" s="506">
        <v>-21</v>
      </c>
      <c r="C65" s="507">
        <f>IFERROR('Device Resistance Tables'!D39,NA())</f>
        <v>7480.7591749620869</v>
      </c>
    </row>
    <row r="66" spans="1:3" s="436" customFormat="1" ht="15" x14ac:dyDescent="0.2">
      <c r="A66" s="505">
        <v>21</v>
      </c>
      <c r="B66" s="506">
        <v>-20</v>
      </c>
      <c r="C66" s="507">
        <f>IFERROR('Device Resistance Tables'!D40,NA())</f>
        <v>7529.9524888552605</v>
      </c>
    </row>
    <row r="67" spans="1:3" s="436" customFormat="1" ht="15" x14ac:dyDescent="0.2">
      <c r="A67" s="505">
        <v>22</v>
      </c>
      <c r="B67" s="506">
        <v>-19</v>
      </c>
      <c r="C67" s="507">
        <f>IFERROR('Device Resistance Tables'!D41,NA())</f>
        <v>7579.4481107353395</v>
      </c>
    </row>
    <row r="68" spans="1:3" s="436" customFormat="1" ht="15" x14ac:dyDescent="0.2">
      <c r="A68" s="505">
        <v>23</v>
      </c>
      <c r="B68" s="506">
        <v>-18</v>
      </c>
      <c r="C68" s="507">
        <f>IFERROR('Device Resistance Tables'!D42,NA())</f>
        <v>7629.2461573887349</v>
      </c>
    </row>
    <row r="69" spans="1:3" s="436" customFormat="1" ht="15" x14ac:dyDescent="0.2">
      <c r="A69" s="505">
        <v>24</v>
      </c>
      <c r="B69" s="506">
        <v>-17</v>
      </c>
      <c r="C69" s="507">
        <f>IFERROR('Device Resistance Tables'!D43,NA())</f>
        <v>7679.3467543449451</v>
      </c>
    </row>
    <row r="70" spans="1:3" s="436" customFormat="1" ht="15" x14ac:dyDescent="0.2">
      <c r="A70" s="505">
        <v>25</v>
      </c>
      <c r="B70" s="506">
        <v>-16</v>
      </c>
      <c r="C70" s="507">
        <f>IFERROR('Device Resistance Tables'!D44,NA())</f>
        <v>7729.7500358765683</v>
      </c>
    </row>
    <row r="71" spans="1:3" s="436" customFormat="1" ht="15" x14ac:dyDescent="0.2">
      <c r="A71" s="505">
        <v>26</v>
      </c>
      <c r="B71" s="506">
        <v>-15</v>
      </c>
      <c r="C71" s="507">
        <f>IFERROR('Device Resistance Tables'!D45,NA())</f>
        <v>7780.4561449992898</v>
      </c>
    </row>
    <row r="72" spans="1:3" s="436" customFormat="1" ht="15" x14ac:dyDescent="0.2">
      <c r="A72" s="505">
        <v>27</v>
      </c>
      <c r="B72" s="506">
        <v>-14</v>
      </c>
      <c r="C72" s="507">
        <f>IFERROR('Device Resistance Tables'!D46,NA())</f>
        <v>7831.4652334718885</v>
      </c>
    </row>
    <row r="73" spans="1:3" s="436" customFormat="1" ht="15" x14ac:dyDescent="0.2">
      <c r="A73" s="505">
        <v>28</v>
      </c>
      <c r="B73" s="506">
        <v>-13</v>
      </c>
      <c r="C73" s="507">
        <f>IFERROR('Device Resistance Tables'!D47,NA())</f>
        <v>7882.7774617962377</v>
      </c>
    </row>
    <row r="74" spans="1:3" s="436" customFormat="1" ht="15" x14ac:dyDescent="0.2">
      <c r="A74" s="505">
        <v>29</v>
      </c>
      <c r="B74" s="506">
        <v>-12</v>
      </c>
      <c r="C74" s="507">
        <f>IFERROR('Device Resistance Tables'!D48,NA())</f>
        <v>7934.3929992172989</v>
      </c>
    </row>
    <row r="75" spans="1:3" s="436" customFormat="1" ht="15" x14ac:dyDescent="0.2">
      <c r="A75" s="505">
        <v>30</v>
      </c>
      <c r="B75" s="506">
        <v>-11</v>
      </c>
      <c r="C75" s="507">
        <f>IFERROR('Device Resistance Tables'!D49,NA())</f>
        <v>7986.3120237231315</v>
      </c>
    </row>
    <row r="76" spans="1:3" s="436" customFormat="1" ht="15" x14ac:dyDescent="0.2">
      <c r="A76" s="505">
        <v>31</v>
      </c>
      <c r="B76" s="506">
        <v>-10</v>
      </c>
      <c r="C76" s="507">
        <f>IFERROR('Device Resistance Tables'!D50,NA())</f>
        <v>8038.5347220448821</v>
      </c>
    </row>
    <row r="77" spans="1:3" s="436" customFormat="1" ht="15" x14ac:dyDescent="0.2">
      <c r="A77" s="505">
        <v>32</v>
      </c>
      <c r="B77" s="506">
        <v>-9</v>
      </c>
      <c r="C77" s="507">
        <f>IFERROR('Device Resistance Tables'!D51,NA())</f>
        <v>8091.06128965679</v>
      </c>
    </row>
    <row r="78" spans="1:3" s="436" customFormat="1" ht="15" x14ac:dyDescent="0.2">
      <c r="A78" s="505">
        <v>33</v>
      </c>
      <c r="B78" s="506">
        <v>-8</v>
      </c>
      <c r="C78" s="507">
        <f>IFERROR('Device Resistance Tables'!D52,NA())</f>
        <v>8143.8919307761917</v>
      </c>
    </row>
    <row r="79" spans="1:3" s="436" customFormat="1" ht="15" x14ac:dyDescent="0.2">
      <c r="A79" s="505">
        <v>34</v>
      </c>
      <c r="B79" s="506">
        <v>-7</v>
      </c>
      <c r="C79" s="507">
        <f>IFERROR('Device Resistance Tables'!D53,NA())</f>
        <v>8197.0268583635097</v>
      </c>
    </row>
    <row r="80" spans="1:3" s="436" customFormat="1" ht="15" x14ac:dyDescent="0.2">
      <c r="A80" s="505">
        <v>35</v>
      </c>
      <c r="B80" s="506">
        <v>-6</v>
      </c>
      <c r="C80" s="507">
        <f>IFERROR('Device Resistance Tables'!D54,NA())</f>
        <v>8250.4662941222668</v>
      </c>
    </row>
    <row r="81" spans="1:3" s="436" customFormat="1" ht="15" x14ac:dyDescent="0.2">
      <c r="A81" s="505">
        <v>36</v>
      </c>
      <c r="B81" s="506">
        <v>-5</v>
      </c>
      <c r="C81" s="507">
        <f>IFERROR('Device Resistance Tables'!D55,NA())</f>
        <v>8304.2104684990682</v>
      </c>
    </row>
    <row r="82" spans="1:3" s="436" customFormat="1" ht="15" x14ac:dyDescent="0.2">
      <c r="A82" s="505">
        <v>37</v>
      </c>
      <c r="B82" s="506">
        <v>-4</v>
      </c>
      <c r="C82" s="507">
        <f>IFERROR('Device Resistance Tables'!D56,NA())</f>
        <v>8358.2596206836224</v>
      </c>
    </row>
    <row r="83" spans="1:3" s="436" customFormat="1" ht="15" x14ac:dyDescent="0.2">
      <c r="A83" s="505">
        <v>38</v>
      </c>
      <c r="B83" s="506">
        <v>-3</v>
      </c>
      <c r="C83" s="507">
        <f>IFERROR('Device Resistance Tables'!D57,NA())</f>
        <v>8412.6139986087164</v>
      </c>
    </row>
    <row r="84" spans="1:3" s="436" customFormat="1" ht="15" x14ac:dyDescent="0.2">
      <c r="A84" s="505">
        <v>39</v>
      </c>
      <c r="B84" s="506">
        <v>-2</v>
      </c>
      <c r="C84" s="507">
        <f>IFERROR('Device Resistance Tables'!D58,NA())</f>
        <v>8467.2738589502424</v>
      </c>
    </row>
    <row r="85" spans="1:3" s="436" customFormat="1" ht="15" x14ac:dyDescent="0.2">
      <c r="A85" s="505">
        <v>40</v>
      </c>
      <c r="B85" s="506">
        <v>-1</v>
      </c>
      <c r="C85" s="507">
        <f>IFERROR('Device Resistance Tables'!D59,NA())</f>
        <v>8522.2394671271832</v>
      </c>
    </row>
    <row r="86" spans="1:3" s="436" customFormat="1" ht="15" x14ac:dyDescent="0.2">
      <c r="A86" s="505">
        <v>41</v>
      </c>
      <c r="B86" s="506">
        <v>0</v>
      </c>
      <c r="C86" s="507">
        <f>IFERROR('Device Resistance Tables'!D60,NA())</f>
        <v>8577.5110973016035</v>
      </c>
    </row>
    <row r="87" spans="1:3" s="436" customFormat="1" ht="15" x14ac:dyDescent="0.2">
      <c r="A87" s="505">
        <v>42</v>
      </c>
      <c r="B87" s="506">
        <v>1</v>
      </c>
      <c r="C87" s="507">
        <f>IFERROR('Device Resistance Tables'!D61,NA())</f>
        <v>8633.0890323786734</v>
      </c>
    </row>
    <row r="88" spans="1:3" s="436" customFormat="1" ht="15" x14ac:dyDescent="0.2">
      <c r="A88" s="505">
        <v>43</v>
      </c>
      <c r="B88" s="506">
        <v>2</v>
      </c>
      <c r="C88" s="507">
        <f>IFERROR('Device Resistance Tables'!D62,NA())</f>
        <v>8688.9735640066483</v>
      </c>
    </row>
    <row r="89" spans="1:3" s="436" customFormat="1" ht="15" x14ac:dyDescent="0.2">
      <c r="A89" s="505">
        <v>44</v>
      </c>
      <c r="B89" s="506">
        <v>3</v>
      </c>
      <c r="C89" s="507">
        <f>IFERROR('Device Resistance Tables'!D63,NA())</f>
        <v>8745.1649925768743</v>
      </c>
    </row>
    <row r="90" spans="1:3" s="436" customFormat="1" ht="15" x14ac:dyDescent="0.2">
      <c r="A90" s="505">
        <v>45</v>
      </c>
      <c r="B90" s="506">
        <v>4</v>
      </c>
      <c r="C90" s="507">
        <f>IFERROR('Device Resistance Tables'!D64,NA())</f>
        <v>8801.6636272237974</v>
      </c>
    </row>
    <row r="91" spans="1:3" s="436" customFormat="1" ht="15" x14ac:dyDescent="0.2">
      <c r="A91" s="505">
        <v>46</v>
      </c>
      <c r="B91" s="506">
        <v>5</v>
      </c>
      <c r="C91" s="507">
        <f>IFERROR('Device Resistance Tables'!D65,NA())</f>
        <v>8858.469785824951</v>
      </c>
    </row>
    <row r="92" spans="1:3" s="436" customFormat="1" ht="15" x14ac:dyDescent="0.2">
      <c r="A92" s="505">
        <v>47</v>
      </c>
      <c r="B92" s="506">
        <v>6</v>
      </c>
      <c r="C92" s="507">
        <f>IFERROR('Device Resistance Tables'!D66,NA())</f>
        <v>8915.5837950009554</v>
      </c>
    </row>
    <row r="93" spans="1:3" s="436" customFormat="1" ht="15" x14ac:dyDescent="0.2">
      <c r="A93" s="505">
        <v>48</v>
      </c>
      <c r="B93" s="506">
        <v>7</v>
      </c>
      <c r="C93" s="507">
        <f>IFERROR('Device Resistance Tables'!D67,NA())</f>
        <v>8973.0059901155346</v>
      </c>
    </row>
    <row r="94" spans="1:3" s="436" customFormat="1" ht="15" x14ac:dyDescent="0.2">
      <c r="A94" s="505">
        <v>49</v>
      </c>
      <c r="B94" s="506">
        <v>8</v>
      </c>
      <c r="C94" s="507">
        <f>IFERROR('Device Resistance Tables'!D68,NA())</f>
        <v>9030.7367152754996</v>
      </c>
    </row>
    <row r="95" spans="1:3" s="436" customFormat="1" ht="15" x14ac:dyDescent="0.2">
      <c r="A95" s="505">
        <v>50</v>
      </c>
      <c r="B95" s="506">
        <v>9</v>
      </c>
      <c r="C95" s="507">
        <f>IFERROR('Device Resistance Tables'!D69,NA())</f>
        <v>9088.7763233307523</v>
      </c>
    </row>
    <row r="96" spans="1:3" s="436" customFormat="1" ht="15" x14ac:dyDescent="0.2">
      <c r="A96" s="505">
        <v>51</v>
      </c>
      <c r="B96" s="506">
        <v>10</v>
      </c>
      <c r="C96" s="507">
        <f>IFERROR('Device Resistance Tables'!D70,NA())</f>
        <v>9147.1251758742856</v>
      </c>
    </row>
    <row r="97" spans="1:3" s="436" customFormat="1" ht="15" x14ac:dyDescent="0.2">
      <c r="A97" s="505">
        <v>52</v>
      </c>
      <c r="B97" s="506">
        <v>11</v>
      </c>
      <c r="C97" s="507">
        <f>IFERROR('Device Resistance Tables'!D71,NA())</f>
        <v>9205.7836432421918</v>
      </c>
    </row>
    <row r="98" spans="1:3" s="436" customFormat="1" ht="15" x14ac:dyDescent="0.2">
      <c r="A98" s="505">
        <v>53</v>
      </c>
      <c r="B98" s="506">
        <v>12</v>
      </c>
      <c r="C98" s="507">
        <f>IFERROR('Device Resistance Tables'!D72,NA())</f>
        <v>9264.7521045136491</v>
      </c>
    </row>
    <row r="99" spans="1:3" s="436" customFormat="1" ht="15" x14ac:dyDescent="0.2">
      <c r="A99" s="505">
        <v>54</v>
      </c>
      <c r="B99" s="506">
        <v>13</v>
      </c>
      <c r="C99" s="507">
        <f>IFERROR('Device Resistance Tables'!D73,NA())</f>
        <v>9324.0309475109261</v>
      </c>
    </row>
    <row r="100" spans="1:3" s="436" customFormat="1" ht="15" x14ac:dyDescent="0.2">
      <c r="A100" s="505">
        <v>55</v>
      </c>
      <c r="B100" s="506">
        <v>14</v>
      </c>
      <c r="C100" s="507">
        <f>IFERROR('Device Resistance Tables'!D74,NA())</f>
        <v>9383.6205687993952</v>
      </c>
    </row>
    <row r="101" spans="1:3" s="436" customFormat="1" ht="15" x14ac:dyDescent="0.2">
      <c r="A101" s="505">
        <v>56</v>
      </c>
      <c r="B101" s="506">
        <v>15</v>
      </c>
      <c r="C101" s="507">
        <f>IFERROR('Device Resistance Tables'!D75,NA())</f>
        <v>9443.5213736875103</v>
      </c>
    </row>
    <row r="102" spans="1:3" s="436" customFormat="1" ht="15" x14ac:dyDescent="0.2">
      <c r="A102" s="505">
        <v>57</v>
      </c>
      <c r="B102" s="506">
        <v>16</v>
      </c>
      <c r="C102" s="507">
        <f>IFERROR('Device Resistance Tables'!D76,NA())</f>
        <v>9503.7337762268198</v>
      </c>
    </row>
    <row r="103" spans="1:3" s="436" customFormat="1" ht="15" x14ac:dyDescent="0.2">
      <c r="A103" s="505">
        <v>58</v>
      </c>
      <c r="B103" s="506">
        <v>17</v>
      </c>
      <c r="C103" s="507">
        <f>IFERROR('Device Resistance Tables'!D77,NA())</f>
        <v>9564.2581992119649</v>
      </c>
    </row>
    <row r="104" spans="1:3" s="436" customFormat="1" ht="15" x14ac:dyDescent="0.2">
      <c r="A104" s="505">
        <v>59</v>
      </c>
      <c r="B104" s="506">
        <v>18</v>
      </c>
      <c r="C104" s="507">
        <f>IFERROR('Device Resistance Tables'!D78,NA())</f>
        <v>9625.0950741806828</v>
      </c>
    </row>
    <row r="105" spans="1:3" s="436" customFormat="1" ht="15" x14ac:dyDescent="0.2">
      <c r="A105" s="505">
        <v>60</v>
      </c>
      <c r="B105" s="506">
        <v>19</v>
      </c>
      <c r="C105" s="507">
        <f>IFERROR('Device Resistance Tables'!D79,NA())</f>
        <v>9686.2448414137998</v>
      </c>
    </row>
    <row r="106" spans="1:3" s="436" customFormat="1" ht="15" x14ac:dyDescent="0.2">
      <c r="A106" s="505">
        <v>61</v>
      </c>
      <c r="B106" s="506">
        <v>20</v>
      </c>
      <c r="C106" s="507">
        <f>IFERROR('Device Resistance Tables'!D80,NA())</f>
        <v>9747.707949935233</v>
      </c>
    </row>
    <row r="107" spans="1:3" s="436" customFormat="1" ht="15" x14ac:dyDescent="0.2">
      <c r="A107" s="505">
        <v>62</v>
      </c>
      <c r="B107" s="506">
        <v>21</v>
      </c>
      <c r="C107" s="507">
        <f>IFERROR('Device Resistance Tables'!D81,NA())</f>
        <v>9809.4848575119941</v>
      </c>
    </row>
    <row r="108" spans="1:3" s="436" customFormat="1" ht="15" x14ac:dyDescent="0.2">
      <c r="A108" s="505">
        <v>63</v>
      </c>
      <c r="B108" s="506">
        <v>22</v>
      </c>
      <c r="C108" s="507">
        <f>IFERROR('Device Resistance Tables'!D82,NA())</f>
        <v>9871.576030654187</v>
      </c>
    </row>
    <row r="109" spans="1:3" s="436" customFormat="1" ht="15" x14ac:dyDescent="0.2">
      <c r="A109" s="505">
        <v>64</v>
      </c>
      <c r="B109" s="506">
        <v>23</v>
      </c>
      <c r="C109" s="507">
        <f>IFERROR('Device Resistance Tables'!D83,NA())</f>
        <v>9933.9819446150068</v>
      </c>
    </row>
    <row r="110" spans="1:3" s="436" customFormat="1" ht="15" x14ac:dyDescent="0.2">
      <c r="A110" s="505">
        <v>65</v>
      </c>
      <c r="B110" s="453">
        <v>24</v>
      </c>
      <c r="C110" s="507">
        <f>IFERROR('Device Resistance Tables'!D84,NA())</f>
        <v>9996.7030833907429</v>
      </c>
    </row>
    <row r="111" spans="1:3" s="436" customFormat="1" ht="15" x14ac:dyDescent="0.2">
      <c r="A111" s="505">
        <v>66</v>
      </c>
      <c r="B111" s="508">
        <v>25</v>
      </c>
      <c r="C111" s="507">
        <f>IFERROR('Device Resistance Tables'!D85,NA())</f>
        <v>10059.739939720781</v>
      </c>
    </row>
    <row r="112" spans="1:3" s="436" customFormat="1" ht="15" x14ac:dyDescent="0.2">
      <c r="A112" s="505">
        <v>67</v>
      </c>
      <c r="B112" s="506">
        <v>26</v>
      </c>
      <c r="C112" s="507">
        <f>IFERROR('Device Resistance Tables'!D86,NA())</f>
        <v>10123.093015087585</v>
      </c>
    </row>
    <row r="113" spans="1:3" s="436" customFormat="1" ht="15" x14ac:dyDescent="0.2">
      <c r="A113" s="505">
        <v>68</v>
      </c>
      <c r="B113" s="506">
        <v>27</v>
      </c>
      <c r="C113" s="507">
        <f>IFERROR('Device Resistance Tables'!D87,NA())</f>
        <v>10186.762819716723</v>
      </c>
    </row>
    <row r="114" spans="1:3" s="436" customFormat="1" ht="15" x14ac:dyDescent="0.2">
      <c r="A114" s="505">
        <v>69</v>
      </c>
      <c r="B114" s="506">
        <v>28</v>
      </c>
      <c r="C114" s="507">
        <f>IFERROR('Device Resistance Tables'!D88,NA())</f>
        <v>10250.749872576858</v>
      </c>
    </row>
    <row r="115" spans="1:3" s="436" customFormat="1" ht="15" x14ac:dyDescent="0.2">
      <c r="A115" s="505">
        <v>70</v>
      </c>
      <c r="B115" s="506">
        <v>29</v>
      </c>
      <c r="C115" s="507">
        <f>IFERROR('Device Resistance Tables'!D89,NA())</f>
        <v>10315.054701379731</v>
      </c>
    </row>
    <row r="116" spans="1:3" s="436" customFormat="1" ht="15" x14ac:dyDescent="0.2">
      <c r="A116" s="505">
        <v>71</v>
      </c>
      <c r="B116" s="506">
        <v>30</v>
      </c>
      <c r="C116" s="507">
        <f>IFERROR('Device Resistance Tables'!D90,NA())</f>
        <v>10379.677842580193</v>
      </c>
    </row>
    <row r="117" spans="1:3" s="436" customFormat="1" ht="15" x14ac:dyDescent="0.2">
      <c r="A117" s="505">
        <v>72</v>
      </c>
      <c r="B117" s="506">
        <v>31</v>
      </c>
      <c r="C117" s="507">
        <f>IFERROR('Device Resistance Tables'!D91,NA())</f>
        <v>10444.619841376174</v>
      </c>
    </row>
    <row r="118" spans="1:3" s="436" customFormat="1" ht="15" x14ac:dyDescent="0.2">
      <c r="A118" s="505">
        <v>73</v>
      </c>
      <c r="B118" s="506">
        <v>32</v>
      </c>
      <c r="C118" s="507">
        <f>IFERROR('Device Resistance Tables'!D92,NA())</f>
        <v>10509.881251708703</v>
      </c>
    </row>
    <row r="119" spans="1:3" s="436" customFormat="1" ht="15" x14ac:dyDescent="0.2">
      <c r="A119" s="505">
        <v>74</v>
      </c>
      <c r="B119" s="506">
        <v>33</v>
      </c>
      <c r="C119" s="507">
        <f>IFERROR('Device Resistance Tables'!D93,NA())</f>
        <v>10575.4626362619</v>
      </c>
    </row>
    <row r="120" spans="1:3" s="436" customFormat="1" ht="15" x14ac:dyDescent="0.2">
      <c r="A120" s="505">
        <v>75</v>
      </c>
      <c r="B120" s="506">
        <v>34</v>
      </c>
      <c r="C120" s="507">
        <f>IFERROR('Device Resistance Tables'!D94,NA())</f>
        <v>10641.364566462973</v>
      </c>
    </row>
    <row r="121" spans="1:3" s="436" customFormat="1" ht="15" x14ac:dyDescent="0.2">
      <c r="A121" s="505">
        <v>76</v>
      </c>
      <c r="B121" s="506">
        <v>35</v>
      </c>
      <c r="C121" s="507">
        <f>IFERROR('Device Resistance Tables'!D95,NA())</f>
        <v>10707.587622482231</v>
      </c>
    </row>
    <row r="122" spans="1:3" s="436" customFormat="1" ht="15" x14ac:dyDescent="0.2">
      <c r="A122" s="505">
        <v>77</v>
      </c>
      <c r="B122" s="506">
        <v>36</v>
      </c>
      <c r="C122" s="507">
        <f>IFERROR('Device Resistance Tables'!D96,NA())</f>
        <v>10774.132393233067</v>
      </c>
    </row>
    <row r="123" spans="1:3" s="436" customFormat="1" ht="15" x14ac:dyDescent="0.2">
      <c r="A123" s="505">
        <v>78</v>
      </c>
      <c r="B123" s="506">
        <v>37</v>
      </c>
      <c r="C123" s="507">
        <f>IFERROR('Device Resistance Tables'!D97,NA())</f>
        <v>10840.999476371971</v>
      </c>
    </row>
    <row r="124" spans="1:3" s="436" customFormat="1" ht="15" x14ac:dyDescent="0.2">
      <c r="A124" s="505">
        <v>79</v>
      </c>
      <c r="B124" s="506">
        <v>38</v>
      </c>
      <c r="C124" s="507">
        <f>IFERROR('Device Resistance Tables'!D98,NA())</f>
        <v>10908.189478298526</v>
      </c>
    </row>
    <row r="125" spans="1:3" s="436" customFormat="1" ht="15" x14ac:dyDescent="0.2">
      <c r="A125" s="505">
        <v>80</v>
      </c>
      <c r="B125" s="506">
        <v>39</v>
      </c>
      <c r="C125" s="507">
        <f>IFERROR('Device Resistance Tables'!D99,NA())</f>
        <v>10975.703014155399</v>
      </c>
    </row>
    <row r="126" spans="1:3" s="436" customFormat="1" ht="15" x14ac:dyDescent="0.2">
      <c r="A126" s="505">
        <v>81</v>
      </c>
      <c r="B126" s="506">
        <v>40</v>
      </c>
      <c r="C126" s="507">
        <f>IFERROR('Device Resistance Tables'!D100,NA())</f>
        <v>11043.540707828366</v>
      </c>
    </row>
    <row r="127" spans="1:3" s="436" customFormat="1" ht="15" x14ac:dyDescent="0.2">
      <c r="A127" s="505">
        <v>82</v>
      </c>
      <c r="B127" s="506">
        <v>41</v>
      </c>
      <c r="C127" s="507">
        <f>IFERROR('Device Resistance Tables'!D101,NA())</f>
        <v>11111.703191946277</v>
      </c>
    </row>
    <row r="128" spans="1:3" s="436" customFormat="1" ht="15" x14ac:dyDescent="0.2">
      <c r="A128" s="505">
        <v>83</v>
      </c>
      <c r="B128" s="506">
        <v>42</v>
      </c>
      <c r="C128" s="507">
        <f>IFERROR('Device Resistance Tables'!D102,NA())</f>
        <v>11180.191107881083</v>
      </c>
    </row>
    <row r="129" spans="1:3" s="436" customFormat="1" ht="15" x14ac:dyDescent="0.2">
      <c r="A129" s="505">
        <v>84</v>
      </c>
      <c r="B129" s="506">
        <v>43</v>
      </c>
      <c r="C129" s="507">
        <f>IFERROR('Device Resistance Tables'!D103,NA())</f>
        <v>11249.005105747832</v>
      </c>
    </row>
    <row r="130" spans="1:3" s="436" customFormat="1" ht="15" x14ac:dyDescent="0.2">
      <c r="A130" s="505">
        <v>85</v>
      </c>
      <c r="B130" s="506">
        <v>44</v>
      </c>
      <c r="C130" s="507">
        <f>IFERROR('Device Resistance Tables'!D104,NA())</f>
        <v>11318.145844404657</v>
      </c>
    </row>
    <row r="131" spans="1:3" s="436" customFormat="1" ht="15" x14ac:dyDescent="0.2">
      <c r="A131" s="505">
        <v>86</v>
      </c>
      <c r="B131" s="506">
        <v>45</v>
      </c>
      <c r="C131" s="507">
        <f>IFERROR('Device Resistance Tables'!D105,NA())</f>
        <v>11387.613991452783</v>
      </c>
    </row>
    <row r="132" spans="1:3" s="436" customFormat="1" ht="15" x14ac:dyDescent="0.2">
      <c r="A132" s="505">
        <v>87</v>
      </c>
      <c r="B132" s="506">
        <v>46</v>
      </c>
      <c r="C132" s="507">
        <f>IFERROR('Device Resistance Tables'!D106,NA())</f>
        <v>11457.410223236533</v>
      </c>
    </row>
    <row r="133" spans="1:3" s="436" customFormat="1" ht="15" x14ac:dyDescent="0.2">
      <c r="A133" s="505">
        <v>88</v>
      </c>
      <c r="B133" s="506">
        <v>47</v>
      </c>
      <c r="C133" s="507">
        <f>IFERROR('Device Resistance Tables'!D107,NA())</f>
        <v>11527.535224843319</v>
      </c>
    </row>
    <row r="134" spans="1:3" s="436" customFormat="1" ht="15" x14ac:dyDescent="0.2">
      <c r="A134" s="505">
        <v>89</v>
      </c>
      <c r="B134" s="506">
        <v>48</v>
      </c>
      <c r="C134" s="507">
        <f>IFERROR('Device Resistance Tables'!D108,NA())</f>
        <v>11597.989690103641</v>
      </c>
    </row>
    <row r="135" spans="1:3" s="436" customFormat="1" ht="15" x14ac:dyDescent="0.2">
      <c r="A135" s="505">
        <v>90</v>
      </c>
      <c r="B135" s="506">
        <v>49</v>
      </c>
      <c r="C135" s="507">
        <f>IFERROR('Device Resistance Tables'!D109,NA())</f>
        <v>11668.774321591101</v>
      </c>
    </row>
    <row r="136" spans="1:3" s="436" customFormat="1" ht="15" x14ac:dyDescent="0.2">
      <c r="A136" s="505">
        <v>91</v>
      </c>
      <c r="B136" s="506">
        <v>50</v>
      </c>
      <c r="C136" s="507">
        <f>IFERROR('Device Resistance Tables'!D110,NA())</f>
        <v>11739.889830622387</v>
      </c>
    </row>
    <row r="137" spans="1:3" s="436" customFormat="1" ht="15" x14ac:dyDescent="0.2">
      <c r="A137" s="505">
        <v>92</v>
      </c>
      <c r="B137" s="506">
        <v>51</v>
      </c>
      <c r="C137" s="507">
        <f>IFERROR('Device Resistance Tables'!D111,NA())</f>
        <v>11811.336937257283</v>
      </c>
    </row>
    <row r="138" spans="1:3" s="436" customFormat="1" ht="15" x14ac:dyDescent="0.2">
      <c r="A138" s="505">
        <v>93</v>
      </c>
      <c r="B138" s="506">
        <v>52</v>
      </c>
      <c r="C138" s="507">
        <f>IFERROR('Device Resistance Tables'!D112,NA())</f>
        <v>11883.116370298658</v>
      </c>
    </row>
    <row r="139" spans="1:3" s="436" customFormat="1" ht="15" x14ac:dyDescent="0.2">
      <c r="A139" s="505">
        <v>94</v>
      </c>
      <c r="B139" s="506">
        <v>53</v>
      </c>
      <c r="C139" s="507">
        <f>IFERROR('Device Resistance Tables'!D113,NA())</f>
        <v>11955.228867292482</v>
      </c>
    </row>
    <row r="140" spans="1:3" s="436" customFormat="1" ht="15" x14ac:dyDescent="0.2">
      <c r="A140" s="505">
        <v>95</v>
      </c>
      <c r="B140" s="506">
        <v>54</v>
      </c>
      <c r="C140" s="507">
        <f>IFERROR('Device Resistance Tables'!D114,NA())</f>
        <v>12027.675174527814</v>
      </c>
    </row>
    <row r="141" spans="1:3" s="436" customFormat="1" ht="15" x14ac:dyDescent="0.2">
      <c r="A141" s="505">
        <v>96</v>
      </c>
      <c r="B141" s="506">
        <v>55</v>
      </c>
      <c r="C141" s="507">
        <f>IFERROR('Device Resistance Tables'!D115,NA())</f>
        <v>12100.456047036801</v>
      </c>
    </row>
    <row r="142" spans="1:3" s="436" customFormat="1" ht="15" x14ac:dyDescent="0.2">
      <c r="A142" s="505">
        <v>97</v>
      </c>
      <c r="B142" s="506">
        <v>56</v>
      </c>
      <c r="C142" s="507">
        <f>IFERROR('Device Resistance Tables'!D116,NA())</f>
        <v>12173.572248594688</v>
      </c>
    </row>
    <row r="143" spans="1:3" s="436" customFormat="1" ht="15" x14ac:dyDescent="0.2">
      <c r="A143" s="505">
        <v>98</v>
      </c>
      <c r="B143" s="506">
        <v>57</v>
      </c>
      <c r="C143" s="507">
        <f>IFERROR('Device Resistance Tables'!D117,NA())</f>
        <v>12247.024551719816</v>
      </c>
    </row>
    <row r="144" spans="1:3" s="436" customFormat="1" ht="15" x14ac:dyDescent="0.2">
      <c r="A144" s="505">
        <v>99</v>
      </c>
      <c r="B144" s="506">
        <v>58</v>
      </c>
      <c r="C144" s="507">
        <f>IFERROR('Device Resistance Tables'!D118,NA())</f>
        <v>12320.813737673605</v>
      </c>
    </row>
    <row r="145" spans="1:3" s="436" customFormat="1" ht="15" x14ac:dyDescent="0.2">
      <c r="A145" s="505">
        <v>100</v>
      </c>
      <c r="B145" s="506">
        <v>59</v>
      </c>
      <c r="C145" s="507">
        <f>IFERROR('Device Resistance Tables'!D119,NA())</f>
        <v>12394.940596460579</v>
      </c>
    </row>
    <row r="146" spans="1:3" s="436" customFormat="1" ht="15" x14ac:dyDescent="0.2">
      <c r="A146" s="505">
        <v>101</v>
      </c>
      <c r="B146" s="506">
        <v>60</v>
      </c>
      <c r="C146" s="507">
        <f>IFERROR('Device Resistance Tables'!D120,NA())</f>
        <v>12469.405926828353</v>
      </c>
    </row>
    <row r="147" spans="1:3" s="436" customFormat="1" ht="15" x14ac:dyDescent="0.2">
      <c r="A147" s="505">
        <v>102</v>
      </c>
      <c r="B147" s="506">
        <v>61</v>
      </c>
      <c r="C147" s="507">
        <f>IFERROR('Device Resistance Tables'!D121,NA())</f>
        <v>12544.21053626763</v>
      </c>
    </row>
    <row r="148" spans="1:3" s="436" customFormat="1" ht="15" x14ac:dyDescent="0.2">
      <c r="A148" s="505">
        <v>103</v>
      </c>
      <c r="B148" s="506">
        <v>62</v>
      </c>
      <c r="C148" s="507">
        <f>IFERROR('Device Resistance Tables'!D122,NA())</f>
        <v>12619.355241012207</v>
      </c>
    </row>
    <row r="149" spans="1:3" s="436" customFormat="1" ht="15" x14ac:dyDescent="0.2">
      <c r="A149" s="505">
        <v>104</v>
      </c>
      <c r="B149" s="506">
        <v>63</v>
      </c>
      <c r="C149" s="507">
        <f>IFERROR('Device Resistance Tables'!D123,NA())</f>
        <v>12694.840866038974</v>
      </c>
    </row>
    <row r="150" spans="1:3" s="436" customFormat="1" ht="15" x14ac:dyDescent="0.2">
      <c r="A150" s="505">
        <v>105</v>
      </c>
      <c r="B150" s="506">
        <v>64</v>
      </c>
      <c r="C150" s="507">
        <f>IFERROR('Device Resistance Tables'!D124,NA())</f>
        <v>12770.668245067913</v>
      </c>
    </row>
    <row r="151" spans="1:3" s="436" customFormat="1" ht="15" x14ac:dyDescent="0.2">
      <c r="A151" s="505">
        <v>106</v>
      </c>
      <c r="B151" s="506">
        <v>65</v>
      </c>
      <c r="C151" s="507">
        <f>IFERROR('Device Resistance Tables'!D125,NA())</f>
        <v>12846.838220562098</v>
      </c>
    </row>
    <row r="152" spans="1:3" s="436" customFormat="1" ht="15" x14ac:dyDescent="0.2">
      <c r="A152" s="505">
        <v>107</v>
      </c>
      <c r="B152" s="506">
        <v>66</v>
      </c>
      <c r="C152" s="507">
        <f>IFERROR('Device Resistance Tables'!D126,NA())</f>
        <v>12923.351643727698</v>
      </c>
    </row>
    <row r="153" spans="1:3" s="436" customFormat="1" ht="15" x14ac:dyDescent="0.2">
      <c r="A153" s="505">
        <v>108</v>
      </c>
      <c r="B153" s="506">
        <v>67</v>
      </c>
      <c r="C153" s="507">
        <f>IFERROR('Device Resistance Tables'!D127,NA())</f>
        <v>13000.209374513968</v>
      </c>
    </row>
    <row r="154" spans="1:3" s="436" customFormat="1" ht="15" x14ac:dyDescent="0.2">
      <c r="A154" s="505">
        <v>109</v>
      </c>
      <c r="B154" s="506">
        <v>68</v>
      </c>
      <c r="C154" s="507">
        <f>IFERROR('Device Resistance Tables'!D128,NA())</f>
        <v>13077.412281613264</v>
      </c>
    </row>
    <row r="155" spans="1:3" s="436" customFormat="1" ht="15" x14ac:dyDescent="0.2">
      <c r="A155" s="505">
        <v>110</v>
      </c>
      <c r="B155" s="506">
        <v>69</v>
      </c>
      <c r="C155" s="507">
        <f>IFERROR('Device Resistance Tables'!D129,NA())</f>
        <v>13154.961242461028</v>
      </c>
    </row>
    <row r="156" spans="1:3" s="436" customFormat="1" ht="15" x14ac:dyDescent="0.2">
      <c r="A156" s="505">
        <v>111</v>
      </c>
      <c r="B156" s="506">
        <v>70</v>
      </c>
      <c r="C156" s="507">
        <f>IFERROR('Device Resistance Tables'!D130,NA())</f>
        <v>13232.857143235797</v>
      </c>
    </row>
    <row r="157" spans="1:3" s="436" customFormat="1" ht="15" x14ac:dyDescent="0.2">
      <c r="A157" s="505">
        <v>112</v>
      </c>
      <c r="B157" s="506">
        <v>71</v>
      </c>
      <c r="C157" s="507">
        <f>IFERROR('Device Resistance Tables'!D131,NA())</f>
        <v>13311.100878859197</v>
      </c>
    </row>
    <row r="158" spans="1:3" s="436" customFormat="1" ht="15" x14ac:dyDescent="0.2">
      <c r="A158" s="505">
        <v>113</v>
      </c>
      <c r="B158" s="506">
        <v>72</v>
      </c>
      <c r="C158" s="507">
        <f>IFERROR('Device Resistance Tables'!D132,NA())</f>
        <v>13389.693352995951</v>
      </c>
    </row>
    <row r="159" spans="1:3" s="436" customFormat="1" ht="15" x14ac:dyDescent="0.2">
      <c r="A159" s="505">
        <v>114</v>
      </c>
      <c r="B159" s="506">
        <v>73</v>
      </c>
      <c r="C159" s="507">
        <f>IFERROR('Device Resistance Tables'!D133,NA())</f>
        <v>13468.635478053871</v>
      </c>
    </row>
    <row r="160" spans="1:3" s="436" customFormat="1" ht="15" x14ac:dyDescent="0.2">
      <c r="A160" s="505">
        <v>115</v>
      </c>
      <c r="B160" s="506">
        <v>74</v>
      </c>
      <c r="C160" s="507">
        <f>IFERROR('Device Resistance Tables'!D134,NA())</f>
        <v>13547.928175183866</v>
      </c>
    </row>
    <row r="161" spans="1:3" s="436" customFormat="1" ht="15" x14ac:dyDescent="0.2">
      <c r="A161" s="505">
        <v>116</v>
      </c>
      <c r="B161" s="506">
        <v>75</v>
      </c>
      <c r="C161" s="507">
        <f>IFERROR('Device Resistance Tables'!D135,NA())</f>
        <v>13627.572374279933</v>
      </c>
    </row>
    <row r="162" spans="1:3" s="436" customFormat="1" ht="15" x14ac:dyDescent="0.2">
      <c r="A162" s="505">
        <v>117</v>
      </c>
      <c r="B162" s="506">
        <v>76</v>
      </c>
      <c r="C162" s="507">
        <f>IFERROR('Device Resistance Tables'!D136,NA())</f>
        <v>13707.569013979157</v>
      </c>
    </row>
    <row r="163" spans="1:3" s="436" customFormat="1" ht="15" x14ac:dyDescent="0.2">
      <c r="A163" s="505">
        <v>118</v>
      </c>
      <c r="B163" s="506">
        <v>77</v>
      </c>
      <c r="C163" s="507">
        <f>IFERROR('Device Resistance Tables'!D137,NA())</f>
        <v>13787.919041661722</v>
      </c>
    </row>
    <row r="164" spans="1:3" s="436" customFormat="1" ht="15" x14ac:dyDescent="0.2">
      <c r="A164" s="505">
        <v>119</v>
      </c>
      <c r="B164" s="506">
        <v>78</v>
      </c>
      <c r="C164" s="507">
        <f>IFERROR('Device Resistance Tables'!D138,NA())</f>
        <v>13868.623413450909</v>
      </c>
    </row>
    <row r="165" spans="1:3" s="436" customFormat="1" ht="15" x14ac:dyDescent="0.2">
      <c r="A165" s="505">
        <v>120</v>
      </c>
      <c r="B165" s="506">
        <v>79</v>
      </c>
      <c r="C165" s="507">
        <f>IFERROR('Device Resistance Tables'!D139,NA())</f>
        <v>13949.683094213076</v>
      </c>
    </row>
    <row r="166" spans="1:3" s="436" customFormat="1" ht="15" x14ac:dyDescent="0.2">
      <c r="A166" s="505">
        <v>121</v>
      </c>
      <c r="B166" s="506">
        <v>80</v>
      </c>
      <c r="C166" s="507">
        <f>IFERROR('Device Resistance Tables'!D140,NA())</f>
        <v>14031.099057557696</v>
      </c>
    </row>
    <row r="167" spans="1:3" s="436" customFormat="1" ht="15" x14ac:dyDescent="0.2">
      <c r="A167" s="505">
        <v>122</v>
      </c>
      <c r="B167" s="506">
        <v>81</v>
      </c>
      <c r="C167" s="507">
        <f>IFERROR('Device Resistance Tables'!D141,NA())</f>
        <v>14112.872285837311</v>
      </c>
    </row>
    <row r="168" spans="1:3" s="436" customFormat="1" ht="15" x14ac:dyDescent="0.2">
      <c r="A168" s="505">
        <v>123</v>
      </c>
      <c r="B168" s="506">
        <v>82</v>
      </c>
      <c r="C168" s="507">
        <f>IFERROR('Device Resistance Tables'!D142,NA())</f>
        <v>14195.003770147563</v>
      </c>
    </row>
    <row r="169" spans="1:3" s="436" customFormat="1" ht="15" x14ac:dyDescent="0.2">
      <c r="A169" s="505">
        <v>124</v>
      </c>
      <c r="B169" s="506">
        <v>83</v>
      </c>
      <c r="C169" s="507">
        <f>IFERROR('Device Resistance Tables'!D143,NA())</f>
        <v>14277.494510327195</v>
      </c>
    </row>
    <row r="170" spans="1:3" s="436" customFormat="1" ht="15" x14ac:dyDescent="0.2">
      <c r="A170" s="505">
        <v>125</v>
      </c>
      <c r="B170" s="506">
        <v>84</v>
      </c>
      <c r="C170" s="507">
        <f>IFERROR('Device Resistance Tables'!D144,NA())</f>
        <v>14360.345514958033</v>
      </c>
    </row>
    <row r="171" spans="1:3" s="436" customFormat="1" ht="15" x14ac:dyDescent="0.2">
      <c r="A171" s="505">
        <v>126</v>
      </c>
      <c r="B171" s="506">
        <v>85</v>
      </c>
      <c r="C171" s="507">
        <f>IFERROR('Device Resistance Tables'!D145,NA())</f>
        <v>14443.557801365005</v>
      </c>
    </row>
    <row r="172" spans="1:3" s="436" customFormat="1" ht="15" x14ac:dyDescent="0.2">
      <c r="A172" s="505">
        <v>127</v>
      </c>
      <c r="B172" s="506">
        <v>86</v>
      </c>
      <c r="C172" s="507">
        <f>IFERROR('Device Resistance Tables'!D146,NA())</f>
        <v>14527.132395616114</v>
      </c>
    </row>
    <row r="173" spans="1:3" s="436" customFormat="1" ht="15" x14ac:dyDescent="0.2">
      <c r="A173" s="505">
        <v>128</v>
      </c>
      <c r="B173" s="506">
        <v>87</v>
      </c>
      <c r="C173" s="507">
        <f>IFERROR('Device Resistance Tables'!D147,NA())</f>
        <v>14611.070332522471</v>
      </c>
    </row>
    <row r="174" spans="1:3" s="436" customFormat="1" ht="15" x14ac:dyDescent="0.2">
      <c r="A174" s="505">
        <v>129</v>
      </c>
      <c r="B174" s="506">
        <v>88</v>
      </c>
      <c r="C174" s="507">
        <f>IFERROR('Device Resistance Tables'!D148,NA())</f>
        <v>14695.372655638273</v>
      </c>
    </row>
    <row r="175" spans="1:3" s="436" customFormat="1" ht="15" x14ac:dyDescent="0.2">
      <c r="A175" s="505">
        <v>130</v>
      </c>
      <c r="B175" s="506">
        <v>89</v>
      </c>
      <c r="C175" s="507">
        <f>IFERROR('Device Resistance Tables'!D149,NA())</f>
        <v>14780.040417260818</v>
      </c>
    </row>
    <row r="176" spans="1:3" s="436" customFormat="1" ht="15" x14ac:dyDescent="0.2">
      <c r="A176" s="505">
        <v>131</v>
      </c>
      <c r="B176" s="506">
        <v>90</v>
      </c>
      <c r="C176" s="507">
        <f>IFERROR('Device Resistance Tables'!D150,NA())</f>
        <v>14865.074678430481</v>
      </c>
    </row>
    <row r="177" spans="1:3" s="436" customFormat="1" ht="15" x14ac:dyDescent="0.2">
      <c r="A177" s="505">
        <v>132</v>
      </c>
      <c r="B177" s="506">
        <v>91</v>
      </c>
      <c r="C177" s="507">
        <f>IFERROR('Device Resistance Tables'!D151,NA())</f>
        <v>14950.476508930737</v>
      </c>
    </row>
    <row r="178" spans="1:3" s="436" customFormat="1" ht="15" x14ac:dyDescent="0.2">
      <c r="A178" s="505">
        <v>133</v>
      </c>
      <c r="B178" s="506">
        <v>92</v>
      </c>
      <c r="C178" s="507">
        <f>IFERROR('Device Resistance Tables'!D152,NA())</f>
        <v>15036.246987288159</v>
      </c>
    </row>
    <row r="179" spans="1:3" s="436" customFormat="1" ht="15" x14ac:dyDescent="0.2">
      <c r="A179" s="505">
        <v>134</v>
      </c>
      <c r="B179" s="506">
        <v>93</v>
      </c>
      <c r="C179" s="507">
        <f>IFERROR('Device Resistance Tables'!D153,NA())</f>
        <v>15122.387200772404</v>
      </c>
    </row>
    <row r="180" spans="1:3" s="436" customFormat="1" ht="15" x14ac:dyDescent="0.2">
      <c r="A180" s="505">
        <v>135</v>
      </c>
      <c r="B180" s="506">
        <v>94</v>
      </c>
      <c r="C180" s="507">
        <f>IFERROR('Device Resistance Tables'!D154,NA())</f>
        <v>15208.898245396225</v>
      </c>
    </row>
    <row r="181" spans="1:3" s="436" customFormat="1" ht="15" x14ac:dyDescent="0.2">
      <c r="A181" s="505">
        <v>136</v>
      </c>
      <c r="B181" s="506">
        <v>95</v>
      </c>
      <c r="C181" s="507">
        <f>IFERROR('Device Resistance Tables'!D155,NA())</f>
        <v>15295.781225915465</v>
      </c>
    </row>
    <row r="182" spans="1:3" s="436" customFormat="1" ht="15" x14ac:dyDescent="0.2">
      <c r="A182" s="505">
        <v>137</v>
      </c>
      <c r="B182" s="506">
        <v>96</v>
      </c>
      <c r="C182" s="507">
        <f>IFERROR('Device Resistance Tables'!D156,NA())</f>
        <v>15383.037255829067</v>
      </c>
    </row>
    <row r="183" spans="1:3" s="436" customFormat="1" ht="15" x14ac:dyDescent="0.2">
      <c r="A183" s="505">
        <v>138</v>
      </c>
      <c r="B183" s="506">
        <v>97</v>
      </c>
      <c r="C183" s="507">
        <f>IFERROR('Device Resistance Tables'!D157,NA())</f>
        <v>15470.667457379051</v>
      </c>
    </row>
    <row r="184" spans="1:3" s="436" customFormat="1" ht="15" x14ac:dyDescent="0.2">
      <c r="A184" s="505">
        <v>139</v>
      </c>
      <c r="B184" s="506">
        <v>98</v>
      </c>
      <c r="C184" s="507">
        <f>IFERROR('Device Resistance Tables'!D158,NA())</f>
        <v>15558.67296155055</v>
      </c>
    </row>
    <row r="185" spans="1:3" s="436" customFormat="1" ht="15" x14ac:dyDescent="0.2">
      <c r="A185" s="505">
        <v>140</v>
      </c>
      <c r="B185" s="506">
        <v>99</v>
      </c>
      <c r="C185" s="507">
        <f>IFERROR('Device Resistance Tables'!D159,NA())</f>
        <v>15647.054908071772</v>
      </c>
    </row>
    <row r="186" spans="1:3" s="436" customFormat="1" ht="15" x14ac:dyDescent="0.2">
      <c r="A186" s="505">
        <v>141</v>
      </c>
      <c r="B186" s="506">
        <v>100</v>
      </c>
      <c r="C186" s="507">
        <f>IFERROR('Device Resistance Tables'!D160,NA())</f>
        <v>15735.81444541402</v>
      </c>
    </row>
    <row r="187" spans="1:3" s="436" customFormat="1" ht="15" x14ac:dyDescent="0.2">
      <c r="A187" s="505">
        <v>142</v>
      </c>
      <c r="B187" s="506">
        <v>101</v>
      </c>
      <c r="C187" s="507">
        <f>IFERROR('Device Resistance Tables'!D161,NA())</f>
        <v>15824.952730791701</v>
      </c>
    </row>
    <row r="188" spans="1:3" s="436" customFormat="1" ht="15" x14ac:dyDescent="0.2">
      <c r="A188" s="505">
        <v>143</v>
      </c>
      <c r="B188" s="506">
        <v>102</v>
      </c>
      <c r="C188" s="507">
        <f>IFERROR('Device Resistance Tables'!D162,NA())</f>
        <v>15914.470930162299</v>
      </c>
    </row>
    <row r="189" spans="1:3" s="436" customFormat="1" ht="15" x14ac:dyDescent="0.2">
      <c r="A189" s="505">
        <v>144</v>
      </c>
      <c r="B189" s="506">
        <v>103</v>
      </c>
      <c r="C189" s="507">
        <f>IFERROR('Device Resistance Tables'!D163,NA())</f>
        <v>16004.370218226402</v>
      </c>
    </row>
    <row r="190" spans="1:3" s="436" customFormat="1" ht="15" x14ac:dyDescent="0.2">
      <c r="A190" s="505">
        <v>145</v>
      </c>
      <c r="B190" s="506">
        <v>104</v>
      </c>
      <c r="C190" s="507">
        <f>IFERROR('Device Resistance Tables'!D164,NA())</f>
        <v>16094.651778427688</v>
      </c>
    </row>
    <row r="191" spans="1:3" s="436" customFormat="1" ht="15" x14ac:dyDescent="0.2">
      <c r="A191" s="505">
        <v>146</v>
      </c>
      <c r="B191" s="506">
        <v>105</v>
      </c>
      <c r="C191" s="507">
        <f>IFERROR('Device Resistance Tables'!D165,NA())</f>
        <v>16185.316802952917</v>
      </c>
    </row>
    <row r="192" spans="1:3" s="436" customFormat="1" ht="15" x14ac:dyDescent="0.2">
      <c r="A192" s="505">
        <v>147</v>
      </c>
      <c r="B192" s="506">
        <v>106</v>
      </c>
      <c r="C192" s="507">
        <f>IFERROR('Device Resistance Tables'!D166,NA())</f>
        <v>16276.366492731955</v>
      </c>
    </row>
    <row r="193" spans="1:3" s="436" customFormat="1" ht="15" x14ac:dyDescent="0.2">
      <c r="A193" s="505">
        <v>148</v>
      </c>
      <c r="B193" s="506">
        <v>107</v>
      </c>
      <c r="C193" s="507">
        <f>IFERROR('Device Resistance Tables'!D167,NA())</f>
        <v>16367.802057437757</v>
      </c>
    </row>
    <row r="194" spans="1:3" s="436" customFormat="1" ht="15" x14ac:dyDescent="0.2">
      <c r="A194" s="505">
        <v>149</v>
      </c>
      <c r="B194" s="506">
        <v>108</v>
      </c>
      <c r="C194" s="507">
        <f>IFERROR('Device Resistance Tables'!D168,NA())</f>
        <v>16459.624715486363</v>
      </c>
    </row>
    <row r="195" spans="1:3" s="436" customFormat="1" ht="15" x14ac:dyDescent="0.2">
      <c r="A195" s="505">
        <v>150</v>
      </c>
      <c r="B195" s="506">
        <v>109</v>
      </c>
      <c r="C195" s="507">
        <f>IFERROR('Device Resistance Tables'!D169,NA())</f>
        <v>16551.835694036916</v>
      </c>
    </row>
    <row r="196" spans="1:3" s="436" customFormat="1" ht="15" x14ac:dyDescent="0.2">
      <c r="A196" s="505">
        <v>151</v>
      </c>
      <c r="B196" s="506">
        <v>110</v>
      </c>
      <c r="C196" s="507">
        <f>IFERROR('Device Resistance Tables'!D170,NA())</f>
        <v>16644.436228991643</v>
      </c>
    </row>
    <row r="197" spans="1:3" s="436" customFormat="1" ht="15" x14ac:dyDescent="0.2">
      <c r="A197" s="505">
        <v>152</v>
      </c>
      <c r="B197" s="506">
        <v>111</v>
      </c>
      <c r="C197" s="507">
        <f>IFERROR('Device Resistance Tables'!D171,NA())</f>
        <v>16737.427564995862</v>
      </c>
    </row>
    <row r="198" spans="1:3" s="436" customFormat="1" ht="15" x14ac:dyDescent="0.2">
      <c r="A198" s="505">
        <v>153</v>
      </c>
      <c r="B198" s="506">
        <v>112</v>
      </c>
      <c r="C198" s="507">
        <f>IFERROR('Device Resistance Tables'!D172,NA())</f>
        <v>16830.810955437995</v>
      </c>
    </row>
    <row r="199" spans="1:3" s="436" customFormat="1" ht="15" x14ac:dyDescent="0.2">
      <c r="A199" s="505">
        <v>154</v>
      </c>
      <c r="B199" s="506">
        <v>113</v>
      </c>
      <c r="C199" s="507">
        <f>IFERROR('Device Resistance Tables'!D173,NA())</f>
        <v>16924.587662449547</v>
      </c>
    </row>
    <row r="200" spans="1:3" s="436" customFormat="1" ht="15" x14ac:dyDescent="0.2">
      <c r="A200" s="505">
        <v>155</v>
      </c>
      <c r="B200" s="506">
        <v>114</v>
      </c>
      <c r="C200" s="507">
        <f>IFERROR('Device Resistance Tables'!D174,NA())</f>
        <v>17018.758956905116</v>
      </c>
    </row>
    <row r="201" spans="1:3" s="436" customFormat="1" ht="15" x14ac:dyDescent="0.2">
      <c r="A201" s="505">
        <v>156</v>
      </c>
      <c r="B201" s="506">
        <v>115</v>
      </c>
      <c r="C201" s="507">
        <f>IFERROR('Device Resistance Tables'!D175,NA())</f>
        <v>17113.326118422396</v>
      </c>
    </row>
    <row r="202" spans="1:3" s="436" customFormat="1" ht="15" x14ac:dyDescent="0.2">
      <c r="A202" s="505">
        <v>157</v>
      </c>
      <c r="B202" s="506">
        <v>116</v>
      </c>
      <c r="C202" s="507">
        <f>IFERROR('Device Resistance Tables'!D176,NA())</f>
        <v>17208.290435362167</v>
      </c>
    </row>
    <row r="203" spans="1:3" s="436" customFormat="1" ht="15" x14ac:dyDescent="0.2">
      <c r="A203" s="505">
        <v>158</v>
      </c>
      <c r="B203" s="506">
        <v>117</v>
      </c>
      <c r="C203" s="507">
        <f>IFERROR('Device Resistance Tables'!D177,NA())</f>
        <v>17303.653204828308</v>
      </c>
    </row>
    <row r="204" spans="1:3" s="436" customFormat="1" ht="15" x14ac:dyDescent="0.2">
      <c r="A204" s="505">
        <v>159</v>
      </c>
      <c r="B204" s="506">
        <v>118</v>
      </c>
      <c r="C204" s="507">
        <f>IFERROR('Device Resistance Tables'!D178,NA())</f>
        <v>17399.415732667792</v>
      </c>
    </row>
    <row r="205" spans="1:3" s="436" customFormat="1" ht="15" x14ac:dyDescent="0.2">
      <c r="A205" s="505">
        <v>160</v>
      </c>
      <c r="B205" s="506">
        <v>119</v>
      </c>
      <c r="C205" s="507">
        <f>IFERROR('Device Resistance Tables'!D179,NA())</f>
        <v>17495.579333470669</v>
      </c>
    </row>
    <row r="206" spans="1:3" s="436" customFormat="1" ht="15" x14ac:dyDescent="0.2">
      <c r="A206" s="505">
        <v>161</v>
      </c>
      <c r="B206" s="506">
        <v>120</v>
      </c>
      <c r="C206" s="507">
        <f>IFERROR('Device Resistance Tables'!D180,NA())</f>
        <v>17592.1453305701</v>
      </c>
    </row>
    <row r="207" spans="1:3" s="436" customFormat="1" ht="15" x14ac:dyDescent="0.2">
      <c r="A207" s="505">
        <v>162</v>
      </c>
      <c r="B207" s="506">
        <v>121</v>
      </c>
      <c r="C207" s="507">
        <f>IFERROR('Device Resistance Tables'!D181,NA())</f>
        <v>17689.115056042334</v>
      </c>
    </row>
    <row r="208" spans="1:3" s="436" customFormat="1" ht="15" x14ac:dyDescent="0.2">
      <c r="A208" s="505">
        <v>163</v>
      </c>
      <c r="B208" s="506">
        <v>122</v>
      </c>
      <c r="C208" s="507">
        <f>IFERROR('Device Resistance Tables'!D182,NA())</f>
        <v>17786.489850706701</v>
      </c>
    </row>
    <row r="209" spans="1:3" s="436" customFormat="1" ht="15" x14ac:dyDescent="0.2">
      <c r="A209" s="505">
        <v>164</v>
      </c>
      <c r="B209" s="506">
        <v>123</v>
      </c>
      <c r="C209" s="507">
        <f>IFERROR('Device Resistance Tables'!D183,NA())</f>
        <v>17884.271064125631</v>
      </c>
    </row>
    <row r="210" spans="1:3" s="436" customFormat="1" ht="15" x14ac:dyDescent="0.2">
      <c r="A210" s="505">
        <v>165</v>
      </c>
      <c r="B210" s="506">
        <v>124</v>
      </c>
      <c r="C210" s="507">
        <f>IFERROR('Device Resistance Tables'!D184,NA())</f>
        <v>17982.460054604664</v>
      </c>
    </row>
    <row r="211" spans="1:3" s="436" customFormat="1" ht="15" x14ac:dyDescent="0.2">
      <c r="A211" s="505">
        <v>166</v>
      </c>
      <c r="B211" s="506">
        <v>125</v>
      </c>
      <c r="C211" s="507">
        <f>IFERROR('Device Resistance Tables'!D185,NA())</f>
        <v>18081.05818919239</v>
      </c>
    </row>
    <row r="212" spans="1:3" s="436" customFormat="1" ht="15" x14ac:dyDescent="0.2">
      <c r="A212" s="505">
        <v>167</v>
      </c>
      <c r="B212" s="506">
        <v>126</v>
      </c>
      <c r="C212" s="507" t="str">
        <f>IFERROR('Device Resistance Tables'!D186," ")</f>
        <v xml:space="preserve"> </v>
      </c>
    </row>
    <row r="213" spans="1:3" s="436" customFormat="1" ht="15" x14ac:dyDescent="0.2">
      <c r="A213" s="505">
        <v>168</v>
      </c>
      <c r="B213" s="506">
        <v>127</v>
      </c>
      <c r="C213" s="507" t="str">
        <f>IFERROR('Device Resistance Tables'!D187," ")</f>
        <v xml:space="preserve"> </v>
      </c>
    </row>
    <row r="214" spans="1:3" s="436" customFormat="1" ht="15" x14ac:dyDescent="0.2">
      <c r="A214" s="505">
        <v>169</v>
      </c>
      <c r="B214" s="506">
        <v>128</v>
      </c>
      <c r="C214" s="507" t="str">
        <f>IFERROR('Device Resistance Tables'!D188," ")</f>
        <v xml:space="preserve"> </v>
      </c>
    </row>
    <row r="215" spans="1:3" s="436" customFormat="1" ht="15" x14ac:dyDescent="0.2">
      <c r="A215" s="505">
        <v>170</v>
      </c>
      <c r="B215" s="506">
        <v>129</v>
      </c>
      <c r="C215" s="507" t="str">
        <f>IFERROR('Device Resistance Tables'!D189," ")</f>
        <v xml:space="preserve"> </v>
      </c>
    </row>
    <row r="216" spans="1:3" s="436" customFormat="1" ht="15" x14ac:dyDescent="0.2">
      <c r="A216" s="505">
        <v>171</v>
      </c>
      <c r="B216" s="506">
        <v>130</v>
      </c>
      <c r="C216" s="507" t="str">
        <f>IFERROR('Device Resistance Tables'!D190," ")</f>
        <v xml:space="preserve"> </v>
      </c>
    </row>
    <row r="217" spans="1:3" s="436" customFormat="1" ht="15" x14ac:dyDescent="0.2">
      <c r="A217" s="505">
        <v>172</v>
      </c>
      <c r="B217" s="506">
        <v>131</v>
      </c>
      <c r="C217" s="507" t="str">
        <f>IFERROR('Device Resistance Tables'!D191," ")</f>
        <v xml:space="preserve"> </v>
      </c>
    </row>
    <row r="218" spans="1:3" s="436" customFormat="1" ht="15" x14ac:dyDescent="0.2">
      <c r="A218" s="505">
        <v>173</v>
      </c>
      <c r="B218" s="506">
        <v>132</v>
      </c>
      <c r="C218" s="507" t="str">
        <f>IFERROR('Device Resistance Tables'!D192," ")</f>
        <v xml:space="preserve"> </v>
      </c>
    </row>
    <row r="219" spans="1:3" s="436" customFormat="1" ht="15" x14ac:dyDescent="0.2">
      <c r="A219" s="505">
        <v>174</v>
      </c>
      <c r="B219" s="506">
        <v>133</v>
      </c>
      <c r="C219" s="507" t="str">
        <f>IFERROR('Device Resistance Tables'!D193," ")</f>
        <v xml:space="preserve"> </v>
      </c>
    </row>
    <row r="220" spans="1:3" s="436" customFormat="1" ht="15" x14ac:dyDescent="0.2">
      <c r="A220" s="505">
        <v>175</v>
      </c>
      <c r="B220" s="506">
        <v>134</v>
      </c>
      <c r="C220" s="507" t="str">
        <f>IFERROR('Device Resistance Tables'!D194," ")</f>
        <v xml:space="preserve"> </v>
      </c>
    </row>
    <row r="221" spans="1:3" s="436" customFormat="1" ht="15" x14ac:dyDescent="0.2">
      <c r="A221" s="505">
        <v>176</v>
      </c>
      <c r="B221" s="506">
        <v>135</v>
      </c>
      <c r="C221" s="507" t="str">
        <f>IFERROR('Device Resistance Tables'!D195," ")</f>
        <v xml:space="preserve"> </v>
      </c>
    </row>
    <row r="222" spans="1:3" s="436" customFormat="1" ht="15" x14ac:dyDescent="0.2">
      <c r="A222" s="505">
        <v>177</v>
      </c>
      <c r="B222" s="506">
        <v>136</v>
      </c>
      <c r="C222" s="507" t="str">
        <f>IFERROR('Device Resistance Tables'!D196," ")</f>
        <v xml:space="preserve"> </v>
      </c>
    </row>
    <row r="223" spans="1:3" s="436" customFormat="1" ht="15" x14ac:dyDescent="0.2">
      <c r="A223" s="505">
        <v>178</v>
      </c>
      <c r="B223" s="506">
        <v>137</v>
      </c>
      <c r="C223" s="507" t="str">
        <f>IFERROR('Device Resistance Tables'!D197," ")</f>
        <v xml:space="preserve"> </v>
      </c>
    </row>
    <row r="224" spans="1:3" s="436" customFormat="1" ht="15" x14ac:dyDescent="0.2">
      <c r="A224" s="505">
        <v>179</v>
      </c>
      <c r="B224" s="506">
        <v>138</v>
      </c>
      <c r="C224" s="507" t="str">
        <f>IFERROR('Device Resistance Tables'!D198," ")</f>
        <v xml:space="preserve"> </v>
      </c>
    </row>
    <row r="225" spans="1:3" s="436" customFormat="1" ht="15" x14ac:dyDescent="0.2">
      <c r="A225" s="505">
        <v>180</v>
      </c>
      <c r="B225" s="506">
        <v>139</v>
      </c>
      <c r="C225" s="507" t="str">
        <f>IFERROR('Device Resistance Tables'!D199," ")</f>
        <v xml:space="preserve"> </v>
      </c>
    </row>
    <row r="226" spans="1:3" s="436" customFormat="1" ht="15" x14ac:dyDescent="0.2">
      <c r="A226" s="505">
        <v>181</v>
      </c>
      <c r="B226" s="506">
        <v>140</v>
      </c>
      <c r="C226" s="507" t="str">
        <f>IFERROR('Device Resistance Tables'!D200," ")</f>
        <v xml:space="preserve"> </v>
      </c>
    </row>
    <row r="227" spans="1:3" s="436" customFormat="1" ht="15" x14ac:dyDescent="0.2">
      <c r="A227" s="505">
        <v>182</v>
      </c>
      <c r="B227" s="506">
        <v>141</v>
      </c>
      <c r="C227" s="507" t="str">
        <f>IFERROR('Device Resistance Tables'!D201," ")</f>
        <v xml:space="preserve"> </v>
      </c>
    </row>
    <row r="228" spans="1:3" s="436" customFormat="1" ht="15" x14ac:dyDescent="0.2">
      <c r="A228" s="505">
        <v>183</v>
      </c>
      <c r="B228" s="506">
        <v>142</v>
      </c>
      <c r="C228" s="507" t="str">
        <f>IFERROR('Device Resistance Tables'!D202," ")</f>
        <v xml:space="preserve"> </v>
      </c>
    </row>
    <row r="229" spans="1:3" s="436" customFormat="1" ht="15" x14ac:dyDescent="0.2">
      <c r="A229" s="505">
        <v>184</v>
      </c>
      <c r="B229" s="506">
        <v>143</v>
      </c>
      <c r="C229" s="507" t="str">
        <f>IFERROR('Device Resistance Tables'!D203," ")</f>
        <v xml:space="preserve"> </v>
      </c>
    </row>
    <row r="230" spans="1:3" s="436" customFormat="1" ht="15" x14ac:dyDescent="0.2">
      <c r="A230" s="505">
        <v>185</v>
      </c>
      <c r="B230" s="506">
        <v>144</v>
      </c>
      <c r="C230" s="507" t="str">
        <f>IFERROR('Device Resistance Tables'!D204," ")</f>
        <v xml:space="preserve"> </v>
      </c>
    </row>
    <row r="231" spans="1:3" s="436" customFormat="1" ht="15" x14ac:dyDescent="0.2">
      <c r="A231" s="505">
        <v>186</v>
      </c>
      <c r="B231" s="506">
        <v>145</v>
      </c>
      <c r="C231" s="507" t="str">
        <f>IFERROR('Device Resistance Tables'!D205," ")</f>
        <v xml:space="preserve"> </v>
      </c>
    </row>
    <row r="232" spans="1:3" s="436" customFormat="1" ht="15" x14ac:dyDescent="0.2">
      <c r="A232" s="505">
        <v>187</v>
      </c>
      <c r="B232" s="506">
        <v>146</v>
      </c>
      <c r="C232" s="507" t="str">
        <f>IFERROR('Device Resistance Tables'!D206," ")</f>
        <v xml:space="preserve"> </v>
      </c>
    </row>
    <row r="233" spans="1:3" s="436" customFormat="1" ht="15" x14ac:dyDescent="0.2">
      <c r="A233" s="505">
        <v>188</v>
      </c>
      <c r="B233" s="506">
        <v>147</v>
      </c>
      <c r="C233" s="507" t="str">
        <f>IFERROR('Device Resistance Tables'!D207," ")</f>
        <v xml:space="preserve"> </v>
      </c>
    </row>
    <row r="234" spans="1:3" s="436" customFormat="1" ht="15" x14ac:dyDescent="0.2">
      <c r="A234" s="505">
        <v>189</v>
      </c>
      <c r="B234" s="506">
        <v>148</v>
      </c>
      <c r="C234" s="507" t="str">
        <f>IFERROR('Device Resistance Tables'!D208," ")</f>
        <v xml:space="preserve"> </v>
      </c>
    </row>
    <row r="235" spans="1:3" s="436" customFormat="1" ht="15" x14ac:dyDescent="0.2">
      <c r="A235" s="505">
        <v>190</v>
      </c>
      <c r="B235" s="506">
        <v>149</v>
      </c>
      <c r="C235" s="507" t="str">
        <f>IFERROR('Device Resistance Tables'!D209," ")</f>
        <v xml:space="preserve"> </v>
      </c>
    </row>
    <row r="236" spans="1:3" s="436" customFormat="1" ht="15" x14ac:dyDescent="0.2">
      <c r="A236" s="505">
        <v>191</v>
      </c>
      <c r="B236" s="506">
        <v>150</v>
      </c>
      <c r="C236" s="507" t="str">
        <f>IFERROR('Device Resistance Tables'!D210," ")</f>
        <v xml:space="preserve"> </v>
      </c>
    </row>
    <row r="237" spans="1:3" s="436" customFormat="1" ht="15" x14ac:dyDescent="0.2">
      <c r="A237" s="505">
        <v>192</v>
      </c>
      <c r="B237" s="506">
        <v>151</v>
      </c>
      <c r="C237" s="507" t="str">
        <f>IFERROR('Device Resistance Tables'!D211," ")</f>
        <v xml:space="preserve"> </v>
      </c>
    </row>
    <row r="238" spans="1:3" s="436" customFormat="1" ht="15" x14ac:dyDescent="0.2">
      <c r="A238" s="505">
        <v>193</v>
      </c>
      <c r="B238" s="506">
        <v>152</v>
      </c>
      <c r="C238" s="507" t="str">
        <f>IFERROR('Device Resistance Tables'!D212," ")</f>
        <v xml:space="preserve"> </v>
      </c>
    </row>
    <row r="239" spans="1:3" s="436" customFormat="1" ht="15" x14ac:dyDescent="0.2">
      <c r="A239" s="505">
        <v>194</v>
      </c>
      <c r="B239" s="506">
        <v>153</v>
      </c>
      <c r="C239" s="507" t="str">
        <f>IFERROR('Device Resistance Tables'!D213," ")</f>
        <v xml:space="preserve"> </v>
      </c>
    </row>
    <row r="240" spans="1:3" s="436" customFormat="1" ht="15" x14ac:dyDescent="0.2">
      <c r="A240" s="505">
        <v>195</v>
      </c>
      <c r="B240" s="506">
        <v>154</v>
      </c>
      <c r="C240" s="507" t="str">
        <f>IFERROR('Device Resistance Tables'!D214," ")</f>
        <v xml:space="preserve"> </v>
      </c>
    </row>
    <row r="241" spans="1:3" s="436" customFormat="1" ht="15" x14ac:dyDescent="0.2">
      <c r="A241" s="505">
        <v>196</v>
      </c>
      <c r="B241" s="506">
        <v>155</v>
      </c>
      <c r="C241" s="507" t="str">
        <f>IFERROR('Device Resistance Tables'!D215," ")</f>
        <v xml:space="preserve"> </v>
      </c>
    </row>
    <row r="242" spans="1:3" s="436" customFormat="1" ht="15" x14ac:dyDescent="0.2">
      <c r="A242" s="505">
        <v>197</v>
      </c>
      <c r="B242" s="506">
        <v>156</v>
      </c>
      <c r="C242" s="507" t="str">
        <f>IFERROR('Device Resistance Tables'!D216," ")</f>
        <v xml:space="preserve"> </v>
      </c>
    </row>
    <row r="243" spans="1:3" s="436" customFormat="1" ht="15" x14ac:dyDescent="0.2">
      <c r="A243" s="505">
        <v>198</v>
      </c>
      <c r="B243" s="506">
        <v>157</v>
      </c>
      <c r="C243" s="507" t="str">
        <f>IFERROR('Device Resistance Tables'!D217," ")</f>
        <v xml:space="preserve"> </v>
      </c>
    </row>
    <row r="244" spans="1:3" s="436" customFormat="1" ht="15" x14ac:dyDescent="0.2">
      <c r="A244" s="505">
        <v>199</v>
      </c>
      <c r="B244" s="506">
        <v>158</v>
      </c>
      <c r="C244" s="507" t="str">
        <f>IFERROR('Device Resistance Tables'!D218," ")</f>
        <v xml:space="preserve"> </v>
      </c>
    </row>
    <row r="245" spans="1:3" s="436" customFormat="1" ht="15" x14ac:dyDescent="0.2">
      <c r="A245" s="505">
        <v>200</v>
      </c>
      <c r="B245" s="506">
        <v>159</v>
      </c>
      <c r="C245" s="507" t="str">
        <f>IFERROR('Device Resistance Tables'!D219," ")</f>
        <v xml:space="preserve"> </v>
      </c>
    </row>
    <row r="246" spans="1:3" s="436" customFormat="1" ht="15" x14ac:dyDescent="0.2">
      <c r="A246" s="505">
        <v>201</v>
      </c>
      <c r="B246" s="506">
        <v>160</v>
      </c>
      <c r="C246" s="507" t="str">
        <f>IFERROR('Device Resistance Tables'!D220," ")</f>
        <v xml:space="preserve"> </v>
      </c>
    </row>
    <row r="247" spans="1:3" s="436" customFormat="1" ht="15" x14ac:dyDescent="0.2">
      <c r="A247" s="505">
        <v>202</v>
      </c>
      <c r="B247" s="506">
        <v>161</v>
      </c>
      <c r="C247" s="507" t="str">
        <f>IFERROR('Device Resistance Tables'!D221," ")</f>
        <v xml:space="preserve"> </v>
      </c>
    </row>
    <row r="248" spans="1:3" s="436" customFormat="1" ht="15" x14ac:dyDescent="0.2">
      <c r="A248" s="505">
        <v>203</v>
      </c>
      <c r="B248" s="506">
        <v>162</v>
      </c>
      <c r="C248" s="507" t="str">
        <f>IFERROR('Device Resistance Tables'!D222," ")</f>
        <v xml:space="preserve"> </v>
      </c>
    </row>
    <row r="249" spans="1:3" s="436" customFormat="1" ht="15" x14ac:dyDescent="0.2">
      <c r="A249" s="505">
        <v>204</v>
      </c>
      <c r="B249" s="506">
        <v>163</v>
      </c>
      <c r="C249" s="507" t="str">
        <f>IFERROR('Device Resistance Tables'!D223," ")</f>
        <v xml:space="preserve"> </v>
      </c>
    </row>
    <row r="250" spans="1:3" s="436" customFormat="1" ht="15" x14ac:dyDescent="0.2">
      <c r="A250" s="505">
        <v>205</v>
      </c>
      <c r="B250" s="506">
        <v>164</v>
      </c>
      <c r="C250" s="507" t="str">
        <f>IFERROR('Device Resistance Tables'!D224," ")</f>
        <v xml:space="preserve"> </v>
      </c>
    </row>
    <row r="251" spans="1:3" s="436" customFormat="1" ht="15" x14ac:dyDescent="0.2">
      <c r="A251" s="505">
        <v>206</v>
      </c>
      <c r="B251" s="506">
        <v>165</v>
      </c>
      <c r="C251" s="507" t="str">
        <f>IFERROR('Device Resistance Tables'!D225," ")</f>
        <v xml:space="preserve"> </v>
      </c>
    </row>
    <row r="252" spans="1:3" s="436" customFormat="1" ht="15" x14ac:dyDescent="0.2">
      <c r="A252" s="505">
        <v>207</v>
      </c>
      <c r="B252" s="506">
        <v>166</v>
      </c>
      <c r="C252" s="507" t="str">
        <f>IFERROR('Device Resistance Tables'!D226," ")</f>
        <v xml:space="preserve"> </v>
      </c>
    </row>
    <row r="253" spans="1:3" s="436" customFormat="1" ht="15" x14ac:dyDescent="0.2">
      <c r="A253" s="505">
        <v>208</v>
      </c>
      <c r="B253" s="506">
        <v>167</v>
      </c>
      <c r="C253" s="507" t="str">
        <f>IFERROR('Device Resistance Tables'!D227," ")</f>
        <v xml:space="preserve"> </v>
      </c>
    </row>
    <row r="254" spans="1:3" s="436" customFormat="1" ht="15" x14ac:dyDescent="0.2">
      <c r="A254" s="505">
        <v>209</v>
      </c>
      <c r="B254" s="506">
        <v>168</v>
      </c>
      <c r="C254" s="507" t="str">
        <f>IFERROR('Device Resistance Tables'!D228," ")</f>
        <v xml:space="preserve"> </v>
      </c>
    </row>
    <row r="255" spans="1:3" s="436" customFormat="1" ht="15" x14ac:dyDescent="0.2">
      <c r="A255" s="505">
        <v>210</v>
      </c>
      <c r="B255" s="506">
        <v>169</v>
      </c>
      <c r="C255" s="507" t="str">
        <f>IFERROR('Device Resistance Tables'!D229," ")</f>
        <v xml:space="preserve"> </v>
      </c>
    </row>
    <row r="256" spans="1:3" s="436" customFormat="1" ht="15" x14ac:dyDescent="0.2">
      <c r="A256" s="505">
        <v>211</v>
      </c>
      <c r="B256" s="506">
        <v>170</v>
      </c>
      <c r="C256" s="507" t="str">
        <f>IFERROR('Device Resistance Tables'!D230," ")</f>
        <v xml:space="preserve"> </v>
      </c>
    </row>
    <row r="257" spans="1:15" s="436" customFormat="1" ht="15" x14ac:dyDescent="0.2">
      <c r="A257" s="509"/>
      <c r="B257" s="510"/>
      <c r="C257" s="511"/>
    </row>
    <row r="258" spans="1:15" s="436" customFormat="1" ht="15" x14ac:dyDescent="0.2">
      <c r="A258" s="512"/>
      <c r="B258" s="467"/>
      <c r="C258" s="513"/>
    </row>
    <row r="259" spans="1:15" s="436" customFormat="1" ht="15" x14ac:dyDescent="0.2">
      <c r="A259" s="512"/>
      <c r="B259" s="467"/>
      <c r="C259" s="513"/>
    </row>
    <row r="260" spans="1:15" s="227" customFormat="1" x14ac:dyDescent="0.2">
      <c r="A260" s="422"/>
      <c r="B260" s="401"/>
      <c r="C260" s="423"/>
    </row>
    <row r="261" spans="1:15" s="227" customFormat="1" x14ac:dyDescent="0.2">
      <c r="A261" s="422"/>
      <c r="B261" s="401"/>
      <c r="C261" s="423"/>
    </row>
    <row r="262" spans="1:15" s="227" customFormat="1" x14ac:dyDescent="0.2"/>
    <row r="263" spans="1:15" s="159" customFormat="1" x14ac:dyDescent="0.2"/>
    <row r="264" spans="1:15" s="159" customFormat="1" x14ac:dyDescent="0.2"/>
    <row r="265" spans="1:15" s="159" customFormat="1" x14ac:dyDescent="0.2"/>
    <row r="266" spans="1:15" x14ac:dyDescent="0.2"/>
    <row r="267" spans="1:15" x14ac:dyDescent="0.2"/>
    <row r="268" spans="1:15" x14ac:dyDescent="0.2"/>
    <row r="269" spans="1:15" x14ac:dyDescent="0.2"/>
    <row r="270" spans="1:15" x14ac:dyDescent="0.2"/>
    <row r="271" spans="1:15" s="29" customFormat="1" ht="15.75" x14ac:dyDescent="0.25">
      <c r="A271" s="242" t="s">
        <v>145</v>
      </c>
      <c r="D271" s="242" t="s">
        <v>281</v>
      </c>
    </row>
    <row r="272" spans="1:15" s="29" customFormat="1" x14ac:dyDescent="0.2">
      <c r="A272" s="210"/>
      <c r="B272" s="209"/>
      <c r="C272" s="209"/>
      <c r="D272" s="209"/>
      <c r="E272" s="209"/>
      <c r="F272" s="209"/>
      <c r="G272" s="209"/>
      <c r="H272" s="209"/>
      <c r="I272" s="209"/>
      <c r="J272" s="209"/>
      <c r="K272" s="209"/>
      <c r="L272" s="209"/>
      <c r="M272" s="209"/>
      <c r="N272" s="209"/>
      <c r="O272" s="208"/>
    </row>
    <row r="273" spans="1:15" s="29" customFormat="1" x14ac:dyDescent="0.2">
      <c r="A273" s="44" t="s">
        <v>211</v>
      </c>
      <c r="B273" s="33"/>
      <c r="C273" s="33"/>
      <c r="D273" s="33"/>
      <c r="E273" s="33"/>
      <c r="F273" s="33"/>
      <c r="G273" s="33"/>
      <c r="H273" s="33"/>
      <c r="I273" s="33"/>
      <c r="J273" s="33"/>
      <c r="K273" s="33"/>
      <c r="L273" s="33"/>
      <c r="M273" s="33"/>
      <c r="N273" s="33"/>
      <c r="O273" s="45"/>
    </row>
    <row r="274" spans="1:15" s="29" customFormat="1" x14ac:dyDescent="0.2">
      <c r="A274" s="44" t="s">
        <v>167</v>
      </c>
      <c r="B274" s="33"/>
      <c r="C274" s="33"/>
      <c r="D274" s="33"/>
      <c r="E274" s="33"/>
      <c r="F274" s="33"/>
      <c r="G274" s="33"/>
      <c r="H274" s="33"/>
      <c r="I274" s="33"/>
      <c r="J274" s="33"/>
      <c r="K274" s="33"/>
      <c r="L274" s="33"/>
      <c r="M274" s="33"/>
      <c r="N274" s="33"/>
      <c r="O274" s="45"/>
    </row>
    <row r="275" spans="1:15" s="29" customFormat="1" x14ac:dyDescent="0.2">
      <c r="A275" s="218"/>
      <c r="B275" s="224"/>
      <c r="C275" s="224"/>
      <c r="D275" s="224"/>
      <c r="E275" s="224"/>
      <c r="F275" s="224"/>
      <c r="G275" s="224"/>
      <c r="H275" s="224"/>
      <c r="I275" s="224"/>
      <c r="J275" s="224"/>
      <c r="K275" s="224"/>
      <c r="L275" s="224"/>
      <c r="M275" s="224"/>
      <c r="N275" s="224"/>
      <c r="O275" s="217"/>
    </row>
    <row r="276" spans="1:15" s="29" customFormat="1" x14ac:dyDescent="0.2">
      <c r="A276" s="216"/>
      <c r="B276" s="233"/>
      <c r="C276" s="233"/>
      <c r="D276" s="233"/>
      <c r="E276" s="233"/>
      <c r="F276" s="224"/>
      <c r="G276" s="224"/>
      <c r="H276" s="224"/>
      <c r="I276" s="224"/>
      <c r="J276" s="224"/>
      <c r="K276" s="224"/>
      <c r="L276" s="224"/>
      <c r="M276" s="224"/>
      <c r="N276" s="224"/>
      <c r="O276" s="217"/>
    </row>
    <row r="277" spans="1:15" s="29" customFormat="1" x14ac:dyDescent="0.2">
      <c r="A277" s="216"/>
      <c r="B277" s="233" t="s">
        <v>283</v>
      </c>
      <c r="C277" s="233"/>
      <c r="D277" s="234">
        <f>B30</f>
        <v>10000</v>
      </c>
      <c r="E277" s="233"/>
      <c r="F277" s="224"/>
      <c r="G277" s="224"/>
      <c r="H277" s="224"/>
      <c r="I277" s="330" t="s">
        <v>127</v>
      </c>
      <c r="J277" s="224"/>
      <c r="K277" s="224"/>
      <c r="L277" s="224"/>
      <c r="M277" s="224"/>
      <c r="N277" s="224"/>
      <c r="O277" s="217"/>
    </row>
    <row r="278" spans="1:15" s="29" customFormat="1" x14ac:dyDescent="0.2">
      <c r="A278" s="215"/>
      <c r="B278" s="233" t="s">
        <v>274</v>
      </c>
      <c r="C278" s="233"/>
      <c r="D278" s="239">
        <f>B29</f>
        <v>5</v>
      </c>
      <c r="E278" s="233"/>
      <c r="F278" s="233"/>
      <c r="G278" s="233"/>
      <c r="H278" s="233"/>
      <c r="I278" s="330" t="s">
        <v>128</v>
      </c>
      <c r="J278" s="233"/>
      <c r="K278" s="233"/>
      <c r="L278" s="233"/>
      <c r="M278" s="233"/>
      <c r="N278" s="233"/>
      <c r="O278" s="217"/>
    </row>
    <row r="279" spans="1:15" s="29" customFormat="1" x14ac:dyDescent="0.2">
      <c r="A279" s="215"/>
      <c r="B279" s="233" t="s">
        <v>268</v>
      </c>
      <c r="C279" s="233"/>
      <c r="D279" s="233">
        <f>2^B31</f>
        <v>65536</v>
      </c>
      <c r="E279" s="233"/>
      <c r="F279" s="233"/>
      <c r="G279" s="233"/>
      <c r="H279" s="233"/>
      <c r="I279" s="330" t="s">
        <v>519</v>
      </c>
      <c r="J279" s="233"/>
      <c r="K279" s="233"/>
      <c r="L279" s="233"/>
      <c r="M279" s="233"/>
      <c r="N279" s="233"/>
      <c r="O279" s="217"/>
    </row>
    <row r="280" spans="1:15" s="29" customFormat="1" x14ac:dyDescent="0.2">
      <c r="A280" s="215"/>
      <c r="B280" s="233" t="s">
        <v>640</v>
      </c>
      <c r="C280" s="233"/>
      <c r="D280" s="233"/>
      <c r="E280" s="233"/>
      <c r="F280" s="233"/>
      <c r="G280" s="233"/>
      <c r="H280" s="233"/>
      <c r="I280" s="330" t="s">
        <v>129</v>
      </c>
      <c r="J280" s="233"/>
      <c r="K280" s="233"/>
      <c r="L280" s="233"/>
      <c r="M280" s="233"/>
      <c r="N280" s="233"/>
      <c r="O280" s="217"/>
    </row>
    <row r="281" spans="1:15" s="29" customFormat="1" x14ac:dyDescent="0.2">
      <c r="A281" s="215"/>
      <c r="B281" s="233" t="s">
        <v>527</v>
      </c>
      <c r="C281" s="233"/>
      <c r="D281" s="233"/>
      <c r="E281" s="233"/>
      <c r="F281" s="233"/>
      <c r="G281" s="233"/>
      <c r="H281" s="233"/>
      <c r="I281" s="330" t="s">
        <v>521</v>
      </c>
      <c r="J281" s="233"/>
      <c r="K281" s="233"/>
      <c r="L281" s="233"/>
      <c r="M281" s="233"/>
      <c r="N281" s="233"/>
      <c r="O281" s="217"/>
    </row>
    <row r="282" spans="1:15" s="29" customFormat="1" x14ac:dyDescent="0.2">
      <c r="A282" s="215"/>
      <c r="B282" s="233" t="s">
        <v>528</v>
      </c>
      <c r="C282" s="233"/>
      <c r="D282" s="233"/>
      <c r="E282" s="233"/>
      <c r="F282" s="233"/>
      <c r="G282" s="233"/>
      <c r="H282" s="233"/>
      <c r="I282" s="330" t="s">
        <v>130</v>
      </c>
      <c r="J282" s="233"/>
      <c r="K282" s="233"/>
      <c r="L282" s="233"/>
      <c r="M282" s="233"/>
      <c r="N282" s="233"/>
      <c r="O282" s="217"/>
    </row>
    <row r="283" spans="1:15" s="29" customFormat="1" x14ac:dyDescent="0.2">
      <c r="A283" s="215"/>
      <c r="B283" s="233"/>
      <c r="C283" s="233"/>
      <c r="D283" s="233"/>
      <c r="E283" s="233"/>
      <c r="F283" s="233"/>
      <c r="G283" s="233"/>
      <c r="H283" s="233"/>
      <c r="I283" s="233"/>
      <c r="J283" s="233"/>
      <c r="K283" s="233"/>
      <c r="L283" s="233"/>
      <c r="M283" s="233"/>
      <c r="N283" s="233"/>
      <c r="O283" s="217"/>
    </row>
    <row r="284" spans="1:15" s="29" customFormat="1" x14ac:dyDescent="0.2">
      <c r="A284" s="215"/>
      <c r="B284" s="233" t="s">
        <v>540</v>
      </c>
      <c r="C284" s="233"/>
      <c r="D284" s="233"/>
      <c r="E284" s="233"/>
      <c r="F284" s="233"/>
      <c r="G284" s="233"/>
      <c r="H284" s="233"/>
      <c r="I284" s="233"/>
      <c r="J284" s="233"/>
      <c r="K284" s="233"/>
      <c r="L284" s="233"/>
      <c r="M284" s="233"/>
      <c r="N284" s="233"/>
      <c r="O284" s="217"/>
    </row>
    <row r="285" spans="1:15" s="29" customFormat="1" x14ac:dyDescent="0.2">
      <c r="A285" s="215"/>
      <c r="B285" s="238" t="s">
        <v>31</v>
      </c>
      <c r="C285" s="224"/>
      <c r="D285" s="233"/>
      <c r="E285" s="224"/>
      <c r="F285" s="233"/>
      <c r="G285" s="233"/>
      <c r="H285" s="233"/>
      <c r="I285" s="238"/>
      <c r="J285" s="233"/>
      <c r="K285" s="233"/>
      <c r="L285" s="233"/>
      <c r="M285" s="233"/>
      <c r="N285" s="233"/>
      <c r="O285" s="217"/>
    </row>
    <row r="286" spans="1:15" s="29" customFormat="1" x14ac:dyDescent="0.2">
      <c r="A286" s="215"/>
      <c r="B286" s="224" t="s">
        <v>530</v>
      </c>
      <c r="C286" s="224"/>
      <c r="D286" s="224"/>
      <c r="E286" s="224"/>
      <c r="F286" s="233"/>
      <c r="G286" s="233"/>
      <c r="H286" s="233"/>
      <c r="I286" s="233"/>
      <c r="J286" s="233"/>
      <c r="K286" s="233"/>
      <c r="L286" s="233"/>
      <c r="M286" s="233"/>
      <c r="N286" s="233"/>
      <c r="O286" s="217"/>
    </row>
    <row r="287" spans="1:15" s="29" customFormat="1" x14ac:dyDescent="0.2">
      <c r="A287" s="215"/>
      <c r="B287" s="233" t="s">
        <v>645</v>
      </c>
      <c r="C287" s="233"/>
      <c r="D287" s="233"/>
      <c r="E287" s="233"/>
      <c r="F287" s="233"/>
      <c r="G287" s="233"/>
      <c r="H287" s="233"/>
      <c r="I287" s="233"/>
      <c r="J287" s="233"/>
      <c r="K287" s="233"/>
      <c r="L287" s="233"/>
      <c r="M287" s="233"/>
      <c r="N287" s="233"/>
      <c r="O287" s="217"/>
    </row>
    <row r="288" spans="1:15" s="29" customFormat="1" x14ac:dyDescent="0.2">
      <c r="A288" s="215"/>
      <c r="B288" s="233" t="s">
        <v>531</v>
      </c>
      <c r="C288" s="233"/>
      <c r="D288" s="233"/>
      <c r="E288" s="233"/>
      <c r="F288" s="233"/>
      <c r="G288" s="233"/>
      <c r="H288" s="233"/>
      <c r="I288" s="233"/>
      <c r="J288" s="233"/>
      <c r="K288" s="233"/>
      <c r="L288" s="233"/>
      <c r="M288" s="233"/>
      <c r="N288" s="233"/>
      <c r="O288" s="217"/>
    </row>
    <row r="289" spans="1:15" s="29" customFormat="1" x14ac:dyDescent="0.2">
      <c r="A289" s="215"/>
      <c r="B289" s="233" t="s">
        <v>541</v>
      </c>
      <c r="C289" s="233"/>
      <c r="D289" s="233"/>
      <c r="E289" s="233"/>
      <c r="F289" s="190" t="s">
        <v>166</v>
      </c>
      <c r="G289" s="233"/>
      <c r="H289" s="233"/>
      <c r="I289" s="233"/>
      <c r="J289" s="233"/>
      <c r="K289" s="233"/>
      <c r="L289" s="233"/>
      <c r="M289" s="233"/>
      <c r="N289" s="233"/>
      <c r="O289" s="217"/>
    </row>
    <row r="290" spans="1:15" s="29" customFormat="1" x14ac:dyDescent="0.2">
      <c r="A290" s="215"/>
      <c r="B290" s="233"/>
      <c r="C290" s="233"/>
      <c r="D290" s="233"/>
      <c r="E290" s="233"/>
      <c r="F290" s="233"/>
      <c r="G290" s="233"/>
      <c r="H290" s="233"/>
      <c r="I290" s="233"/>
      <c r="J290" s="233"/>
      <c r="K290" s="233"/>
      <c r="L290" s="233"/>
      <c r="M290" s="233"/>
      <c r="N290" s="233"/>
      <c r="O290" s="217"/>
    </row>
    <row r="291" spans="1:15" s="29" customFormat="1" x14ac:dyDescent="0.2">
      <c r="A291" s="215"/>
      <c r="B291" s="233" t="s">
        <v>646</v>
      </c>
      <c r="C291" s="233"/>
      <c r="D291" s="233"/>
      <c r="E291" s="233"/>
      <c r="F291" s="233"/>
      <c r="G291" s="233"/>
      <c r="H291" s="233"/>
      <c r="I291" s="233"/>
      <c r="J291" s="233"/>
      <c r="K291" s="233"/>
      <c r="L291" s="233"/>
      <c r="M291" s="233"/>
      <c r="N291" s="233"/>
      <c r="O291" s="217"/>
    </row>
    <row r="292" spans="1:15" s="29" customFormat="1" x14ac:dyDescent="0.2">
      <c r="A292" s="215"/>
      <c r="B292" s="233" t="s">
        <v>647</v>
      </c>
      <c r="C292" s="233"/>
      <c r="D292" s="233"/>
      <c r="E292" s="233"/>
      <c r="F292" s="233"/>
      <c r="G292" s="233"/>
      <c r="H292" s="233"/>
      <c r="I292" s="233"/>
      <c r="J292" s="233"/>
      <c r="K292" s="233"/>
      <c r="L292" s="233"/>
      <c r="M292" s="233"/>
      <c r="N292" s="233"/>
      <c r="O292" s="217"/>
    </row>
    <row r="293" spans="1:15" s="29" customFormat="1" x14ac:dyDescent="0.2">
      <c r="A293" s="215"/>
      <c r="B293" s="233"/>
      <c r="C293" s="233"/>
      <c r="D293" s="233"/>
      <c r="E293" s="233"/>
      <c r="F293" s="233"/>
      <c r="G293" s="233"/>
      <c r="H293" s="233"/>
      <c r="I293" s="233"/>
      <c r="J293" s="233"/>
      <c r="K293" s="233"/>
      <c r="L293" s="233"/>
      <c r="M293" s="233"/>
      <c r="N293" s="233"/>
      <c r="O293" s="217"/>
    </row>
    <row r="294" spans="1:15" s="29" customFormat="1" x14ac:dyDescent="0.2">
      <c r="A294" s="215"/>
      <c r="B294" s="233" t="s">
        <v>147</v>
      </c>
      <c r="C294" s="233"/>
      <c r="D294" s="233"/>
      <c r="E294" s="233"/>
      <c r="F294" s="233"/>
      <c r="G294" s="233"/>
      <c r="H294" s="233"/>
      <c r="I294" s="233"/>
      <c r="J294" s="233"/>
      <c r="K294" s="233"/>
      <c r="L294" s="233"/>
      <c r="M294" s="233"/>
      <c r="N294" s="233"/>
      <c r="O294" s="217"/>
    </row>
    <row r="295" spans="1:15" s="29" customFormat="1" x14ac:dyDescent="0.2">
      <c r="A295" s="215"/>
      <c r="B295" s="233" t="s">
        <v>148</v>
      </c>
      <c r="C295" s="233"/>
      <c r="D295" s="233"/>
      <c r="E295" s="233"/>
      <c r="F295" s="233"/>
      <c r="G295" s="233"/>
      <c r="H295" s="233"/>
      <c r="I295" s="233"/>
      <c r="J295" s="233"/>
      <c r="K295" s="233"/>
      <c r="L295" s="233"/>
      <c r="M295" s="233"/>
      <c r="N295" s="233"/>
      <c r="O295" s="217"/>
    </row>
    <row r="296" spans="1:15" s="29" customFormat="1" x14ac:dyDescent="0.2">
      <c r="A296" s="215"/>
      <c r="B296" s="233" t="s">
        <v>149</v>
      </c>
      <c r="C296" s="233"/>
      <c r="D296" s="233"/>
      <c r="E296" s="233"/>
      <c r="F296" s="233"/>
      <c r="G296" s="233"/>
      <c r="H296" s="233"/>
      <c r="I296" s="190"/>
      <c r="J296" s="233"/>
      <c r="K296" s="233"/>
      <c r="L296" s="233"/>
      <c r="M296" s="233"/>
      <c r="N296" s="233"/>
      <c r="O296" s="217"/>
    </row>
    <row r="297" spans="1:15" s="29" customFormat="1" x14ac:dyDescent="0.2">
      <c r="A297" s="215"/>
      <c r="B297" s="233" t="s">
        <v>150</v>
      </c>
      <c r="C297" s="233"/>
      <c r="D297" s="233"/>
      <c r="E297" s="233"/>
      <c r="F297" s="233"/>
      <c r="G297" s="233"/>
      <c r="H297" s="233"/>
      <c r="I297" s="190"/>
      <c r="J297" s="233"/>
      <c r="K297" s="233"/>
      <c r="L297" s="233"/>
      <c r="M297" s="233"/>
      <c r="N297" s="233"/>
      <c r="O297" s="217"/>
    </row>
    <row r="298" spans="1:15" s="29" customFormat="1" x14ac:dyDescent="0.2">
      <c r="A298" s="215"/>
      <c r="B298" s="233" t="s">
        <v>151</v>
      </c>
      <c r="C298" s="233"/>
      <c r="D298" s="233"/>
      <c r="E298" s="233"/>
      <c r="F298" s="233"/>
      <c r="G298" s="233"/>
      <c r="H298" s="233"/>
      <c r="I298" s="190"/>
      <c r="J298" s="233"/>
      <c r="K298" s="233"/>
      <c r="L298" s="233"/>
      <c r="M298" s="233"/>
      <c r="N298" s="233"/>
      <c r="O298" s="217"/>
    </row>
    <row r="299" spans="1:15" s="29" customFormat="1" x14ac:dyDescent="0.2">
      <c r="A299" s="215"/>
      <c r="B299" s="233"/>
      <c r="C299" s="233"/>
      <c r="D299" s="233"/>
      <c r="E299" s="233"/>
      <c r="F299" s="233"/>
      <c r="G299" s="233"/>
      <c r="H299" s="233"/>
      <c r="I299" s="233"/>
      <c r="J299" s="233"/>
      <c r="K299" s="233"/>
      <c r="L299" s="233"/>
      <c r="M299" s="233"/>
      <c r="N299" s="233"/>
      <c r="O299" s="217"/>
    </row>
    <row r="300" spans="1:15" s="29" customFormat="1" x14ac:dyDescent="0.2">
      <c r="A300" s="215"/>
      <c r="B300" s="233" t="s">
        <v>152</v>
      </c>
      <c r="C300" s="233"/>
      <c r="D300" s="233"/>
      <c r="E300" s="233"/>
      <c r="F300" s="233"/>
      <c r="G300" s="233"/>
      <c r="H300" s="233"/>
      <c r="I300" s="233"/>
      <c r="J300" s="233"/>
      <c r="K300" s="233"/>
      <c r="L300" s="233"/>
      <c r="M300" s="233"/>
      <c r="N300" s="233"/>
      <c r="O300" s="217"/>
    </row>
    <row r="301" spans="1:15" s="29" customFormat="1" x14ac:dyDescent="0.2">
      <c r="A301" s="215"/>
      <c r="B301" s="233" t="s">
        <v>153</v>
      </c>
      <c r="C301" s="233"/>
      <c r="D301" s="233"/>
      <c r="E301" s="233"/>
      <c r="F301" s="233"/>
      <c r="G301" s="233"/>
      <c r="H301" s="233"/>
      <c r="I301" s="233"/>
      <c r="J301" s="233"/>
      <c r="K301" s="233"/>
      <c r="L301" s="233"/>
      <c r="M301" s="233"/>
      <c r="N301" s="233"/>
      <c r="O301" s="217"/>
    </row>
    <row r="302" spans="1:15" s="29" customFormat="1" x14ac:dyDescent="0.2">
      <c r="A302" s="215"/>
      <c r="B302" s="233" t="s">
        <v>542</v>
      </c>
      <c r="C302" s="233"/>
      <c r="D302" s="233"/>
      <c r="E302" s="233"/>
      <c r="F302" s="233"/>
      <c r="G302" s="233"/>
      <c r="H302" s="233"/>
      <c r="I302" s="233"/>
      <c r="J302" s="233"/>
      <c r="K302" s="233"/>
      <c r="L302" s="233"/>
      <c r="M302" s="233"/>
      <c r="N302" s="233"/>
      <c r="O302" s="217"/>
    </row>
    <row r="303" spans="1:15" s="29" customFormat="1" x14ac:dyDescent="0.2">
      <c r="A303" s="215"/>
      <c r="B303" s="233" t="s">
        <v>154</v>
      </c>
      <c r="C303" s="233"/>
      <c r="D303" s="233"/>
      <c r="E303" s="233"/>
      <c r="F303" s="233"/>
      <c r="G303" s="233"/>
      <c r="H303" s="233"/>
      <c r="I303" s="233"/>
      <c r="J303" s="233"/>
      <c r="K303" s="233"/>
      <c r="L303" s="233"/>
      <c r="M303" s="233"/>
      <c r="N303" s="233"/>
      <c r="O303" s="217"/>
    </row>
    <row r="304" spans="1:15" x14ac:dyDescent="0.2">
      <c r="A304" s="214"/>
      <c r="B304" s="213" t="s">
        <v>680</v>
      </c>
      <c r="C304" s="213"/>
      <c r="D304" s="213"/>
      <c r="E304" s="213"/>
      <c r="F304" s="213"/>
      <c r="G304" s="213"/>
      <c r="H304" s="213"/>
      <c r="I304" s="213"/>
      <c r="J304" s="213"/>
      <c r="K304" s="213"/>
      <c r="L304" s="213"/>
      <c r="M304" s="213"/>
      <c r="N304" s="213"/>
      <c r="O304" s="207"/>
    </row>
    <row r="305" spans="1:15" x14ac:dyDescent="0.2">
      <c r="A305" s="214"/>
      <c r="B305" s="213" t="s">
        <v>543</v>
      </c>
      <c r="C305" s="213"/>
      <c r="D305" s="213"/>
      <c r="E305" s="213"/>
      <c r="F305" s="213"/>
      <c r="G305" s="213"/>
      <c r="H305" s="213"/>
      <c r="I305" s="213"/>
      <c r="J305" s="213"/>
      <c r="K305" s="213"/>
      <c r="L305" s="213"/>
      <c r="M305" s="213"/>
      <c r="N305" s="213"/>
      <c r="O305" s="207"/>
    </row>
    <row r="306" spans="1:15" x14ac:dyDescent="0.2">
      <c r="A306" s="214"/>
      <c r="B306" s="213" t="s">
        <v>544</v>
      </c>
      <c r="C306" s="213"/>
      <c r="D306" s="213"/>
      <c r="E306" s="213"/>
      <c r="F306" s="213"/>
      <c r="G306" s="213"/>
      <c r="H306" s="213"/>
      <c r="I306" s="213"/>
      <c r="J306" s="213"/>
      <c r="K306" s="213"/>
      <c r="L306" s="213"/>
      <c r="M306" s="213"/>
      <c r="N306" s="213"/>
      <c r="O306" s="207"/>
    </row>
    <row r="307" spans="1:15" x14ac:dyDescent="0.2">
      <c r="A307" s="214"/>
      <c r="B307" s="213" t="s">
        <v>545</v>
      </c>
      <c r="C307" s="213"/>
      <c r="D307" s="213"/>
      <c r="E307" s="213"/>
      <c r="F307" s="213"/>
      <c r="G307" s="213"/>
      <c r="H307" s="213"/>
      <c r="I307" s="213"/>
      <c r="J307" s="213"/>
      <c r="K307" s="213"/>
      <c r="L307" s="213"/>
      <c r="M307" s="213"/>
      <c r="N307" s="213"/>
      <c r="O307" s="207"/>
    </row>
    <row r="308" spans="1:15" x14ac:dyDescent="0.2">
      <c r="A308" s="214"/>
      <c r="B308" s="213"/>
      <c r="C308" s="213"/>
      <c r="D308" s="213"/>
      <c r="E308" s="213"/>
      <c r="F308" s="213"/>
      <c r="G308" s="213"/>
      <c r="H308" s="213"/>
      <c r="I308" s="213"/>
      <c r="J308" s="213"/>
      <c r="K308" s="213"/>
      <c r="L308" s="213"/>
      <c r="M308" s="213"/>
      <c r="N308" s="213"/>
      <c r="O308" s="207"/>
    </row>
    <row r="309" spans="1:15" x14ac:dyDescent="0.2">
      <c r="A309" s="214"/>
      <c r="B309" s="213" t="s">
        <v>155</v>
      </c>
      <c r="C309" s="213"/>
      <c r="D309" s="213"/>
      <c r="E309" s="213"/>
      <c r="F309" s="213"/>
      <c r="G309" s="213"/>
      <c r="H309" s="213"/>
      <c r="I309" s="213"/>
      <c r="J309" s="213"/>
      <c r="K309" s="213"/>
      <c r="L309" s="213"/>
      <c r="M309" s="213"/>
      <c r="N309" s="213"/>
      <c r="O309" s="207"/>
    </row>
    <row r="310" spans="1:15" x14ac:dyDescent="0.2">
      <c r="A310" s="214"/>
      <c r="B310" s="213" t="s">
        <v>156</v>
      </c>
      <c r="C310" s="213"/>
      <c r="D310" s="213"/>
      <c r="E310" s="213"/>
      <c r="F310" s="213"/>
      <c r="G310" s="213"/>
      <c r="H310" s="213"/>
      <c r="I310" s="213"/>
      <c r="J310" s="213"/>
      <c r="K310" s="213"/>
      <c r="L310" s="213"/>
      <c r="M310" s="213"/>
      <c r="N310" s="213"/>
      <c r="O310" s="207"/>
    </row>
    <row r="311" spans="1:15" x14ac:dyDescent="0.2">
      <c r="A311" s="214"/>
      <c r="B311" s="213" t="s">
        <v>546</v>
      </c>
      <c r="C311" s="213"/>
      <c r="D311" s="213"/>
      <c r="E311" s="213"/>
      <c r="F311" s="213"/>
      <c r="G311" s="213"/>
      <c r="H311" s="213"/>
      <c r="I311" s="213"/>
      <c r="J311" s="213"/>
      <c r="K311" s="213"/>
      <c r="L311" s="213"/>
      <c r="M311" s="213"/>
      <c r="N311" s="213"/>
      <c r="O311" s="207"/>
    </row>
    <row r="312" spans="1:15" x14ac:dyDescent="0.2">
      <c r="A312" s="214"/>
      <c r="B312" s="213" t="s">
        <v>157</v>
      </c>
      <c r="C312" s="213"/>
      <c r="D312" s="213"/>
      <c r="E312" s="213"/>
      <c r="F312" s="213"/>
      <c r="G312" s="213"/>
      <c r="H312" s="213"/>
      <c r="I312" s="213"/>
      <c r="J312" s="213"/>
      <c r="K312" s="213"/>
      <c r="L312" s="213"/>
      <c r="M312" s="213"/>
      <c r="N312" s="213"/>
      <c r="O312" s="207"/>
    </row>
    <row r="313" spans="1:15" x14ac:dyDescent="0.2">
      <c r="A313" s="214"/>
      <c r="B313" s="213" t="s">
        <v>158</v>
      </c>
      <c r="C313" s="213"/>
      <c r="D313" s="213"/>
      <c r="E313" s="213"/>
      <c r="F313" s="213"/>
      <c r="G313" s="213"/>
      <c r="H313" s="213"/>
      <c r="I313" s="213"/>
      <c r="J313" s="213"/>
      <c r="K313" s="213"/>
      <c r="L313" s="213"/>
      <c r="M313" s="213"/>
      <c r="N313" s="213"/>
      <c r="O313" s="207"/>
    </row>
    <row r="314" spans="1:15" x14ac:dyDescent="0.2">
      <c r="A314" s="214"/>
      <c r="B314" s="213" t="s">
        <v>156</v>
      </c>
      <c r="C314" s="213"/>
      <c r="D314" s="213"/>
      <c r="E314" s="213"/>
      <c r="F314" s="213"/>
      <c r="G314" s="213"/>
      <c r="H314" s="213"/>
      <c r="I314" s="213"/>
      <c r="J314" s="213"/>
      <c r="K314" s="213"/>
      <c r="L314" s="213"/>
      <c r="M314" s="213"/>
      <c r="N314" s="213"/>
      <c r="O314" s="207"/>
    </row>
    <row r="315" spans="1:15" x14ac:dyDescent="0.2">
      <c r="A315" s="214"/>
      <c r="B315" s="213" t="s">
        <v>681</v>
      </c>
      <c r="C315" s="213"/>
      <c r="D315" s="213"/>
      <c r="E315" s="213"/>
      <c r="F315" s="213"/>
      <c r="G315" s="213"/>
      <c r="H315" s="213"/>
      <c r="I315" s="213"/>
      <c r="J315" s="213"/>
      <c r="K315" s="213"/>
      <c r="L315" s="213"/>
      <c r="M315" s="213"/>
      <c r="N315" s="213"/>
      <c r="O315" s="207"/>
    </row>
    <row r="316" spans="1:15" x14ac:dyDescent="0.2">
      <c r="A316" s="214"/>
      <c r="B316" s="213" t="s">
        <v>159</v>
      </c>
      <c r="C316" s="213"/>
      <c r="D316" s="213"/>
      <c r="E316" s="213"/>
      <c r="F316" s="213"/>
      <c r="G316" s="213"/>
      <c r="H316" s="213"/>
      <c r="I316" s="213"/>
      <c r="J316" s="213"/>
      <c r="K316" s="213"/>
      <c r="L316" s="213"/>
      <c r="M316" s="213"/>
      <c r="N316" s="213"/>
      <c r="O316" s="207"/>
    </row>
    <row r="317" spans="1:15" x14ac:dyDescent="0.2">
      <c r="A317" s="214"/>
      <c r="B317" s="213" t="s">
        <v>547</v>
      </c>
      <c r="C317" s="213"/>
      <c r="D317" s="213"/>
      <c r="E317" s="213"/>
      <c r="F317" s="213"/>
      <c r="G317" s="213"/>
      <c r="H317" s="213"/>
      <c r="I317" s="213"/>
      <c r="J317" s="213"/>
      <c r="K317" s="213"/>
      <c r="L317" s="213"/>
      <c r="M317" s="213"/>
      <c r="N317" s="213"/>
      <c r="O317" s="207"/>
    </row>
    <row r="318" spans="1:15" x14ac:dyDescent="0.2">
      <c r="A318" s="214"/>
      <c r="B318" s="213" t="s">
        <v>160</v>
      </c>
      <c r="C318" s="213"/>
      <c r="D318" s="213"/>
      <c r="E318" s="213"/>
      <c r="F318" s="213"/>
      <c r="G318" s="213"/>
      <c r="H318" s="213"/>
      <c r="I318" s="213"/>
      <c r="J318" s="213"/>
      <c r="K318" s="213"/>
      <c r="L318" s="213"/>
      <c r="M318" s="213"/>
      <c r="N318" s="213"/>
      <c r="O318" s="207"/>
    </row>
    <row r="319" spans="1:15" x14ac:dyDescent="0.2">
      <c r="A319" s="214"/>
      <c r="B319" s="213" t="s">
        <v>161</v>
      </c>
      <c r="C319" s="213"/>
      <c r="D319" s="213"/>
      <c r="E319" s="213"/>
      <c r="F319" s="213"/>
      <c r="G319" s="213"/>
      <c r="H319" s="213"/>
      <c r="I319" s="213"/>
      <c r="J319" s="213"/>
      <c r="K319" s="213"/>
      <c r="L319" s="213"/>
      <c r="M319" s="213"/>
      <c r="N319" s="213"/>
      <c r="O319" s="207"/>
    </row>
    <row r="320" spans="1:15" x14ac:dyDescent="0.2">
      <c r="A320" s="214"/>
      <c r="B320" s="213" t="s">
        <v>162</v>
      </c>
      <c r="C320" s="213"/>
      <c r="D320" s="213"/>
      <c r="E320" s="213"/>
      <c r="F320" s="213"/>
      <c r="G320" s="213"/>
      <c r="H320" s="213"/>
      <c r="I320" s="213"/>
      <c r="J320" s="213"/>
      <c r="K320" s="213"/>
      <c r="L320" s="213"/>
      <c r="M320" s="213"/>
      <c r="N320" s="213"/>
      <c r="O320" s="207"/>
    </row>
    <row r="321" spans="1:15" x14ac:dyDescent="0.2">
      <c r="A321" s="214"/>
      <c r="B321" s="213" t="s">
        <v>35</v>
      </c>
      <c r="C321" s="213"/>
      <c r="D321" s="213"/>
      <c r="E321" s="213"/>
      <c r="F321" s="213"/>
      <c r="G321" s="213"/>
      <c r="H321" s="213"/>
      <c r="I321" s="213"/>
      <c r="J321" s="213"/>
      <c r="K321" s="213"/>
      <c r="L321" s="213"/>
      <c r="M321" s="213"/>
      <c r="N321" s="213"/>
      <c r="O321" s="207"/>
    </row>
    <row r="322" spans="1:15" x14ac:dyDescent="0.2">
      <c r="A322" s="214"/>
      <c r="B322" s="213"/>
      <c r="C322" s="213"/>
      <c r="D322" s="213"/>
      <c r="E322" s="213"/>
      <c r="F322" s="213"/>
      <c r="G322" s="213"/>
      <c r="H322" s="213"/>
      <c r="I322" s="213"/>
      <c r="J322" s="213"/>
      <c r="K322" s="213"/>
      <c r="L322" s="213"/>
      <c r="M322" s="213"/>
      <c r="N322" s="213"/>
      <c r="O322" s="207"/>
    </row>
    <row r="323" spans="1:15" x14ac:dyDescent="0.2">
      <c r="A323" s="212"/>
      <c r="B323" s="211"/>
      <c r="C323" s="211"/>
      <c r="D323" s="211"/>
      <c r="E323" s="211"/>
      <c r="F323" s="211"/>
      <c r="G323" s="211"/>
      <c r="H323" s="211"/>
      <c r="I323" s="211"/>
      <c r="J323" s="211"/>
      <c r="K323" s="211"/>
      <c r="L323" s="211"/>
      <c r="M323" s="211"/>
      <c r="N323" s="211"/>
      <c r="O323" s="219"/>
    </row>
    <row r="324" spans="1:15" x14ac:dyDescent="0.2"/>
    <row r="325" spans="1:15" x14ac:dyDescent="0.2"/>
    <row r="326" spans="1:15" x14ac:dyDescent="0.2"/>
    <row r="327" spans="1:15" x14ac:dyDescent="0.2"/>
    <row r="328" spans="1:15" x14ac:dyDescent="0.2"/>
    <row r="329" spans="1:15" x14ac:dyDescent="0.2"/>
    <row r="340" x14ac:dyDescent="0.2"/>
    <row r="341" x14ac:dyDescent="0.2"/>
    <row r="342" x14ac:dyDescent="0.2"/>
    <row r="343" x14ac:dyDescent="0.2"/>
  </sheetData>
  <sheetProtection algorithmName="SHA-512" hashValue="Nk+cozSaK2ohW2uf/NCo7m080Xv5x7etT1iIEjXiZy3XqvkHEBFsCSzePoKye0hrfmn5YbQjOWIfeLH/GP6WuA==" saltValue="AXsTj2vP6qOiIyeLrV5R5w==" spinCount="100000" sheet="1" objects="1" scenarios="1"/>
  <mergeCells count="2">
    <mergeCell ref="A1:U3"/>
    <mergeCell ref="A4:Y4"/>
  </mergeCells>
  <hyperlinks>
    <hyperlink ref="A5" location="Main!K44" display="Return to Menu" xr:uid="{00000000-0004-0000-0700-000000000000}"/>
    <hyperlink ref="A26" location="'Lookup Table'!A323" display="Example Code" xr:uid="{00000000-0004-0000-07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whole" allowBlank="1" showInputMessage="1" showErrorMessage="1" errorTitle="Resistance" error="Enter a value between min and max resistance for your device." promptTitle="Resistance" prompt="Enter a value between min and max resistance for your device." xr:uid="{00000000-0002-0000-0700-000000000000}">
          <x14:formula1>
            <xm:f>VLOOKUP(-40,'Device Resistance Tables'!B20:F20,2,FALSE)</xm:f>
          </x14:formula1>
          <x14:formula2>
            <xm:f>VLOOKUP(VLOOKUP(Main!$N$22,Coefficients!$E$2:$H$28,4,FALSE),'Device Resistance Tables'!B85:F235,5,FALSE)</xm:f>
          </x14:formula2>
          <xm:sqref>B35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J183"/>
  <sheetViews>
    <sheetView showGridLines="0" zoomScale="80" zoomScaleNormal="80" workbookViewId="0">
      <selection activeCell="A152" sqref="A152"/>
    </sheetView>
  </sheetViews>
  <sheetFormatPr defaultColWidth="0" defaultRowHeight="12.75" zeroHeight="1" x14ac:dyDescent="0.2"/>
  <cols>
    <col min="1" max="1" width="27.7109375" style="29" customWidth="1"/>
    <col min="2" max="2" width="25.85546875" style="29" customWidth="1"/>
    <col min="3" max="3" width="23.28515625" style="29" customWidth="1"/>
    <col min="4" max="4" width="20" style="29" customWidth="1"/>
    <col min="5" max="5" width="19.28515625" style="29" customWidth="1"/>
    <col min="6" max="6" width="20.42578125" style="29" customWidth="1"/>
    <col min="7" max="7" width="11.140625" style="29" customWidth="1"/>
    <col min="8" max="25" width="9.140625" style="29" customWidth="1"/>
    <col min="26" max="36" width="0" style="29" hidden="1" customWidth="1"/>
    <col min="37" max="16384" width="9.140625" style="29" hidden="1"/>
  </cols>
  <sheetData>
    <row r="1" spans="1:36" s="2" customFormat="1" x14ac:dyDescent="0.2">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ht="15" x14ac:dyDescent="0.2">
      <c r="A5" s="418" t="s">
        <v>75</v>
      </c>
      <c r="B5" s="10"/>
      <c r="C5" s="11"/>
    </row>
    <row r="6" spans="1:36" s="158" customFormat="1" ht="15.75" x14ac:dyDescent="0.25">
      <c r="A6" s="138"/>
      <c r="F6" s="168"/>
    </row>
    <row r="7" spans="1:36" s="226" customFormat="1" ht="15.75" x14ac:dyDescent="0.25">
      <c r="A7" s="251"/>
      <c r="F7" s="255"/>
    </row>
    <row r="8" spans="1:36" s="226" customFormat="1" ht="15.75" x14ac:dyDescent="0.25">
      <c r="A8" s="251"/>
      <c r="F8" s="255"/>
    </row>
    <row r="9" spans="1:36" s="226" customFormat="1" ht="15.75" x14ac:dyDescent="0.25">
      <c r="A9" s="251"/>
      <c r="F9" s="255"/>
    </row>
    <row r="10" spans="1:36" s="226" customFormat="1" ht="15.75" x14ac:dyDescent="0.25">
      <c r="A10" s="251"/>
      <c r="F10" s="255"/>
    </row>
    <row r="11" spans="1:36" s="226" customFormat="1" ht="15.75" x14ac:dyDescent="0.25">
      <c r="A11" s="251"/>
      <c r="F11" s="255"/>
    </row>
    <row r="12" spans="1:36" s="226" customFormat="1" ht="15.75" x14ac:dyDescent="0.25">
      <c r="A12" s="251"/>
      <c r="F12" s="255"/>
    </row>
    <row r="13" spans="1:36" s="226" customFormat="1" ht="15.75" x14ac:dyDescent="0.25">
      <c r="A13" s="251"/>
      <c r="F13" s="255"/>
    </row>
    <row r="14" spans="1:36" s="226" customFormat="1" ht="15.75" x14ac:dyDescent="0.25">
      <c r="A14" s="251"/>
      <c r="F14" s="255"/>
    </row>
    <row r="15" spans="1:36" s="226" customFormat="1" ht="15.75" x14ac:dyDescent="0.25">
      <c r="A15" s="251"/>
      <c r="F15" s="255"/>
    </row>
    <row r="16" spans="1:36" s="226" customFormat="1" ht="15.75" x14ac:dyDescent="0.25">
      <c r="A16" s="251"/>
      <c r="F16" s="255"/>
    </row>
    <row r="17" spans="1:22" s="226" customFormat="1" ht="15.75" x14ac:dyDescent="0.25">
      <c r="A17" s="251"/>
      <c r="F17" s="255"/>
    </row>
    <row r="18" spans="1:22" s="226" customFormat="1" ht="15.75" x14ac:dyDescent="0.25">
      <c r="A18" s="251"/>
      <c r="F18" s="255"/>
    </row>
    <row r="19" spans="1:22" s="226" customFormat="1" ht="15.75" x14ac:dyDescent="0.25">
      <c r="A19" s="251"/>
      <c r="F19" s="255"/>
    </row>
    <row r="20" spans="1:22" s="226" customFormat="1" ht="15.75" x14ac:dyDescent="0.25">
      <c r="A20" s="251"/>
      <c r="F20" s="255"/>
    </row>
    <row r="21" spans="1:22" s="226" customFormat="1" ht="15.75" x14ac:dyDescent="0.25">
      <c r="A21" s="251"/>
      <c r="F21" s="255"/>
    </row>
    <row r="22" spans="1:22" s="226" customFormat="1" ht="15.75" x14ac:dyDescent="0.25">
      <c r="A22" s="251"/>
      <c r="F22" s="255"/>
    </row>
    <row r="23" spans="1:22" s="226" customFormat="1" ht="15.75" x14ac:dyDescent="0.25">
      <c r="A23" s="251"/>
      <c r="F23" s="255"/>
    </row>
    <row r="24" spans="1:22" s="226" customFormat="1" ht="15.75" x14ac:dyDescent="0.25">
      <c r="A24" s="251"/>
      <c r="F24" s="255"/>
    </row>
    <row r="25" spans="1:22" s="226" customFormat="1" ht="15.75" x14ac:dyDescent="0.25">
      <c r="A25" s="251"/>
      <c r="F25" s="255"/>
    </row>
    <row r="26" spans="1:22" s="226" customFormat="1" ht="15.75" x14ac:dyDescent="0.25">
      <c r="A26" s="251"/>
      <c r="F26" s="255"/>
    </row>
    <row r="27" spans="1:22" s="40" customFormat="1" x14ac:dyDescent="0.2">
      <c r="A27" s="13"/>
      <c r="B27" s="13"/>
      <c r="C27" s="13"/>
    </row>
    <row r="28" spans="1:22" s="158" customFormat="1" ht="15" x14ac:dyDescent="0.2">
      <c r="A28" s="417" t="s">
        <v>247</v>
      </c>
      <c r="B28" s="146"/>
      <c r="C28" s="146"/>
    </row>
    <row r="29" spans="1:22" s="40" customFormat="1" x14ac:dyDescent="0.2">
      <c r="A29" s="226"/>
      <c r="B29" s="225"/>
      <c r="C29" s="225"/>
      <c r="D29" s="226"/>
      <c r="E29" s="225"/>
      <c r="F29" s="223"/>
      <c r="G29" s="13"/>
    </row>
    <row r="30" spans="1:22" s="40" customFormat="1" ht="15.75" x14ac:dyDescent="0.25">
      <c r="A30" s="433" t="s">
        <v>300</v>
      </c>
      <c r="B30" s="254" t="str">
        <f>Main!N22</f>
        <v>TMP6131DECR</v>
      </c>
      <c r="C30" s="493"/>
      <c r="D30" s="493"/>
      <c r="E30" s="493"/>
      <c r="F30" s="493"/>
      <c r="G30" s="141"/>
      <c r="H30" s="493"/>
      <c r="I30" s="493"/>
      <c r="J30" s="493"/>
      <c r="K30" s="493"/>
      <c r="L30" s="493"/>
      <c r="M30" s="493"/>
      <c r="N30" s="493"/>
      <c r="O30" s="493"/>
      <c r="P30" s="493"/>
      <c r="Q30" s="493"/>
      <c r="R30" s="493"/>
      <c r="S30" s="493"/>
      <c r="T30" s="493"/>
      <c r="U30" s="493"/>
      <c r="V30" s="493"/>
    </row>
    <row r="31" spans="1:22" s="40" customFormat="1" ht="15.75" x14ac:dyDescent="0.25">
      <c r="A31" s="437" t="s">
        <v>206</v>
      </c>
      <c r="B31" s="282">
        <f>Main!N25</f>
        <v>5</v>
      </c>
      <c r="C31" s="242" t="s">
        <v>2</v>
      </c>
      <c r="D31" s="441"/>
      <c r="E31" s="493"/>
      <c r="F31" s="441"/>
      <c r="G31" s="436"/>
      <c r="H31" s="436"/>
      <c r="I31" s="493"/>
      <c r="J31" s="493"/>
      <c r="K31" s="493"/>
      <c r="L31" s="493"/>
      <c r="M31" s="493"/>
      <c r="N31" s="493"/>
      <c r="O31" s="493"/>
      <c r="P31" s="493"/>
      <c r="Q31" s="493"/>
      <c r="R31" s="493"/>
      <c r="S31" s="493"/>
      <c r="T31" s="493"/>
      <c r="U31" s="493"/>
      <c r="V31" s="493"/>
    </row>
    <row r="32" spans="1:22" s="226" customFormat="1" ht="15.75" x14ac:dyDescent="0.25">
      <c r="A32" s="437" t="s">
        <v>251</v>
      </c>
      <c r="B32" s="439">
        <f>Main!N31</f>
        <v>10000</v>
      </c>
      <c r="C32" s="206" t="s">
        <v>1</v>
      </c>
      <c r="D32" s="441"/>
      <c r="E32" s="493"/>
      <c r="F32" s="441"/>
      <c r="G32" s="436"/>
      <c r="H32" s="436"/>
      <c r="I32" s="493"/>
      <c r="J32" s="493"/>
      <c r="K32" s="493"/>
      <c r="L32" s="493"/>
      <c r="M32" s="493"/>
      <c r="N32" s="493"/>
      <c r="O32" s="493"/>
      <c r="P32" s="493"/>
      <c r="Q32" s="493"/>
      <c r="R32" s="493"/>
      <c r="S32" s="493"/>
      <c r="T32" s="493"/>
      <c r="U32" s="493"/>
      <c r="V32" s="493"/>
    </row>
    <row r="33" spans="1:22" s="226" customFormat="1" ht="15.75" x14ac:dyDescent="0.25">
      <c r="A33" s="440" t="s">
        <v>46</v>
      </c>
      <c r="B33" s="284">
        <f>Main!N28</f>
        <v>16</v>
      </c>
      <c r="C33" s="242" t="s">
        <v>17</v>
      </c>
      <c r="D33" s="441"/>
      <c r="E33" s="441"/>
      <c r="F33" s="441"/>
      <c r="G33" s="436"/>
      <c r="H33" s="436"/>
      <c r="I33" s="493"/>
      <c r="J33" s="493"/>
      <c r="K33" s="493"/>
      <c r="L33" s="493"/>
      <c r="M33" s="493"/>
      <c r="N33" s="493"/>
      <c r="O33" s="493"/>
      <c r="P33" s="493"/>
      <c r="Q33" s="493"/>
      <c r="R33" s="493"/>
      <c r="S33" s="493"/>
      <c r="T33" s="493"/>
      <c r="U33" s="493"/>
      <c r="V33" s="493"/>
    </row>
    <row r="34" spans="1:22" s="40" customFormat="1" ht="15" x14ac:dyDescent="0.2">
      <c r="A34" s="141"/>
      <c r="B34" s="141"/>
      <c r="C34" s="141"/>
      <c r="D34" s="493"/>
      <c r="E34" s="493"/>
      <c r="F34" s="493"/>
      <c r="G34" s="493"/>
      <c r="H34" s="493"/>
      <c r="I34" s="493"/>
      <c r="J34" s="493"/>
      <c r="K34" s="493"/>
      <c r="L34" s="493"/>
      <c r="M34" s="493"/>
      <c r="N34" s="493"/>
      <c r="O34" s="493"/>
      <c r="P34" s="493"/>
      <c r="Q34" s="493"/>
      <c r="R34" s="493"/>
      <c r="S34" s="493"/>
      <c r="T34" s="493"/>
      <c r="U34" s="493"/>
      <c r="V34" s="493"/>
    </row>
    <row r="35" spans="1:22" s="40" customFormat="1" ht="15.75" x14ac:dyDescent="0.25">
      <c r="A35" s="462"/>
      <c r="B35" s="490"/>
      <c r="C35" s="491"/>
      <c r="D35" s="141"/>
      <c r="E35" s="492"/>
      <c r="F35" s="451"/>
      <c r="G35" s="483"/>
      <c r="H35" s="483"/>
      <c r="I35" s="441"/>
      <c r="J35" s="441"/>
      <c r="K35" s="441"/>
      <c r="L35" s="441"/>
      <c r="M35" s="441"/>
      <c r="N35" s="441"/>
      <c r="O35" s="441"/>
      <c r="P35" s="441"/>
      <c r="Q35" s="441"/>
      <c r="R35" s="441"/>
      <c r="S35" s="441"/>
      <c r="T35" s="441"/>
      <c r="U35" s="441"/>
      <c r="V35" s="493"/>
    </row>
    <row r="36" spans="1:22" s="40" customFormat="1" ht="15.75" x14ac:dyDescent="0.25">
      <c r="A36" s="462" t="s">
        <v>87</v>
      </c>
      <c r="B36" s="490"/>
      <c r="C36" s="491"/>
      <c r="D36" s="495"/>
      <c r="E36" s="492"/>
      <c r="F36" s="451"/>
      <c r="G36" s="483"/>
      <c r="H36" s="483"/>
      <c r="I36" s="441"/>
      <c r="J36" s="441"/>
      <c r="K36" s="441"/>
      <c r="L36" s="441"/>
      <c r="M36" s="441"/>
      <c r="N36" s="441"/>
      <c r="O36" s="441"/>
      <c r="P36" s="441"/>
      <c r="Q36" s="441"/>
      <c r="R36" s="441"/>
      <c r="S36" s="441"/>
      <c r="T36" s="441"/>
      <c r="U36" s="441"/>
      <c r="V36" s="493"/>
    </row>
    <row r="37" spans="1:22" s="40" customFormat="1" ht="15" x14ac:dyDescent="0.2">
      <c r="A37" s="165"/>
      <c r="B37" s="494" t="s">
        <v>55</v>
      </c>
      <c r="C37" s="491"/>
      <c r="D37" s="141"/>
      <c r="E37" s="492"/>
      <c r="F37" s="451"/>
      <c r="G37" s="483"/>
      <c r="H37" s="483"/>
      <c r="I37" s="441"/>
      <c r="J37" s="441"/>
      <c r="K37" s="441"/>
      <c r="L37" s="441"/>
      <c r="M37" s="441"/>
      <c r="N37" s="441"/>
      <c r="O37" s="441"/>
      <c r="P37" s="441"/>
      <c r="Q37" s="441"/>
      <c r="R37" s="441"/>
      <c r="S37" s="441"/>
      <c r="T37" s="441"/>
      <c r="U37" s="441"/>
      <c r="V37" s="493"/>
    </row>
    <row r="38" spans="1:22" s="40" customFormat="1" ht="16.5" thickBot="1" x14ac:dyDescent="0.3">
      <c r="A38" s="476"/>
      <c r="B38" s="494" t="s">
        <v>54</v>
      </c>
      <c r="C38" s="491"/>
      <c r="D38" s="141"/>
      <c r="E38" s="492"/>
      <c r="F38" s="451"/>
      <c r="G38" s="483"/>
      <c r="H38" s="483"/>
      <c r="I38" s="441"/>
      <c r="J38" s="441"/>
      <c r="K38" s="441"/>
      <c r="L38" s="441"/>
      <c r="M38" s="441"/>
      <c r="N38" s="441"/>
      <c r="O38" s="441"/>
      <c r="P38" s="441"/>
      <c r="Q38" s="441"/>
      <c r="R38" s="441"/>
      <c r="S38" s="441"/>
      <c r="T38" s="441"/>
      <c r="U38" s="441"/>
      <c r="V38" s="493"/>
    </row>
    <row r="39" spans="1:22" s="40" customFormat="1" ht="16.5" thickBot="1" x14ac:dyDescent="0.3">
      <c r="A39" s="476" t="s">
        <v>332</v>
      </c>
      <c r="B39" s="496">
        <v>10000</v>
      </c>
      <c r="C39" s="491" t="s">
        <v>1</v>
      </c>
      <c r="D39" s="141" t="s">
        <v>254</v>
      </c>
      <c r="E39" s="492"/>
      <c r="F39" s="451" t="s">
        <v>53</v>
      </c>
      <c r="G39" s="483"/>
      <c r="H39" s="483"/>
      <c r="I39" s="441"/>
      <c r="J39" s="441"/>
      <c r="K39" s="441"/>
      <c r="L39" s="441"/>
      <c r="M39" s="441"/>
      <c r="N39" s="441"/>
      <c r="O39" s="441"/>
      <c r="P39" s="441"/>
      <c r="Q39" s="441"/>
      <c r="R39" s="441"/>
      <c r="S39" s="441"/>
      <c r="T39" s="441"/>
      <c r="U39" s="441"/>
      <c r="V39" s="493"/>
    </row>
    <row r="40" spans="1:22" s="40" customFormat="1" ht="15.75" x14ac:dyDescent="0.25">
      <c r="A40" s="498" t="s">
        <v>59</v>
      </c>
      <c r="B40" s="499">
        <f ca="1">INDEX(C50:C93,MATCH(B39,C50:C93,1))</f>
        <v>9748</v>
      </c>
      <c r="C40" s="491" t="s">
        <v>1</v>
      </c>
      <c r="D40" s="500" t="s">
        <v>28</v>
      </c>
      <c r="E40" s="492"/>
      <c r="F40" s="451" t="s">
        <v>52</v>
      </c>
      <c r="G40" s="483"/>
      <c r="H40" s="483"/>
      <c r="I40" s="441"/>
      <c r="J40" s="441"/>
      <c r="K40" s="441"/>
      <c r="L40" s="441"/>
      <c r="M40" s="441"/>
      <c r="N40" s="441"/>
      <c r="O40" s="441"/>
      <c r="P40" s="441"/>
      <c r="Q40" s="441"/>
      <c r="R40" s="441"/>
      <c r="S40" s="441"/>
      <c r="T40" s="441"/>
      <c r="U40" s="441"/>
      <c r="V40" s="493"/>
    </row>
    <row r="41" spans="1:22" s="40" customFormat="1" ht="15.75" x14ac:dyDescent="0.25">
      <c r="A41" s="498" t="s">
        <v>58</v>
      </c>
      <c r="B41" s="501">
        <f ca="1">INDEX(B50:B93,MATCH(B39,C50:C93,1))</f>
        <v>20</v>
      </c>
      <c r="C41" s="165" t="s">
        <v>220</v>
      </c>
      <c r="D41" s="502" t="s">
        <v>27</v>
      </c>
      <c r="E41" s="492"/>
      <c r="F41" s="451" t="s">
        <v>51</v>
      </c>
      <c r="G41" s="483"/>
      <c r="H41" s="483"/>
      <c r="I41" s="441"/>
      <c r="J41" s="441"/>
      <c r="K41" s="441"/>
      <c r="L41" s="441"/>
      <c r="M41" s="441"/>
      <c r="N41" s="441"/>
      <c r="O41" s="441"/>
      <c r="P41" s="441"/>
      <c r="Q41" s="441"/>
      <c r="R41" s="441"/>
      <c r="S41" s="441"/>
      <c r="T41" s="441"/>
      <c r="U41" s="441"/>
      <c r="V41" s="493"/>
    </row>
    <row r="42" spans="1:22" s="40" customFormat="1" ht="15.75" x14ac:dyDescent="0.25">
      <c r="A42" s="476"/>
      <c r="B42" s="141"/>
      <c r="C42" s="436"/>
      <c r="D42" s="436"/>
      <c r="E42" s="436"/>
      <c r="F42" s="436"/>
      <c r="G42" s="483"/>
      <c r="H42" s="483"/>
      <c r="I42" s="441"/>
      <c r="J42" s="441"/>
      <c r="K42" s="441"/>
      <c r="L42" s="441"/>
      <c r="M42" s="441"/>
      <c r="N42" s="441"/>
      <c r="O42" s="441"/>
      <c r="P42" s="441"/>
      <c r="Q42" s="441"/>
      <c r="R42" s="441"/>
      <c r="S42" s="441"/>
      <c r="T42" s="441"/>
      <c r="U42" s="441"/>
      <c r="V42" s="493"/>
    </row>
    <row r="43" spans="1:22" s="40" customFormat="1" ht="15.75" x14ac:dyDescent="0.25">
      <c r="A43" s="476" t="s">
        <v>57</v>
      </c>
      <c r="B43" s="484">
        <f ca="1">INDEX(C50:C93,1+MATCH(B39,C50:C93,1))</f>
        <v>10060</v>
      </c>
      <c r="C43" s="491" t="s">
        <v>1</v>
      </c>
      <c r="D43" s="165" t="s">
        <v>30</v>
      </c>
      <c r="E43" s="492"/>
      <c r="F43" s="451" t="s">
        <v>50</v>
      </c>
      <c r="G43" s="483"/>
      <c r="H43" s="483"/>
      <c r="I43" s="441"/>
      <c r="J43" s="441"/>
      <c r="K43" s="441"/>
      <c r="L43" s="441"/>
      <c r="M43" s="441"/>
      <c r="N43" s="441"/>
      <c r="O43" s="441"/>
      <c r="P43" s="441"/>
      <c r="Q43" s="441"/>
      <c r="R43" s="441"/>
      <c r="S43" s="441"/>
      <c r="T43" s="441"/>
      <c r="U43" s="441"/>
      <c r="V43" s="493"/>
    </row>
    <row r="44" spans="1:22" s="40" customFormat="1" ht="15.75" x14ac:dyDescent="0.25">
      <c r="A44" s="476" t="s">
        <v>56</v>
      </c>
      <c r="B44" s="501">
        <f ca="1">INDEX(B50:B93,1+MATCH(B39,C50:C93,1))</f>
        <v>25</v>
      </c>
      <c r="C44" s="491" t="s">
        <v>220</v>
      </c>
      <c r="D44" s="141" t="s">
        <v>29</v>
      </c>
      <c r="E44" s="492"/>
      <c r="F44" s="451" t="s">
        <v>49</v>
      </c>
      <c r="G44" s="483"/>
      <c r="H44" s="483"/>
      <c r="I44" s="441"/>
      <c r="J44" s="441"/>
      <c r="K44" s="441"/>
      <c r="L44" s="441"/>
      <c r="M44" s="441"/>
      <c r="N44" s="441"/>
      <c r="O44" s="441"/>
      <c r="P44" s="441"/>
      <c r="Q44" s="441"/>
      <c r="R44" s="441"/>
      <c r="S44" s="441"/>
      <c r="T44" s="441"/>
      <c r="U44" s="441"/>
      <c r="V44" s="493"/>
    </row>
    <row r="45" spans="1:22" s="40" customFormat="1" ht="16.5" thickBot="1" x14ac:dyDescent="0.3">
      <c r="A45" s="476"/>
      <c r="B45" s="141"/>
      <c r="C45" s="436"/>
      <c r="D45" s="436"/>
      <c r="E45" s="436"/>
      <c r="F45" s="436"/>
      <c r="G45" s="483"/>
      <c r="H45" s="441"/>
      <c r="I45" s="441"/>
      <c r="J45" s="441"/>
      <c r="K45" s="441"/>
      <c r="L45" s="441"/>
      <c r="M45" s="441"/>
      <c r="N45" s="441"/>
      <c r="O45" s="441"/>
      <c r="P45" s="441"/>
      <c r="Q45" s="441"/>
      <c r="R45" s="441"/>
      <c r="S45" s="441"/>
      <c r="T45" s="441"/>
      <c r="U45" s="441"/>
      <c r="V45" s="493"/>
    </row>
    <row r="46" spans="1:22" ht="16.5" thickBot="1" x14ac:dyDescent="0.3">
      <c r="A46" s="476" t="s">
        <v>123</v>
      </c>
      <c r="B46" s="503">
        <f ca="1">B41+((B39-B40)/(B43-B40)*(B44-B41))</f>
        <v>24.03846153846154</v>
      </c>
      <c r="C46" s="491" t="s">
        <v>718</v>
      </c>
      <c r="D46" s="141" t="s">
        <v>526</v>
      </c>
      <c r="E46" s="492"/>
      <c r="F46" s="451"/>
      <c r="G46" s="483"/>
      <c r="H46" s="441"/>
      <c r="I46" s="441"/>
      <c r="J46" s="441"/>
      <c r="K46" s="441"/>
      <c r="L46" s="441"/>
      <c r="M46" s="441"/>
      <c r="N46" s="441"/>
      <c r="O46" s="441"/>
      <c r="P46" s="441"/>
      <c r="Q46" s="441"/>
      <c r="R46" s="441"/>
      <c r="S46" s="441"/>
      <c r="T46" s="441"/>
      <c r="U46" s="441"/>
      <c r="V46" s="441"/>
    </row>
    <row r="47" spans="1:22" ht="15.75" x14ac:dyDescent="0.25">
      <c r="A47" s="476"/>
      <c r="B47" s="514"/>
      <c r="C47" s="491"/>
      <c r="D47" s="141"/>
      <c r="E47" s="492"/>
      <c r="F47" s="451"/>
      <c r="G47" s="483"/>
      <c r="H47" s="441"/>
      <c r="I47" s="441"/>
      <c r="J47" s="441"/>
      <c r="K47" s="441"/>
      <c r="L47" s="441"/>
      <c r="M47" s="441"/>
      <c r="N47" s="441"/>
      <c r="O47" s="441"/>
      <c r="P47" s="441"/>
      <c r="Q47" s="441"/>
      <c r="R47" s="441"/>
      <c r="S47" s="441"/>
      <c r="T47" s="441"/>
      <c r="U47" s="441"/>
      <c r="V47" s="441"/>
    </row>
    <row r="48" spans="1:22" ht="15.75" x14ac:dyDescent="0.25">
      <c r="A48" s="242" t="s">
        <v>315</v>
      </c>
      <c r="B48" s="242"/>
      <c r="C48" s="441"/>
      <c r="D48" s="441"/>
      <c r="E48" s="441"/>
      <c r="F48" s="441"/>
      <c r="G48" s="441"/>
      <c r="H48" s="441"/>
      <c r="I48" s="441"/>
      <c r="J48" s="441"/>
      <c r="K48" s="441"/>
      <c r="L48" s="441"/>
      <c r="M48" s="441"/>
      <c r="N48" s="441"/>
      <c r="O48" s="441"/>
      <c r="P48" s="441"/>
      <c r="Q48" s="441"/>
      <c r="R48" s="441"/>
      <c r="S48" s="441"/>
      <c r="T48" s="441"/>
      <c r="U48" s="441"/>
      <c r="V48" s="441"/>
    </row>
    <row r="49" spans="1:22" ht="15.75" x14ac:dyDescent="0.25">
      <c r="A49" s="515" t="s">
        <v>113</v>
      </c>
      <c r="B49" s="516" t="s">
        <v>219</v>
      </c>
      <c r="C49" s="516" t="s">
        <v>264</v>
      </c>
      <c r="D49" s="517"/>
      <c r="E49" s="517"/>
      <c r="F49" s="517"/>
      <c r="G49" s="441"/>
      <c r="H49" s="441"/>
      <c r="I49" s="441"/>
      <c r="J49" s="441"/>
      <c r="K49" s="441"/>
      <c r="L49" s="441"/>
      <c r="M49" s="441"/>
      <c r="N49" s="441"/>
      <c r="O49" s="441"/>
      <c r="P49" s="441"/>
      <c r="Q49" s="441"/>
      <c r="R49" s="441"/>
      <c r="S49" s="441"/>
      <c r="T49" s="441"/>
      <c r="U49" s="441"/>
      <c r="V49" s="441"/>
    </row>
    <row r="50" spans="1:22" ht="15.75" x14ac:dyDescent="0.25">
      <c r="A50" s="518">
        <v>1</v>
      </c>
      <c r="B50" s="519">
        <v>-40</v>
      </c>
      <c r="C50" s="520">
        <f ca="1">ROUND('Device Resistance Tables'!P20,0)-0.0001</f>
        <v>6602.9998999999998</v>
      </c>
      <c r="D50" s="521"/>
      <c r="E50" s="522"/>
      <c r="F50" s="523"/>
      <c r="G50" s="441"/>
      <c r="H50" s="441"/>
      <c r="I50" s="441"/>
      <c r="J50" s="441"/>
      <c r="K50" s="441"/>
      <c r="L50" s="441"/>
      <c r="M50" s="441"/>
      <c r="N50" s="441"/>
      <c r="O50" s="441"/>
      <c r="P50" s="441"/>
      <c r="Q50" s="441"/>
      <c r="R50" s="441"/>
      <c r="S50" s="441"/>
      <c r="T50" s="441"/>
      <c r="U50" s="441"/>
      <c r="V50" s="441"/>
    </row>
    <row r="51" spans="1:22" ht="15.75" x14ac:dyDescent="0.25">
      <c r="A51" s="518">
        <v>2</v>
      </c>
      <c r="B51" s="519">
        <v>-35</v>
      </c>
      <c r="C51" s="520">
        <f ca="1">ROUND('Device Resistance Tables'!P21,0)</f>
        <v>6824</v>
      </c>
      <c r="D51" s="523"/>
      <c r="E51" s="522" t="s">
        <v>402</v>
      </c>
      <c r="F51" s="523"/>
      <c r="G51" s="441"/>
      <c r="H51" s="441"/>
      <c r="I51" s="441"/>
      <c r="J51" s="441"/>
      <c r="K51" s="441"/>
      <c r="L51" s="441"/>
      <c r="M51" s="441"/>
      <c r="N51" s="441"/>
      <c r="O51" s="441"/>
      <c r="P51" s="441"/>
      <c r="Q51" s="441"/>
      <c r="R51" s="441"/>
      <c r="S51" s="441"/>
      <c r="T51" s="441"/>
      <c r="U51" s="441"/>
      <c r="V51" s="441"/>
    </row>
    <row r="52" spans="1:22" ht="15.75" x14ac:dyDescent="0.25">
      <c r="A52" s="518">
        <v>3</v>
      </c>
      <c r="B52" s="519">
        <v>-30</v>
      </c>
      <c r="C52" s="520">
        <f ca="1">ROUND('Device Resistance Tables'!P22,0)</f>
        <v>7052</v>
      </c>
      <c r="D52" s="523"/>
      <c r="E52" s="522"/>
      <c r="F52" s="523"/>
      <c r="G52" s="441"/>
      <c r="H52" s="441"/>
      <c r="I52" s="441"/>
      <c r="J52" s="441"/>
      <c r="K52" s="441"/>
      <c r="L52" s="441"/>
      <c r="M52" s="441"/>
      <c r="N52" s="441"/>
      <c r="O52" s="441"/>
      <c r="P52" s="441"/>
      <c r="Q52" s="441"/>
      <c r="R52" s="441"/>
      <c r="S52" s="441"/>
      <c r="T52" s="441"/>
      <c r="U52" s="441"/>
      <c r="V52" s="441"/>
    </row>
    <row r="53" spans="1:22" ht="15.75" x14ac:dyDescent="0.25">
      <c r="A53" s="518">
        <v>4</v>
      </c>
      <c r="B53" s="519">
        <v>-25</v>
      </c>
      <c r="C53" s="520">
        <f ca="1">ROUND('Device Resistance Tables'!P23,0)</f>
        <v>7287</v>
      </c>
      <c r="D53" s="523"/>
      <c r="E53" s="522"/>
      <c r="F53" s="523"/>
      <c r="G53" s="441"/>
      <c r="H53" s="441"/>
      <c r="I53" s="441"/>
      <c r="J53" s="441"/>
      <c r="K53" s="441"/>
      <c r="L53" s="441"/>
      <c r="M53" s="441"/>
      <c r="N53" s="441"/>
      <c r="O53" s="441"/>
      <c r="P53" s="441"/>
      <c r="Q53" s="441"/>
      <c r="R53" s="441"/>
      <c r="S53" s="441"/>
      <c r="T53" s="441"/>
      <c r="U53" s="441"/>
      <c r="V53" s="441"/>
    </row>
    <row r="54" spans="1:22" ht="15.75" x14ac:dyDescent="0.25">
      <c r="A54" s="518">
        <v>5</v>
      </c>
      <c r="B54" s="519">
        <v>-20</v>
      </c>
      <c r="C54" s="520">
        <f ca="1">ROUND('Device Resistance Tables'!P24,0)</f>
        <v>7530</v>
      </c>
      <c r="D54" s="523"/>
      <c r="E54" s="522"/>
      <c r="F54" s="523"/>
      <c r="G54" s="441"/>
      <c r="H54" s="441"/>
      <c r="I54" s="441"/>
      <c r="J54" s="441"/>
      <c r="K54" s="441"/>
      <c r="L54" s="441"/>
      <c r="M54" s="441"/>
      <c r="N54" s="441"/>
      <c r="O54" s="441"/>
      <c r="P54" s="441"/>
      <c r="Q54" s="441"/>
      <c r="R54" s="441"/>
      <c r="S54" s="441"/>
      <c r="T54" s="441"/>
      <c r="U54" s="441"/>
      <c r="V54" s="441"/>
    </row>
    <row r="55" spans="1:22" ht="15.75" x14ac:dyDescent="0.25">
      <c r="A55" s="518">
        <v>6</v>
      </c>
      <c r="B55" s="519">
        <v>-15</v>
      </c>
      <c r="C55" s="520">
        <f ca="1">ROUND('Device Resistance Tables'!P25,0)</f>
        <v>7780</v>
      </c>
      <c r="D55" s="523"/>
      <c r="E55" s="522"/>
      <c r="F55" s="523"/>
      <c r="G55" s="441"/>
      <c r="H55" s="441"/>
      <c r="I55" s="441"/>
      <c r="J55" s="441"/>
      <c r="K55" s="441"/>
      <c r="L55" s="441"/>
      <c r="M55" s="441"/>
      <c r="N55" s="441"/>
      <c r="O55" s="441"/>
      <c r="P55" s="441"/>
      <c r="Q55" s="441"/>
      <c r="R55" s="441"/>
      <c r="S55" s="441"/>
      <c r="T55" s="441"/>
      <c r="U55" s="441"/>
      <c r="V55" s="441"/>
    </row>
    <row r="56" spans="1:22" ht="15.75" x14ac:dyDescent="0.25">
      <c r="A56" s="518">
        <v>7</v>
      </c>
      <c r="B56" s="519">
        <v>-10</v>
      </c>
      <c r="C56" s="520">
        <f ca="1">ROUND('Device Resistance Tables'!P26,0)</f>
        <v>8039</v>
      </c>
      <c r="D56" s="523"/>
      <c r="E56" s="522"/>
      <c r="F56" s="523"/>
      <c r="G56" s="441"/>
      <c r="H56" s="441"/>
      <c r="I56" s="441"/>
      <c r="J56" s="441"/>
      <c r="K56" s="441"/>
      <c r="L56" s="441"/>
      <c r="M56" s="441"/>
      <c r="N56" s="441"/>
      <c r="O56" s="441"/>
      <c r="P56" s="441"/>
      <c r="Q56" s="441"/>
      <c r="R56" s="441"/>
      <c r="S56" s="441"/>
      <c r="T56" s="441"/>
      <c r="U56" s="441"/>
      <c r="V56" s="441"/>
    </row>
    <row r="57" spans="1:22" ht="15.75" x14ac:dyDescent="0.25">
      <c r="A57" s="518">
        <v>8</v>
      </c>
      <c r="B57" s="519">
        <v>-5</v>
      </c>
      <c r="C57" s="520">
        <f ca="1">ROUND('Device Resistance Tables'!P27,0)</f>
        <v>8304</v>
      </c>
      <c r="D57" s="523"/>
      <c r="E57" s="522"/>
      <c r="F57" s="523"/>
      <c r="G57" s="441"/>
      <c r="H57" s="441"/>
      <c r="I57" s="441"/>
      <c r="J57" s="441"/>
      <c r="K57" s="441"/>
      <c r="L57" s="441"/>
      <c r="M57" s="441"/>
      <c r="N57" s="441"/>
      <c r="O57" s="441"/>
      <c r="P57" s="441"/>
      <c r="Q57" s="441"/>
      <c r="R57" s="441"/>
      <c r="S57" s="441"/>
      <c r="T57" s="441"/>
      <c r="U57" s="441"/>
      <c r="V57" s="441"/>
    </row>
    <row r="58" spans="1:22" ht="15.75" x14ac:dyDescent="0.25">
      <c r="A58" s="518">
        <v>9</v>
      </c>
      <c r="B58" s="519">
        <v>0.01</v>
      </c>
      <c r="C58" s="520">
        <f ca="1">ROUND('Device Resistance Tables'!P28,0)</f>
        <v>8578</v>
      </c>
      <c r="D58" s="523"/>
      <c r="E58" s="522"/>
      <c r="F58" s="523"/>
      <c r="G58" s="441"/>
      <c r="H58" s="441"/>
      <c r="I58" s="441"/>
      <c r="J58" s="441"/>
      <c r="K58" s="441"/>
      <c r="L58" s="441"/>
      <c r="M58" s="441"/>
      <c r="N58" s="441"/>
      <c r="O58" s="441"/>
      <c r="P58" s="441"/>
      <c r="Q58" s="441"/>
      <c r="R58" s="441"/>
      <c r="S58" s="441"/>
      <c r="T58" s="441"/>
      <c r="U58" s="441"/>
      <c r="V58" s="441"/>
    </row>
    <row r="59" spans="1:22" ht="15.75" x14ac:dyDescent="0.25">
      <c r="A59" s="518">
        <v>10</v>
      </c>
      <c r="B59" s="519">
        <v>5</v>
      </c>
      <c r="C59" s="520">
        <f ca="1">ROUND('Device Resistance Tables'!P29,0)</f>
        <v>8858</v>
      </c>
      <c r="D59" s="523"/>
      <c r="E59" s="522"/>
      <c r="F59" s="523"/>
      <c r="G59" s="441"/>
      <c r="H59" s="441"/>
      <c r="I59" s="441"/>
      <c r="J59" s="441"/>
      <c r="K59" s="441"/>
      <c r="L59" s="441"/>
      <c r="M59" s="441"/>
      <c r="N59" s="441"/>
      <c r="O59" s="441"/>
      <c r="P59" s="441"/>
      <c r="Q59" s="441"/>
      <c r="R59" s="441"/>
      <c r="S59" s="441"/>
      <c r="T59" s="441"/>
      <c r="U59" s="441"/>
      <c r="V59" s="441"/>
    </row>
    <row r="60" spans="1:22" ht="15.75" x14ac:dyDescent="0.25">
      <c r="A60" s="518">
        <v>11</v>
      </c>
      <c r="B60" s="519">
        <v>10</v>
      </c>
      <c r="C60" s="520">
        <f ca="1">ROUND('Device Resistance Tables'!P30,0)</f>
        <v>9147</v>
      </c>
      <c r="D60" s="523"/>
      <c r="E60" s="522"/>
      <c r="F60" s="523"/>
      <c r="G60" s="441"/>
      <c r="H60" s="441"/>
      <c r="I60" s="441"/>
      <c r="J60" s="441"/>
      <c r="K60" s="441"/>
      <c r="L60" s="441"/>
      <c r="M60" s="441"/>
      <c r="N60" s="441"/>
      <c r="O60" s="441"/>
      <c r="P60" s="441"/>
      <c r="Q60" s="441"/>
      <c r="R60" s="441"/>
      <c r="S60" s="441"/>
      <c r="T60" s="441"/>
      <c r="U60" s="441"/>
      <c r="V60" s="441"/>
    </row>
    <row r="61" spans="1:22" ht="15.75" x14ac:dyDescent="0.25">
      <c r="A61" s="518">
        <v>12</v>
      </c>
      <c r="B61" s="519">
        <v>15</v>
      </c>
      <c r="C61" s="520">
        <f ca="1">ROUND('Device Resistance Tables'!P31,0)</f>
        <v>9444</v>
      </c>
      <c r="D61" s="523"/>
      <c r="E61" s="522"/>
      <c r="F61" s="523"/>
      <c r="G61" s="441"/>
      <c r="H61" s="441"/>
      <c r="I61" s="441"/>
      <c r="J61" s="441"/>
      <c r="K61" s="441"/>
      <c r="L61" s="441"/>
      <c r="M61" s="441"/>
      <c r="N61" s="441"/>
      <c r="O61" s="441"/>
      <c r="P61" s="441"/>
      <c r="Q61" s="441"/>
      <c r="R61" s="441"/>
      <c r="S61" s="441"/>
      <c r="T61" s="441"/>
      <c r="U61" s="441"/>
      <c r="V61" s="441"/>
    </row>
    <row r="62" spans="1:22" ht="15.75" x14ac:dyDescent="0.25">
      <c r="A62" s="518">
        <v>13</v>
      </c>
      <c r="B62" s="519">
        <v>20</v>
      </c>
      <c r="C62" s="520">
        <f ca="1">ROUND('Device Resistance Tables'!P32,0)</f>
        <v>9748</v>
      </c>
      <c r="D62" s="523"/>
      <c r="E62" s="522"/>
      <c r="F62" s="523"/>
      <c r="G62" s="441"/>
      <c r="H62" s="441"/>
      <c r="I62" s="441"/>
      <c r="J62" s="441"/>
      <c r="K62" s="441"/>
      <c r="L62" s="441"/>
      <c r="M62" s="441"/>
      <c r="N62" s="441"/>
      <c r="O62" s="441"/>
      <c r="P62" s="441"/>
      <c r="Q62" s="441"/>
      <c r="R62" s="441"/>
      <c r="S62" s="441"/>
      <c r="T62" s="441"/>
      <c r="U62" s="441"/>
      <c r="V62" s="441"/>
    </row>
    <row r="63" spans="1:22" ht="15.75" x14ac:dyDescent="0.25">
      <c r="A63" s="518">
        <v>14</v>
      </c>
      <c r="B63" s="524">
        <v>25</v>
      </c>
      <c r="C63" s="520">
        <f ca="1">ROUND('Device Resistance Tables'!P33,0)</f>
        <v>10060</v>
      </c>
      <c r="D63" s="523"/>
      <c r="E63" s="522"/>
      <c r="F63" s="523"/>
      <c r="G63" s="493"/>
      <c r="H63" s="441"/>
      <c r="I63" s="441"/>
      <c r="J63" s="441"/>
      <c r="K63" s="441"/>
      <c r="L63" s="441"/>
      <c r="M63" s="441"/>
      <c r="N63" s="441"/>
      <c r="O63" s="441"/>
      <c r="P63" s="441"/>
      <c r="Q63" s="441"/>
      <c r="R63" s="441"/>
      <c r="S63" s="441"/>
      <c r="T63" s="441"/>
      <c r="U63" s="441"/>
      <c r="V63" s="441"/>
    </row>
    <row r="64" spans="1:22" ht="15.75" x14ac:dyDescent="0.25">
      <c r="A64" s="518">
        <v>15</v>
      </c>
      <c r="B64" s="519">
        <v>30</v>
      </c>
      <c r="C64" s="520">
        <f ca="1">ROUND('Device Resistance Tables'!P34,0)</f>
        <v>10380</v>
      </c>
      <c r="D64" s="523"/>
      <c r="E64" s="522"/>
      <c r="F64" s="523"/>
      <c r="G64" s="441"/>
      <c r="H64" s="441"/>
      <c r="I64" s="441"/>
      <c r="J64" s="441"/>
      <c r="K64" s="441"/>
      <c r="L64" s="441"/>
      <c r="M64" s="441"/>
      <c r="N64" s="441"/>
      <c r="O64" s="441"/>
      <c r="P64" s="441"/>
      <c r="Q64" s="441"/>
      <c r="R64" s="441"/>
      <c r="S64" s="441"/>
      <c r="T64" s="441"/>
      <c r="U64" s="441"/>
      <c r="V64" s="441"/>
    </row>
    <row r="65" spans="1:22" ht="15.75" x14ac:dyDescent="0.25">
      <c r="A65" s="518">
        <v>16</v>
      </c>
      <c r="B65" s="519">
        <v>35</v>
      </c>
      <c r="C65" s="520">
        <f ca="1">ROUND('Device Resistance Tables'!P35,0)</f>
        <v>10708</v>
      </c>
      <c r="D65" s="523"/>
      <c r="E65" s="522"/>
      <c r="F65" s="523"/>
      <c r="G65" s="441"/>
      <c r="H65" s="441"/>
      <c r="I65" s="441"/>
      <c r="J65" s="441"/>
      <c r="K65" s="441"/>
      <c r="L65" s="441"/>
      <c r="M65" s="441"/>
      <c r="N65" s="441"/>
      <c r="O65" s="441"/>
      <c r="P65" s="441"/>
      <c r="Q65" s="441"/>
      <c r="R65" s="441"/>
      <c r="S65" s="441"/>
      <c r="T65" s="441"/>
      <c r="U65" s="441"/>
      <c r="V65" s="441"/>
    </row>
    <row r="66" spans="1:22" ht="15.75" x14ac:dyDescent="0.25">
      <c r="A66" s="518">
        <v>17</v>
      </c>
      <c r="B66" s="519">
        <v>40</v>
      </c>
      <c r="C66" s="520">
        <f ca="1">ROUND('Device Resistance Tables'!P36,0)</f>
        <v>11044</v>
      </c>
      <c r="D66" s="523"/>
      <c r="E66" s="522"/>
      <c r="F66" s="523"/>
      <c r="G66" s="441"/>
      <c r="H66" s="441"/>
      <c r="I66" s="441"/>
      <c r="J66" s="441"/>
      <c r="K66" s="441"/>
      <c r="L66" s="441"/>
      <c r="M66" s="441"/>
      <c r="N66" s="441"/>
      <c r="O66" s="441"/>
      <c r="P66" s="441"/>
      <c r="Q66" s="441"/>
      <c r="R66" s="441"/>
      <c r="S66" s="441"/>
      <c r="T66" s="441"/>
      <c r="U66" s="441"/>
      <c r="V66" s="441"/>
    </row>
    <row r="67" spans="1:22" ht="15.75" x14ac:dyDescent="0.25">
      <c r="A67" s="518">
        <v>18</v>
      </c>
      <c r="B67" s="519">
        <v>45</v>
      </c>
      <c r="C67" s="520">
        <f ca="1">ROUND('Device Resistance Tables'!P37,0)</f>
        <v>11388</v>
      </c>
      <c r="D67" s="523"/>
      <c r="E67" s="522"/>
      <c r="F67" s="523"/>
      <c r="G67" s="441"/>
      <c r="H67" s="441"/>
      <c r="I67" s="441"/>
      <c r="J67" s="441"/>
      <c r="K67" s="441"/>
      <c r="L67" s="441"/>
      <c r="M67" s="441"/>
      <c r="N67" s="441"/>
      <c r="O67" s="441"/>
      <c r="P67" s="441"/>
      <c r="Q67" s="441"/>
      <c r="R67" s="441"/>
      <c r="S67" s="441"/>
      <c r="T67" s="441"/>
      <c r="U67" s="441"/>
      <c r="V67" s="441"/>
    </row>
    <row r="68" spans="1:22" ht="15.75" x14ac:dyDescent="0.25">
      <c r="A68" s="518">
        <v>19</v>
      </c>
      <c r="B68" s="519">
        <v>50</v>
      </c>
      <c r="C68" s="520">
        <f ca="1">ROUND('Device Resistance Tables'!P38,0)</f>
        <v>11740</v>
      </c>
      <c r="D68" s="523"/>
      <c r="E68" s="522"/>
      <c r="F68" s="523"/>
      <c r="G68" s="441"/>
      <c r="H68" s="441"/>
      <c r="I68" s="441"/>
      <c r="J68" s="441"/>
      <c r="K68" s="441"/>
      <c r="L68" s="441"/>
      <c r="M68" s="441"/>
      <c r="N68" s="441"/>
      <c r="O68" s="441"/>
      <c r="P68" s="441"/>
      <c r="Q68" s="441"/>
      <c r="R68" s="441"/>
      <c r="S68" s="441"/>
      <c r="T68" s="441"/>
      <c r="U68" s="441"/>
      <c r="V68" s="441"/>
    </row>
    <row r="69" spans="1:22" ht="15.75" x14ac:dyDescent="0.25">
      <c r="A69" s="518">
        <v>20</v>
      </c>
      <c r="B69" s="519">
        <v>55</v>
      </c>
      <c r="C69" s="520">
        <f ca="1">ROUND('Device Resistance Tables'!P39,0)</f>
        <v>12100</v>
      </c>
      <c r="D69" s="523"/>
      <c r="E69" s="522"/>
      <c r="F69" s="523"/>
      <c r="G69" s="441"/>
      <c r="H69" s="441"/>
      <c r="I69" s="441"/>
      <c r="J69" s="441"/>
      <c r="K69" s="441"/>
      <c r="L69" s="441"/>
      <c r="M69" s="441"/>
      <c r="N69" s="441"/>
      <c r="O69" s="441"/>
      <c r="P69" s="441"/>
      <c r="Q69" s="441"/>
      <c r="R69" s="441"/>
      <c r="S69" s="441"/>
      <c r="T69" s="441"/>
      <c r="U69" s="441"/>
      <c r="V69" s="441"/>
    </row>
    <row r="70" spans="1:22" ht="15.75" x14ac:dyDescent="0.25">
      <c r="A70" s="518">
        <v>21</v>
      </c>
      <c r="B70" s="519">
        <v>60</v>
      </c>
      <c r="C70" s="520">
        <f ca="1">ROUND('Device Resistance Tables'!P40,0)</f>
        <v>12469</v>
      </c>
      <c r="D70" s="523"/>
      <c r="E70" s="522"/>
      <c r="F70" s="523"/>
      <c r="G70" s="441"/>
      <c r="H70" s="441"/>
      <c r="I70" s="441"/>
      <c r="J70" s="441"/>
      <c r="K70" s="441"/>
      <c r="L70" s="441"/>
      <c r="M70" s="441"/>
      <c r="N70" s="441"/>
      <c r="O70" s="441"/>
      <c r="P70" s="441"/>
      <c r="Q70" s="441"/>
      <c r="R70" s="441"/>
      <c r="S70" s="441"/>
      <c r="T70" s="441"/>
      <c r="U70" s="441"/>
      <c r="V70" s="441"/>
    </row>
    <row r="71" spans="1:22" ht="15.75" x14ac:dyDescent="0.25">
      <c r="A71" s="518">
        <v>22</v>
      </c>
      <c r="B71" s="519">
        <v>65</v>
      </c>
      <c r="C71" s="520">
        <f ca="1">ROUND('Device Resistance Tables'!P41,0)</f>
        <v>12847</v>
      </c>
      <c r="D71" s="523"/>
      <c r="E71" s="522"/>
      <c r="F71" s="523"/>
      <c r="G71" s="441"/>
      <c r="H71" s="441"/>
      <c r="I71" s="441"/>
      <c r="J71" s="441"/>
      <c r="K71" s="441"/>
      <c r="L71" s="441"/>
      <c r="M71" s="441"/>
      <c r="N71" s="441"/>
      <c r="O71" s="441"/>
      <c r="P71" s="441"/>
      <c r="Q71" s="441"/>
      <c r="R71" s="441"/>
      <c r="S71" s="441"/>
      <c r="T71" s="441"/>
      <c r="U71" s="441"/>
      <c r="V71" s="441"/>
    </row>
    <row r="72" spans="1:22" ht="15.75" x14ac:dyDescent="0.25">
      <c r="A72" s="518">
        <v>23</v>
      </c>
      <c r="B72" s="519">
        <v>70</v>
      </c>
      <c r="C72" s="520">
        <f ca="1">ROUND('Device Resistance Tables'!P42,0)</f>
        <v>13233</v>
      </c>
      <c r="D72" s="523"/>
      <c r="E72" s="522"/>
      <c r="F72" s="523"/>
      <c r="G72" s="441"/>
      <c r="H72" s="441"/>
      <c r="I72" s="441"/>
      <c r="J72" s="441"/>
      <c r="K72" s="441"/>
      <c r="L72" s="441"/>
      <c r="M72" s="441"/>
      <c r="N72" s="441"/>
      <c r="O72" s="441"/>
      <c r="P72" s="441"/>
      <c r="Q72" s="441"/>
      <c r="R72" s="441"/>
      <c r="S72" s="441"/>
      <c r="T72" s="441"/>
      <c r="U72" s="441"/>
      <c r="V72" s="441"/>
    </row>
    <row r="73" spans="1:22" ht="15.75" x14ac:dyDescent="0.25">
      <c r="A73" s="518">
        <v>24</v>
      </c>
      <c r="B73" s="519">
        <v>75</v>
      </c>
      <c r="C73" s="520">
        <f ca="1">ROUND('Device Resistance Tables'!P43,0)</f>
        <v>13628</v>
      </c>
      <c r="D73" s="523"/>
      <c r="E73" s="522"/>
      <c r="F73" s="523"/>
      <c r="G73" s="441"/>
      <c r="H73" s="441"/>
      <c r="I73" s="441"/>
      <c r="J73" s="441"/>
      <c r="K73" s="441"/>
      <c r="L73" s="441"/>
      <c r="M73" s="441"/>
      <c r="N73" s="441"/>
      <c r="O73" s="441"/>
      <c r="P73" s="441"/>
      <c r="Q73" s="441"/>
      <c r="R73" s="441"/>
      <c r="S73" s="441"/>
      <c r="T73" s="441"/>
      <c r="U73" s="441"/>
      <c r="V73" s="441"/>
    </row>
    <row r="74" spans="1:22" ht="15.75" x14ac:dyDescent="0.25">
      <c r="A74" s="518">
        <v>25</v>
      </c>
      <c r="B74" s="519">
        <v>80</v>
      </c>
      <c r="C74" s="520">
        <f ca="1">ROUND('Device Resistance Tables'!P44,0)</f>
        <v>14031</v>
      </c>
      <c r="D74" s="523"/>
      <c r="E74" s="522"/>
      <c r="F74" s="523"/>
      <c r="G74" s="441"/>
      <c r="H74" s="441"/>
      <c r="I74" s="441"/>
      <c r="J74" s="441"/>
      <c r="K74" s="441"/>
      <c r="L74" s="441"/>
      <c r="M74" s="441"/>
      <c r="N74" s="441"/>
      <c r="O74" s="441"/>
      <c r="P74" s="441"/>
      <c r="Q74" s="441"/>
      <c r="R74" s="441"/>
      <c r="S74" s="441"/>
      <c r="T74" s="441"/>
      <c r="U74" s="441"/>
      <c r="V74" s="441"/>
    </row>
    <row r="75" spans="1:22" ht="15.75" x14ac:dyDescent="0.25">
      <c r="A75" s="518">
        <v>26</v>
      </c>
      <c r="B75" s="519">
        <v>85</v>
      </c>
      <c r="C75" s="520">
        <f ca="1">ROUND('Device Resistance Tables'!P45,0)</f>
        <v>14444</v>
      </c>
      <c r="D75" s="523"/>
      <c r="E75" s="522"/>
      <c r="F75" s="523"/>
      <c r="G75" s="441"/>
      <c r="H75" s="441"/>
      <c r="I75" s="441"/>
      <c r="J75" s="441"/>
      <c r="K75" s="441"/>
      <c r="L75" s="441"/>
      <c r="M75" s="441"/>
      <c r="N75" s="441"/>
      <c r="O75" s="441"/>
      <c r="P75" s="441"/>
      <c r="Q75" s="441"/>
      <c r="R75" s="441"/>
      <c r="S75" s="441"/>
      <c r="T75" s="441"/>
      <c r="U75" s="441"/>
      <c r="V75" s="441"/>
    </row>
    <row r="76" spans="1:22" ht="15.75" x14ac:dyDescent="0.25">
      <c r="A76" s="518">
        <v>27</v>
      </c>
      <c r="B76" s="519">
        <v>90</v>
      </c>
      <c r="C76" s="520">
        <f ca="1">ROUND('Device Resistance Tables'!P46,0)</f>
        <v>14865</v>
      </c>
      <c r="D76" s="523"/>
      <c r="E76" s="522"/>
      <c r="F76" s="523"/>
      <c r="G76" s="441"/>
      <c r="H76" s="441"/>
      <c r="I76" s="441"/>
      <c r="J76" s="441"/>
      <c r="K76" s="441"/>
      <c r="L76" s="441"/>
      <c r="M76" s="441"/>
      <c r="N76" s="441"/>
      <c r="O76" s="441"/>
      <c r="P76" s="441"/>
      <c r="Q76" s="441"/>
      <c r="R76" s="441"/>
      <c r="S76" s="441"/>
      <c r="T76" s="441"/>
      <c r="U76" s="441"/>
      <c r="V76" s="441"/>
    </row>
    <row r="77" spans="1:22" ht="15.75" x14ac:dyDescent="0.25">
      <c r="A77" s="518">
        <v>28</v>
      </c>
      <c r="B77" s="519">
        <v>95</v>
      </c>
      <c r="C77" s="520">
        <f ca="1">ROUND('Device Resistance Tables'!P47,0)</f>
        <v>15296</v>
      </c>
      <c r="D77" s="523"/>
      <c r="E77" s="522"/>
      <c r="F77" s="523"/>
      <c r="G77" s="441"/>
      <c r="H77" s="441"/>
      <c r="I77" s="441"/>
      <c r="J77" s="441"/>
      <c r="K77" s="441"/>
      <c r="L77" s="441"/>
      <c r="M77" s="441"/>
      <c r="N77" s="441"/>
      <c r="O77" s="441"/>
      <c r="P77" s="441"/>
      <c r="Q77" s="441"/>
      <c r="R77" s="441"/>
      <c r="S77" s="441"/>
      <c r="T77" s="441"/>
      <c r="U77" s="441"/>
      <c r="V77" s="441"/>
    </row>
    <row r="78" spans="1:22" ht="15.75" x14ac:dyDescent="0.25">
      <c r="A78" s="518">
        <v>29</v>
      </c>
      <c r="B78" s="519">
        <v>100</v>
      </c>
      <c r="C78" s="520">
        <f ca="1">ROUND('Device Resistance Tables'!P48,0)</f>
        <v>15736</v>
      </c>
      <c r="D78" s="523"/>
      <c r="E78" s="522"/>
      <c r="F78" s="523"/>
      <c r="G78" s="441"/>
      <c r="H78" s="441"/>
      <c r="I78" s="441"/>
      <c r="J78" s="441"/>
      <c r="K78" s="441"/>
      <c r="L78" s="441"/>
      <c r="M78" s="441"/>
      <c r="N78" s="441"/>
      <c r="O78" s="441"/>
      <c r="P78" s="441"/>
      <c r="Q78" s="441"/>
      <c r="R78" s="441"/>
      <c r="S78" s="441"/>
      <c r="T78" s="441"/>
      <c r="U78" s="441"/>
      <c r="V78" s="441"/>
    </row>
    <row r="79" spans="1:22" ht="15.75" x14ac:dyDescent="0.25">
      <c r="A79" s="518">
        <v>30</v>
      </c>
      <c r="B79" s="519">
        <v>105</v>
      </c>
      <c r="C79" s="520">
        <f ca="1">ROUND('Device Resistance Tables'!P49,0)</f>
        <v>16185</v>
      </c>
      <c r="D79" s="523"/>
      <c r="E79" s="522"/>
      <c r="F79" s="523"/>
      <c r="G79" s="441"/>
      <c r="H79" s="441"/>
      <c r="I79" s="441"/>
      <c r="J79" s="441"/>
      <c r="K79" s="441"/>
      <c r="L79" s="441"/>
      <c r="M79" s="441"/>
      <c r="N79" s="441"/>
      <c r="O79" s="441"/>
      <c r="P79" s="441"/>
      <c r="Q79" s="441"/>
      <c r="R79" s="441"/>
      <c r="S79" s="441"/>
      <c r="T79" s="441"/>
      <c r="U79" s="441"/>
      <c r="V79" s="441"/>
    </row>
    <row r="80" spans="1:22" ht="15.75" x14ac:dyDescent="0.25">
      <c r="A80" s="518">
        <v>31</v>
      </c>
      <c r="B80" s="519">
        <v>110</v>
      </c>
      <c r="C80" s="520">
        <f ca="1">ROUND('Device Resistance Tables'!P50,0)</f>
        <v>16644</v>
      </c>
      <c r="D80" s="523"/>
      <c r="E80" s="522"/>
      <c r="F80" s="523"/>
      <c r="G80" s="441"/>
      <c r="H80" s="441"/>
      <c r="I80" s="441"/>
      <c r="J80" s="441"/>
      <c r="K80" s="441"/>
      <c r="L80" s="441"/>
      <c r="M80" s="441"/>
      <c r="N80" s="441"/>
      <c r="O80" s="441"/>
      <c r="P80" s="441"/>
      <c r="Q80" s="441"/>
      <c r="R80" s="441"/>
      <c r="S80" s="441"/>
      <c r="T80" s="441"/>
      <c r="U80" s="441"/>
      <c r="V80" s="441"/>
    </row>
    <row r="81" spans="1:22" ht="15.75" x14ac:dyDescent="0.25">
      <c r="A81" s="518">
        <v>32</v>
      </c>
      <c r="B81" s="519">
        <v>115</v>
      </c>
      <c r="C81" s="520">
        <f ca="1">ROUND('Device Resistance Tables'!P51,0)</f>
        <v>17113</v>
      </c>
      <c r="D81" s="523"/>
      <c r="E81" s="522"/>
      <c r="F81" s="523"/>
      <c r="G81" s="441"/>
      <c r="H81" s="441"/>
      <c r="I81" s="441"/>
      <c r="J81" s="441"/>
      <c r="K81" s="441"/>
      <c r="L81" s="441"/>
      <c r="M81" s="441"/>
      <c r="N81" s="441"/>
      <c r="O81" s="441"/>
      <c r="P81" s="441"/>
      <c r="Q81" s="441"/>
      <c r="R81" s="441"/>
      <c r="S81" s="441"/>
      <c r="T81" s="441"/>
      <c r="U81" s="441"/>
      <c r="V81" s="441"/>
    </row>
    <row r="82" spans="1:22" ht="15.75" x14ac:dyDescent="0.25">
      <c r="A82" s="518">
        <v>33</v>
      </c>
      <c r="B82" s="519">
        <v>120</v>
      </c>
      <c r="C82" s="520">
        <f ca="1">ROUND('Device Resistance Tables'!P52,0)</f>
        <v>17592</v>
      </c>
      <c r="D82" s="525"/>
      <c r="E82" s="522"/>
      <c r="F82" s="523"/>
      <c r="G82" s="441"/>
      <c r="H82" s="441"/>
      <c r="I82" s="441"/>
      <c r="J82" s="441"/>
      <c r="K82" s="441"/>
      <c r="L82" s="441"/>
      <c r="M82" s="441"/>
      <c r="N82" s="441"/>
      <c r="O82" s="441"/>
      <c r="P82" s="441"/>
      <c r="Q82" s="441"/>
      <c r="R82" s="441"/>
      <c r="S82" s="441"/>
      <c r="T82" s="441"/>
      <c r="U82" s="441"/>
      <c r="V82" s="441"/>
    </row>
    <row r="83" spans="1:22" ht="15.75" x14ac:dyDescent="0.25">
      <c r="A83" s="518">
        <v>34</v>
      </c>
      <c r="B83" s="519">
        <v>125</v>
      </c>
      <c r="C83" s="520">
        <f ca="1">ROUND('Device Resistance Tables'!P53,0)+0.00001</f>
        <v>18081.00001</v>
      </c>
      <c r="D83" s="523"/>
      <c r="E83" s="522"/>
      <c r="F83" s="523"/>
      <c r="G83" s="441"/>
      <c r="H83" s="441"/>
      <c r="I83" s="441"/>
      <c r="J83" s="441"/>
      <c r="K83" s="441"/>
      <c r="L83" s="441"/>
      <c r="M83" s="441"/>
      <c r="N83" s="441"/>
      <c r="O83" s="441"/>
      <c r="P83" s="441"/>
      <c r="Q83" s="441"/>
      <c r="R83" s="441"/>
      <c r="S83" s="441"/>
      <c r="T83" s="441"/>
      <c r="U83" s="441"/>
      <c r="V83" s="441"/>
    </row>
    <row r="84" spans="1:22" s="225" customFormat="1" ht="15.75" x14ac:dyDescent="0.25">
      <c r="A84" s="518">
        <v>35</v>
      </c>
      <c r="B84" s="519">
        <v>130</v>
      </c>
      <c r="C84" s="520" t="str">
        <f ca="1">IFERROR(ROUND('Device Resistance Tables'!P54,0)," ")</f>
        <v xml:space="preserve"> </v>
      </c>
      <c r="D84" s="523"/>
      <c r="E84" s="522"/>
      <c r="F84" s="523"/>
      <c r="G84" s="441"/>
      <c r="H84" s="441"/>
      <c r="I84" s="441"/>
      <c r="J84" s="441"/>
      <c r="K84" s="441"/>
      <c r="L84" s="441"/>
      <c r="M84" s="441"/>
      <c r="N84" s="441"/>
      <c r="O84" s="441"/>
      <c r="P84" s="441"/>
      <c r="Q84" s="441"/>
      <c r="R84" s="441"/>
      <c r="S84" s="441"/>
      <c r="T84" s="441"/>
      <c r="U84" s="441"/>
      <c r="V84" s="441"/>
    </row>
    <row r="85" spans="1:22" s="225" customFormat="1" ht="15.75" x14ac:dyDescent="0.25">
      <c r="A85" s="518">
        <v>36</v>
      </c>
      <c r="B85" s="519">
        <v>135</v>
      </c>
      <c r="C85" s="520" t="str">
        <f ca="1">IFERROR(ROUND('Device Resistance Tables'!P55,0)," ")</f>
        <v xml:space="preserve"> </v>
      </c>
      <c r="D85" s="523"/>
      <c r="E85" s="522"/>
      <c r="F85" s="523"/>
      <c r="G85" s="441"/>
      <c r="H85" s="441"/>
      <c r="I85" s="441"/>
      <c r="J85" s="441"/>
      <c r="K85" s="441"/>
      <c r="L85" s="441"/>
      <c r="M85" s="441"/>
      <c r="N85" s="441"/>
      <c r="O85" s="441"/>
      <c r="P85" s="441"/>
      <c r="Q85" s="441"/>
      <c r="R85" s="441"/>
      <c r="S85" s="441"/>
      <c r="T85" s="441"/>
      <c r="U85" s="441"/>
      <c r="V85" s="441"/>
    </row>
    <row r="86" spans="1:22" s="225" customFormat="1" ht="15.75" x14ac:dyDescent="0.25">
      <c r="A86" s="518">
        <v>37</v>
      </c>
      <c r="B86" s="519">
        <v>140</v>
      </c>
      <c r="C86" s="520" t="str">
        <f ca="1">IFERROR(ROUND('Device Resistance Tables'!P56,0)," ")</f>
        <v xml:space="preserve"> </v>
      </c>
      <c r="D86" s="523"/>
      <c r="E86" s="522"/>
      <c r="F86" s="523"/>
      <c r="G86" s="441"/>
      <c r="H86" s="441"/>
      <c r="I86" s="441"/>
      <c r="J86" s="441"/>
      <c r="K86" s="441"/>
      <c r="L86" s="441"/>
      <c r="M86" s="441"/>
      <c r="N86" s="441"/>
      <c r="O86" s="441"/>
      <c r="P86" s="441"/>
      <c r="Q86" s="441"/>
      <c r="R86" s="441"/>
      <c r="S86" s="441"/>
      <c r="T86" s="441"/>
      <c r="U86" s="441"/>
      <c r="V86" s="441"/>
    </row>
    <row r="87" spans="1:22" s="225" customFormat="1" ht="15.75" x14ac:dyDescent="0.25">
      <c r="A87" s="518">
        <v>38</v>
      </c>
      <c r="B87" s="519">
        <v>145</v>
      </c>
      <c r="C87" s="520" t="str">
        <f ca="1">IFERROR(ROUND('Device Resistance Tables'!P57,0)," ")</f>
        <v xml:space="preserve"> </v>
      </c>
      <c r="D87" s="523"/>
      <c r="E87" s="522"/>
      <c r="F87" s="523"/>
      <c r="G87" s="441"/>
      <c r="H87" s="441"/>
      <c r="I87" s="441"/>
      <c r="J87" s="441"/>
      <c r="K87" s="441"/>
      <c r="L87" s="441"/>
      <c r="M87" s="441"/>
      <c r="N87" s="441"/>
      <c r="O87" s="441"/>
      <c r="P87" s="441"/>
      <c r="Q87" s="441"/>
      <c r="R87" s="441"/>
      <c r="S87" s="441"/>
      <c r="T87" s="441"/>
      <c r="U87" s="441"/>
      <c r="V87" s="441"/>
    </row>
    <row r="88" spans="1:22" s="225" customFormat="1" ht="15.75" x14ac:dyDescent="0.25">
      <c r="A88" s="518">
        <v>39</v>
      </c>
      <c r="B88" s="519">
        <v>150</v>
      </c>
      <c r="C88" s="520" t="str">
        <f ca="1">IFERROR(ROUND('Device Resistance Tables'!P58,0)," ")</f>
        <v xml:space="preserve"> </v>
      </c>
      <c r="D88" s="523"/>
      <c r="E88" s="522"/>
      <c r="F88" s="523"/>
      <c r="G88" s="441"/>
      <c r="H88" s="441"/>
      <c r="I88" s="441"/>
      <c r="J88" s="441"/>
      <c r="K88" s="441"/>
      <c r="L88" s="441"/>
      <c r="M88" s="441"/>
      <c r="N88" s="441"/>
      <c r="O88" s="441"/>
      <c r="P88" s="441"/>
      <c r="Q88" s="441"/>
      <c r="R88" s="441"/>
      <c r="S88" s="441"/>
      <c r="T88" s="441"/>
      <c r="U88" s="441"/>
      <c r="V88" s="441"/>
    </row>
    <row r="89" spans="1:22" s="225" customFormat="1" ht="15.75" x14ac:dyDescent="0.25">
      <c r="A89" s="518">
        <v>40</v>
      </c>
      <c r="B89" s="519">
        <v>155</v>
      </c>
      <c r="C89" s="520" t="str">
        <f ca="1">IFERROR(ROUND('Device Resistance Tables'!P59,0)," ")</f>
        <v xml:space="preserve"> </v>
      </c>
      <c r="D89" s="523"/>
      <c r="E89" s="522"/>
      <c r="F89" s="523"/>
      <c r="G89" s="441"/>
      <c r="H89" s="441"/>
      <c r="I89" s="441"/>
      <c r="J89" s="441"/>
      <c r="K89" s="441"/>
      <c r="L89" s="441"/>
      <c r="M89" s="441"/>
      <c r="N89" s="441"/>
      <c r="O89" s="441"/>
      <c r="P89" s="441"/>
      <c r="Q89" s="441"/>
      <c r="R89" s="441"/>
      <c r="S89" s="441"/>
      <c r="T89" s="441"/>
      <c r="U89" s="441"/>
      <c r="V89" s="441"/>
    </row>
    <row r="90" spans="1:22" s="225" customFormat="1" ht="15.75" x14ac:dyDescent="0.25">
      <c r="A90" s="518">
        <v>41</v>
      </c>
      <c r="B90" s="519">
        <v>160</v>
      </c>
      <c r="C90" s="520" t="str">
        <f ca="1">IFERROR(ROUND('Device Resistance Tables'!P60,0)," ")</f>
        <v xml:space="preserve"> </v>
      </c>
      <c r="D90" s="523"/>
      <c r="E90" s="522"/>
      <c r="F90" s="523"/>
      <c r="G90" s="441"/>
      <c r="H90" s="441"/>
      <c r="I90" s="441"/>
      <c r="J90" s="441"/>
      <c r="K90" s="441"/>
      <c r="L90" s="441"/>
      <c r="M90" s="441"/>
      <c r="N90" s="441"/>
      <c r="O90" s="441"/>
      <c r="P90" s="441"/>
      <c r="Q90" s="441"/>
      <c r="R90" s="441"/>
      <c r="S90" s="441"/>
      <c r="T90" s="441"/>
      <c r="U90" s="441"/>
      <c r="V90" s="441"/>
    </row>
    <row r="91" spans="1:22" s="225" customFormat="1" ht="15.75" x14ac:dyDescent="0.25">
      <c r="A91" s="518">
        <v>42</v>
      </c>
      <c r="B91" s="519">
        <v>165</v>
      </c>
      <c r="C91" s="520" t="str">
        <f ca="1">IFERROR(ROUND('Device Resistance Tables'!P61,0)," ")</f>
        <v xml:space="preserve"> </v>
      </c>
      <c r="D91" s="523"/>
      <c r="E91" s="522"/>
      <c r="F91" s="523"/>
      <c r="G91" s="441"/>
      <c r="H91" s="441"/>
      <c r="I91" s="441"/>
      <c r="J91" s="441"/>
      <c r="K91" s="441"/>
      <c r="L91" s="441"/>
      <c r="M91" s="441"/>
      <c r="N91" s="441"/>
      <c r="O91" s="441"/>
      <c r="P91" s="441"/>
      <c r="Q91" s="441"/>
      <c r="R91" s="441"/>
      <c r="S91" s="441"/>
      <c r="T91" s="441"/>
      <c r="U91" s="441"/>
      <c r="V91" s="441"/>
    </row>
    <row r="92" spans="1:22" s="225" customFormat="1" ht="15.75" x14ac:dyDescent="0.25">
      <c r="A92" s="518">
        <v>43</v>
      </c>
      <c r="B92" s="519">
        <v>170</v>
      </c>
      <c r="C92" s="520" t="str">
        <f ca="1">IFERROR(ROUND('Device Resistance Tables'!P62,0)," ")</f>
        <v xml:space="preserve"> </v>
      </c>
      <c r="D92" s="523"/>
      <c r="E92" s="522"/>
      <c r="F92" s="523"/>
      <c r="G92" s="441"/>
      <c r="H92" s="441"/>
      <c r="I92" s="441"/>
      <c r="J92" s="441"/>
      <c r="K92" s="441"/>
      <c r="L92" s="441"/>
      <c r="M92" s="441"/>
      <c r="N92" s="441"/>
      <c r="O92" s="441"/>
      <c r="P92" s="441"/>
      <c r="Q92" s="441"/>
      <c r="R92" s="441"/>
      <c r="S92" s="441"/>
      <c r="T92" s="441"/>
      <c r="U92" s="441"/>
      <c r="V92" s="441"/>
    </row>
    <row r="93" spans="1:22" s="225" customFormat="1" ht="15.75" x14ac:dyDescent="0.25">
      <c r="A93" s="526"/>
      <c r="B93" s="527"/>
      <c r="C93" s="528"/>
      <c r="D93" s="523"/>
      <c r="E93" s="522"/>
      <c r="F93" s="523"/>
      <c r="G93" s="441"/>
      <c r="H93" s="441"/>
      <c r="I93" s="441"/>
      <c r="J93" s="441"/>
      <c r="K93" s="441"/>
      <c r="L93" s="441"/>
      <c r="M93" s="441"/>
      <c r="N93" s="441"/>
      <c r="O93" s="441"/>
      <c r="P93" s="441"/>
      <c r="Q93" s="441"/>
      <c r="R93" s="441"/>
      <c r="S93" s="441"/>
      <c r="T93" s="441"/>
      <c r="U93" s="441"/>
      <c r="V93" s="441"/>
    </row>
    <row r="94" spans="1:22" s="225" customFormat="1" x14ac:dyDescent="0.2">
      <c r="A94" s="322"/>
      <c r="B94" s="323"/>
      <c r="C94" s="265"/>
      <c r="D94" s="229"/>
      <c r="E94" s="230"/>
      <c r="F94" s="229"/>
    </row>
    <row r="95" spans="1:22" x14ac:dyDescent="0.2">
      <c r="A95" s="231"/>
      <c r="B95" s="232"/>
      <c r="C95" s="230"/>
      <c r="D95" s="229"/>
      <c r="E95" s="230"/>
      <c r="F95" s="50"/>
    </row>
    <row r="96" spans="1:22" x14ac:dyDescent="0.2">
      <c r="A96" s="231"/>
      <c r="B96" s="232"/>
      <c r="C96" s="230"/>
      <c r="D96" s="229"/>
      <c r="E96" s="230"/>
      <c r="F96" s="50"/>
    </row>
    <row r="97" spans="1:15" x14ac:dyDescent="0.2">
      <c r="A97" s="231"/>
      <c r="B97" s="232"/>
      <c r="C97" s="230"/>
      <c r="D97" s="229"/>
      <c r="E97" s="230"/>
      <c r="F97" s="50"/>
    </row>
    <row r="98" spans="1:15" x14ac:dyDescent="0.2">
      <c r="A98" s="231"/>
      <c r="B98" s="232"/>
      <c r="C98" s="230"/>
      <c r="D98" s="229"/>
      <c r="E98" s="230"/>
      <c r="F98" s="50"/>
    </row>
    <row r="99" spans="1:15" x14ac:dyDescent="0.2">
      <c r="A99" s="231"/>
      <c r="B99" s="232"/>
      <c r="C99" s="230"/>
      <c r="D99" s="229"/>
      <c r="E99" s="230"/>
      <c r="F99" s="50"/>
    </row>
    <row r="100" spans="1:15" x14ac:dyDescent="0.2">
      <c r="A100" s="51"/>
      <c r="B100" s="52"/>
      <c r="C100" s="53"/>
      <c r="D100" s="52"/>
      <c r="E100" s="54"/>
      <c r="F100" s="54"/>
    </row>
    <row r="101" spans="1:15" x14ac:dyDescent="0.2">
      <c r="A101" s="54"/>
      <c r="B101" s="54"/>
      <c r="C101" s="55"/>
      <c r="D101" s="54"/>
      <c r="E101" s="54"/>
      <c r="F101" s="54"/>
    </row>
    <row r="102" spans="1:15" ht="16.5" thickBot="1" x14ac:dyDescent="0.3">
      <c r="A102" s="42" t="s">
        <v>145</v>
      </c>
      <c r="D102" s="242" t="s">
        <v>281</v>
      </c>
    </row>
    <row r="103" spans="1:15" ht="13.5" thickTop="1" x14ac:dyDescent="0.2">
      <c r="A103" s="30"/>
      <c r="B103" s="31"/>
      <c r="C103" s="31"/>
      <c r="D103" s="31"/>
      <c r="E103" s="31"/>
      <c r="F103" s="31"/>
      <c r="G103" s="31"/>
      <c r="H103" s="31"/>
      <c r="I103" s="31"/>
      <c r="J103" s="31"/>
      <c r="K103" s="31"/>
      <c r="L103" s="31"/>
      <c r="M103" s="31"/>
      <c r="N103" s="31"/>
      <c r="O103" s="94"/>
    </row>
    <row r="104" spans="1:15" x14ac:dyDescent="0.2">
      <c r="A104" s="32" t="s">
        <v>205</v>
      </c>
      <c r="B104" s="33"/>
      <c r="C104" s="33"/>
      <c r="D104" s="33"/>
      <c r="E104" s="33"/>
      <c r="F104" s="33"/>
      <c r="G104" s="33"/>
      <c r="H104" s="33"/>
      <c r="I104" s="33"/>
      <c r="J104" s="33"/>
      <c r="K104" s="33"/>
      <c r="L104" s="33"/>
      <c r="M104" s="33"/>
      <c r="N104" s="33"/>
      <c r="O104" s="95"/>
    </row>
    <row r="105" spans="1:15" x14ac:dyDescent="0.2">
      <c r="A105" s="32" t="s">
        <v>167</v>
      </c>
      <c r="B105" s="33"/>
      <c r="C105" s="33"/>
      <c r="D105" s="33"/>
      <c r="E105" s="33"/>
      <c r="F105" s="33"/>
      <c r="G105" s="33"/>
      <c r="H105" s="33"/>
      <c r="I105" s="33"/>
      <c r="J105" s="33"/>
      <c r="K105" s="33"/>
      <c r="L105" s="33"/>
      <c r="M105" s="33"/>
      <c r="N105" s="33"/>
      <c r="O105" s="95"/>
    </row>
    <row r="106" spans="1:15" x14ac:dyDescent="0.2">
      <c r="A106" s="333"/>
      <c r="B106" s="36"/>
      <c r="C106" s="36"/>
      <c r="D106" s="36"/>
      <c r="E106" s="36"/>
      <c r="F106" s="36"/>
      <c r="G106" s="36"/>
      <c r="H106" s="36"/>
      <c r="I106" s="36"/>
      <c r="J106" s="36"/>
      <c r="K106" s="36"/>
      <c r="L106" s="36"/>
      <c r="M106" s="36"/>
      <c r="N106" s="36"/>
      <c r="O106" s="68"/>
    </row>
    <row r="107" spans="1:15" x14ac:dyDescent="0.2">
      <c r="A107" s="67"/>
      <c r="B107" s="228"/>
      <c r="C107" s="228"/>
      <c r="D107" s="228"/>
      <c r="E107" s="228"/>
      <c r="F107" s="228"/>
      <c r="G107" s="228"/>
      <c r="H107" s="228"/>
      <c r="I107" s="228"/>
      <c r="J107" s="228"/>
      <c r="K107" s="228"/>
      <c r="L107" s="228"/>
      <c r="M107" s="228"/>
      <c r="N107" s="228"/>
      <c r="O107" s="68"/>
    </row>
    <row r="108" spans="1:15" x14ac:dyDescent="0.2">
      <c r="A108" s="334"/>
      <c r="B108" s="233" t="s">
        <v>283</v>
      </c>
      <c r="C108" s="233"/>
      <c r="D108" s="234">
        <f>B32</f>
        <v>10000</v>
      </c>
      <c r="E108" s="228" t="s">
        <v>267</v>
      </c>
      <c r="F108" s="36"/>
      <c r="G108" s="36"/>
      <c r="H108" s="36"/>
      <c r="I108" s="332" t="s">
        <v>127</v>
      </c>
      <c r="J108" s="36"/>
      <c r="K108" s="36"/>
      <c r="L108" s="36"/>
      <c r="M108" s="36"/>
      <c r="N108" s="36"/>
      <c r="O108" s="68"/>
    </row>
    <row r="109" spans="1:15" x14ac:dyDescent="0.2">
      <c r="A109" s="67"/>
      <c r="B109" s="233" t="s">
        <v>274</v>
      </c>
      <c r="C109" s="233"/>
      <c r="D109" s="239">
        <f>B31</f>
        <v>5</v>
      </c>
      <c r="E109" s="228" t="s">
        <v>267</v>
      </c>
      <c r="F109" s="228"/>
      <c r="G109" s="228"/>
      <c r="H109" s="228"/>
      <c r="I109" s="332" t="s">
        <v>128</v>
      </c>
      <c r="J109" s="228"/>
      <c r="K109" s="228"/>
      <c r="L109" s="228"/>
      <c r="M109" s="228"/>
      <c r="N109" s="228"/>
      <c r="O109" s="68"/>
    </row>
    <row r="110" spans="1:15" x14ac:dyDescent="0.2">
      <c r="A110" s="67"/>
      <c r="B110" s="233" t="s">
        <v>268</v>
      </c>
      <c r="C110" s="233"/>
      <c r="D110" s="234">
        <f>2^B33</f>
        <v>65536</v>
      </c>
      <c r="E110" s="228" t="s">
        <v>267</v>
      </c>
      <c r="F110" s="228"/>
      <c r="G110" s="228"/>
      <c r="H110" s="228"/>
      <c r="I110" s="330" t="s">
        <v>519</v>
      </c>
      <c r="J110" s="228"/>
      <c r="K110" s="228"/>
      <c r="L110" s="228"/>
      <c r="M110" s="228"/>
      <c r="N110" s="228"/>
      <c r="O110" s="68"/>
    </row>
    <row r="111" spans="1:15" x14ac:dyDescent="0.2">
      <c r="A111" s="67"/>
      <c r="B111" s="228" t="s">
        <v>640</v>
      </c>
      <c r="C111" s="228"/>
      <c r="D111" s="228"/>
      <c r="E111" s="228"/>
      <c r="F111" s="228"/>
      <c r="G111" s="228"/>
      <c r="H111" s="228"/>
      <c r="I111" s="332" t="s">
        <v>129</v>
      </c>
      <c r="J111" s="228"/>
      <c r="K111" s="228"/>
      <c r="L111" s="228"/>
      <c r="M111" s="228"/>
      <c r="N111" s="228"/>
      <c r="O111" s="68"/>
    </row>
    <row r="112" spans="1:15" x14ac:dyDescent="0.2">
      <c r="A112" s="67"/>
      <c r="B112" s="228" t="s">
        <v>527</v>
      </c>
      <c r="C112" s="228"/>
      <c r="D112" s="228"/>
      <c r="E112" s="228"/>
      <c r="F112" s="228"/>
      <c r="G112" s="228"/>
      <c r="H112" s="228"/>
      <c r="I112" s="332" t="s">
        <v>521</v>
      </c>
      <c r="J112" s="228"/>
      <c r="K112" s="228"/>
      <c r="L112" s="228"/>
      <c r="M112" s="228"/>
      <c r="N112" s="228"/>
      <c r="O112" s="68"/>
    </row>
    <row r="113" spans="1:15" x14ac:dyDescent="0.2">
      <c r="A113" s="67"/>
      <c r="B113" s="228" t="s">
        <v>528</v>
      </c>
      <c r="C113" s="228"/>
      <c r="D113" s="228"/>
      <c r="E113" s="228"/>
      <c r="F113" s="228"/>
      <c r="G113" s="228"/>
      <c r="H113" s="228"/>
      <c r="I113" s="332" t="s">
        <v>130</v>
      </c>
      <c r="J113" s="228"/>
      <c r="K113" s="228"/>
      <c r="L113" s="228"/>
      <c r="M113" s="228"/>
      <c r="N113" s="228"/>
      <c r="O113" s="68"/>
    </row>
    <row r="114" spans="1:15" x14ac:dyDescent="0.2">
      <c r="A114" s="67"/>
      <c r="B114" s="228" t="s">
        <v>200</v>
      </c>
      <c r="C114" s="228"/>
      <c r="D114" s="228"/>
      <c r="E114" s="228"/>
      <c r="F114" s="228"/>
      <c r="G114" s="228"/>
      <c r="H114" s="228"/>
      <c r="I114" s="37"/>
      <c r="J114" s="228"/>
      <c r="K114" s="228"/>
      <c r="L114" s="228"/>
      <c r="M114" s="228"/>
      <c r="N114" s="228"/>
      <c r="O114" s="68"/>
    </row>
    <row r="115" spans="1:15" x14ac:dyDescent="0.2">
      <c r="A115" s="67"/>
      <c r="B115" s="228" t="s">
        <v>201</v>
      </c>
      <c r="C115" s="228"/>
      <c r="D115" s="228"/>
      <c r="E115" s="228"/>
      <c r="F115" s="228"/>
      <c r="G115" s="228"/>
      <c r="H115" s="228"/>
      <c r="I115" s="37"/>
      <c r="J115" s="228"/>
      <c r="K115" s="228"/>
      <c r="L115" s="228"/>
      <c r="M115" s="228"/>
      <c r="N115" s="228"/>
      <c r="O115" s="68"/>
    </row>
    <row r="116" spans="1:15" x14ac:dyDescent="0.2">
      <c r="A116" s="67"/>
      <c r="B116" s="228" t="s">
        <v>202</v>
      </c>
      <c r="C116" s="228"/>
      <c r="D116" s="228"/>
      <c r="E116" s="228"/>
      <c r="F116" s="228"/>
      <c r="G116" s="228"/>
      <c r="H116" s="228"/>
      <c r="I116" s="37"/>
      <c r="J116" s="228"/>
      <c r="K116" s="228"/>
      <c r="L116" s="228"/>
      <c r="M116" s="228"/>
      <c r="N116" s="228"/>
      <c r="O116" s="68"/>
    </row>
    <row r="117" spans="1:15" x14ac:dyDescent="0.2">
      <c r="A117" s="67"/>
      <c r="B117" s="228" t="s">
        <v>203</v>
      </c>
      <c r="C117" s="228"/>
      <c r="D117" s="228"/>
      <c r="E117" s="228"/>
      <c r="F117" s="228"/>
      <c r="G117" s="228"/>
      <c r="H117" s="228"/>
      <c r="I117" s="37"/>
      <c r="J117" s="228"/>
      <c r="K117" s="228"/>
      <c r="L117" s="228"/>
      <c r="M117" s="228"/>
      <c r="N117" s="228"/>
      <c r="O117" s="68"/>
    </row>
    <row r="118" spans="1:15" x14ac:dyDescent="0.2">
      <c r="A118" s="96"/>
      <c r="B118" s="228"/>
      <c r="C118" s="335"/>
      <c r="D118" s="36"/>
      <c r="E118" s="336"/>
      <c r="F118" s="337"/>
      <c r="G118" s="337"/>
      <c r="H118" s="228"/>
      <c r="I118" s="228"/>
      <c r="J118" s="228"/>
      <c r="K118" s="228"/>
      <c r="L118" s="228"/>
      <c r="M118" s="228"/>
      <c r="N118" s="228"/>
      <c r="O118" s="68"/>
    </row>
    <row r="119" spans="1:15" x14ac:dyDescent="0.2">
      <c r="A119" s="96"/>
      <c r="B119" s="237" t="s">
        <v>529</v>
      </c>
      <c r="C119" s="335"/>
      <c r="D119" s="228"/>
      <c r="E119" s="336"/>
      <c r="F119" s="337"/>
      <c r="G119" s="337"/>
      <c r="H119" s="228"/>
      <c r="I119" s="228"/>
      <c r="J119" s="228"/>
      <c r="K119" s="228"/>
      <c r="L119" s="228"/>
      <c r="M119" s="228"/>
      <c r="N119" s="228"/>
      <c r="O119" s="68"/>
    </row>
    <row r="120" spans="1:15" x14ac:dyDescent="0.2">
      <c r="A120" s="96"/>
      <c r="B120" s="237" t="s">
        <v>31</v>
      </c>
      <c r="C120" s="335"/>
      <c r="D120" s="228"/>
      <c r="E120" s="336"/>
      <c r="F120" s="337"/>
      <c r="G120" s="337"/>
      <c r="H120" s="228"/>
      <c r="I120" s="228"/>
      <c r="J120" s="228"/>
      <c r="K120" s="228"/>
      <c r="L120" s="228"/>
      <c r="M120" s="228"/>
      <c r="N120" s="228"/>
      <c r="O120" s="68"/>
    </row>
    <row r="121" spans="1:15" x14ac:dyDescent="0.2">
      <c r="A121" s="97"/>
      <c r="B121" s="237"/>
      <c r="C121" s="335"/>
      <c r="D121" s="338"/>
      <c r="E121" s="336"/>
      <c r="F121" s="337"/>
      <c r="G121" s="337"/>
      <c r="H121" s="228"/>
      <c r="I121" s="228"/>
      <c r="J121" s="228"/>
      <c r="K121" s="228"/>
      <c r="L121" s="228"/>
      <c r="M121" s="228"/>
      <c r="N121" s="228"/>
      <c r="O121" s="68"/>
    </row>
    <row r="122" spans="1:15" x14ac:dyDescent="0.2">
      <c r="A122" s="97"/>
      <c r="B122" s="237" t="s">
        <v>530</v>
      </c>
      <c r="C122" s="339"/>
      <c r="D122" s="101"/>
      <c r="E122" s="336"/>
      <c r="F122" s="337"/>
      <c r="G122" s="337"/>
      <c r="H122" s="228"/>
      <c r="I122" s="228"/>
      <c r="J122" s="228"/>
      <c r="K122" s="228"/>
      <c r="L122" s="228"/>
      <c r="M122" s="228"/>
      <c r="N122" s="228"/>
      <c r="O122" s="68"/>
    </row>
    <row r="123" spans="1:15" x14ac:dyDescent="0.2">
      <c r="A123" s="67"/>
      <c r="B123" s="237" t="s">
        <v>648</v>
      </c>
      <c r="C123" s="228"/>
      <c r="D123" s="228"/>
      <c r="E123" s="228"/>
      <c r="F123" s="228"/>
      <c r="G123" s="228"/>
      <c r="H123" s="228"/>
      <c r="I123" s="228"/>
      <c r="J123" s="228"/>
      <c r="K123" s="228"/>
      <c r="L123" s="228"/>
      <c r="M123" s="228"/>
      <c r="N123" s="228"/>
      <c r="O123" s="68"/>
    </row>
    <row r="124" spans="1:15" x14ac:dyDescent="0.2">
      <c r="A124" s="67"/>
      <c r="B124" s="237" t="s">
        <v>531</v>
      </c>
      <c r="C124" s="228"/>
      <c r="D124" s="228"/>
      <c r="E124" s="228"/>
      <c r="F124" s="228"/>
      <c r="G124" s="228"/>
      <c r="H124" s="228"/>
      <c r="I124" s="228"/>
      <c r="J124" s="228"/>
      <c r="K124" s="228"/>
      <c r="L124" s="228"/>
      <c r="M124" s="228"/>
      <c r="N124" s="228"/>
      <c r="O124" s="68"/>
    </row>
    <row r="125" spans="1:15" x14ac:dyDescent="0.2">
      <c r="A125" s="67"/>
      <c r="B125" s="90"/>
      <c r="C125" s="228"/>
      <c r="D125" s="228"/>
      <c r="E125" s="228"/>
      <c r="F125" s="228"/>
      <c r="G125" s="228"/>
      <c r="H125" s="228"/>
      <c r="I125" s="228"/>
      <c r="J125" s="228"/>
      <c r="K125" s="228"/>
      <c r="L125" s="228"/>
      <c r="M125" s="228"/>
      <c r="N125" s="228"/>
      <c r="O125" s="68"/>
    </row>
    <row r="126" spans="1:15" x14ac:dyDescent="0.2">
      <c r="A126" s="67"/>
      <c r="B126" s="90" t="s">
        <v>195</v>
      </c>
      <c r="C126" s="228"/>
      <c r="D126" s="228"/>
      <c r="E126" s="228"/>
      <c r="F126" s="228"/>
      <c r="G126" s="228"/>
      <c r="H126" s="228"/>
      <c r="I126" s="228"/>
      <c r="J126" s="228"/>
      <c r="K126" s="228"/>
      <c r="L126" s="228"/>
      <c r="M126" s="228"/>
      <c r="N126" s="228"/>
      <c r="O126" s="68"/>
    </row>
    <row r="127" spans="1:15" x14ac:dyDescent="0.2">
      <c r="A127" s="67"/>
      <c r="B127" s="91" t="s">
        <v>532</v>
      </c>
      <c r="C127" s="228"/>
      <c r="D127" s="228"/>
      <c r="E127" s="228"/>
      <c r="F127" s="228"/>
      <c r="G127" s="228"/>
      <c r="H127" s="228"/>
      <c r="I127" s="228"/>
      <c r="J127" s="228"/>
      <c r="K127" s="228"/>
      <c r="L127" s="228"/>
      <c r="M127" s="228"/>
      <c r="N127" s="228"/>
      <c r="O127" s="68"/>
    </row>
    <row r="128" spans="1:15" x14ac:dyDescent="0.2">
      <c r="A128" s="67"/>
      <c r="B128" s="92"/>
      <c r="C128" s="228"/>
      <c r="D128" s="228"/>
      <c r="E128" s="228"/>
      <c r="F128" s="228"/>
      <c r="G128" s="228"/>
      <c r="H128" s="228"/>
      <c r="I128" s="228"/>
      <c r="J128" s="228"/>
      <c r="K128" s="228"/>
      <c r="L128" s="228"/>
      <c r="M128" s="228"/>
      <c r="N128" s="228"/>
      <c r="O128" s="68"/>
    </row>
    <row r="129" spans="1:15" x14ac:dyDescent="0.2">
      <c r="A129" s="67"/>
      <c r="B129" s="260" t="s">
        <v>649</v>
      </c>
      <c r="C129" s="228"/>
      <c r="D129" s="228"/>
      <c r="E129" s="228"/>
      <c r="F129" s="228"/>
      <c r="G129" s="228"/>
      <c r="H129" s="228"/>
      <c r="I129" s="228"/>
      <c r="J129" s="228"/>
      <c r="K129" s="228"/>
      <c r="L129" s="228"/>
      <c r="M129" s="228"/>
      <c r="N129" s="228"/>
      <c r="O129" s="68"/>
    </row>
    <row r="130" spans="1:15" x14ac:dyDescent="0.2">
      <c r="A130" s="96"/>
      <c r="B130" s="237" t="s">
        <v>650</v>
      </c>
      <c r="C130" s="261"/>
      <c r="D130" s="228"/>
      <c r="E130" s="262"/>
      <c r="F130" s="263"/>
      <c r="G130" s="263"/>
      <c r="H130" s="228"/>
      <c r="I130" s="228"/>
      <c r="J130" s="228"/>
      <c r="K130" s="228"/>
      <c r="L130" s="228"/>
      <c r="M130" s="228"/>
      <c r="N130" s="228"/>
      <c r="O130" s="68"/>
    </row>
    <row r="131" spans="1:15" x14ac:dyDescent="0.2">
      <c r="A131" s="96"/>
      <c r="B131" s="237"/>
      <c r="C131" s="335"/>
      <c r="D131" s="339"/>
      <c r="E131" s="336"/>
      <c r="F131" s="337"/>
      <c r="G131" s="337"/>
      <c r="H131" s="228"/>
      <c r="I131" s="228"/>
      <c r="J131" s="228"/>
      <c r="K131" s="228"/>
      <c r="L131" s="228"/>
      <c r="M131" s="228"/>
      <c r="N131" s="228"/>
      <c r="O131" s="68"/>
    </row>
    <row r="132" spans="1:15" x14ac:dyDescent="0.2">
      <c r="A132" s="96"/>
      <c r="B132" s="237" t="s">
        <v>204</v>
      </c>
      <c r="C132" s="335"/>
      <c r="D132" s="339"/>
      <c r="E132" s="336"/>
      <c r="F132" s="337"/>
      <c r="G132" s="337"/>
      <c r="H132" s="228"/>
      <c r="I132" s="228"/>
      <c r="J132" s="228"/>
      <c r="K132" s="228"/>
      <c r="L132" s="228"/>
      <c r="M132" s="228"/>
      <c r="N132" s="228"/>
      <c r="O132" s="68"/>
    </row>
    <row r="133" spans="1:15" x14ac:dyDescent="0.2">
      <c r="A133" s="96"/>
      <c r="B133" s="237"/>
      <c r="C133" s="335"/>
      <c r="D133" s="339"/>
      <c r="E133" s="336"/>
      <c r="F133" s="337"/>
      <c r="G133" s="337"/>
      <c r="H133" s="228"/>
      <c r="I133" s="228"/>
      <c r="J133" s="228"/>
      <c r="K133" s="228"/>
      <c r="L133" s="228"/>
      <c r="M133" s="228"/>
      <c r="N133" s="228"/>
      <c r="O133" s="68"/>
    </row>
    <row r="134" spans="1:15" x14ac:dyDescent="0.2">
      <c r="A134" s="67"/>
      <c r="B134" s="237" t="s">
        <v>152</v>
      </c>
      <c r="C134" s="228"/>
      <c r="D134" s="228"/>
      <c r="E134" s="228"/>
      <c r="F134" s="228"/>
      <c r="G134" s="228"/>
      <c r="H134" s="228"/>
      <c r="I134" s="228"/>
      <c r="J134" s="228"/>
      <c r="K134" s="228"/>
      <c r="L134" s="228"/>
      <c r="M134" s="228"/>
      <c r="N134" s="228"/>
      <c r="O134" s="68"/>
    </row>
    <row r="135" spans="1:15" x14ac:dyDescent="0.2">
      <c r="A135" s="67"/>
      <c r="B135" s="237" t="s">
        <v>153</v>
      </c>
      <c r="C135" s="228"/>
      <c r="D135" s="228"/>
      <c r="E135" s="228"/>
      <c r="F135" s="228"/>
      <c r="G135" s="228"/>
      <c r="H135" s="228"/>
      <c r="I135" s="228"/>
      <c r="J135" s="228"/>
      <c r="K135" s="228"/>
      <c r="L135" s="228"/>
      <c r="M135" s="228"/>
      <c r="N135" s="228"/>
      <c r="O135" s="68"/>
    </row>
    <row r="136" spans="1:15" x14ac:dyDescent="0.2">
      <c r="A136" s="67"/>
      <c r="B136" s="92" t="s">
        <v>533</v>
      </c>
      <c r="C136" s="228"/>
      <c r="D136" s="228"/>
      <c r="E136" s="228"/>
      <c r="F136" s="228"/>
      <c r="G136" s="228"/>
      <c r="H136" s="228"/>
      <c r="I136" s="228"/>
      <c r="J136" s="228"/>
      <c r="K136" s="228"/>
      <c r="L136" s="228"/>
      <c r="M136" s="228"/>
      <c r="N136" s="228"/>
      <c r="O136" s="68"/>
    </row>
    <row r="137" spans="1:15" x14ac:dyDescent="0.2">
      <c r="A137" s="67"/>
      <c r="B137" s="98" t="s">
        <v>196</v>
      </c>
      <c r="C137" s="228"/>
      <c r="D137" s="228"/>
      <c r="E137" s="228"/>
      <c r="F137" s="228"/>
      <c r="G137" s="228"/>
      <c r="H137" s="228"/>
      <c r="I137" s="228"/>
      <c r="J137" s="228"/>
      <c r="K137" s="228"/>
      <c r="L137" s="228"/>
      <c r="M137" s="228"/>
      <c r="N137" s="228"/>
      <c r="O137" s="68"/>
    </row>
    <row r="138" spans="1:15" x14ac:dyDescent="0.2">
      <c r="A138" s="99"/>
      <c r="B138" s="91" t="s">
        <v>197</v>
      </c>
      <c r="C138" s="228"/>
      <c r="D138" s="37" t="s">
        <v>76</v>
      </c>
      <c r="E138" s="228"/>
      <c r="F138" s="228"/>
      <c r="G138" s="228"/>
      <c r="H138" s="228"/>
      <c r="I138" s="228"/>
      <c r="J138" s="228"/>
      <c r="K138" s="228"/>
      <c r="L138" s="228"/>
      <c r="M138" s="228"/>
      <c r="N138" s="228"/>
      <c r="O138" s="68"/>
    </row>
    <row r="139" spans="1:15" x14ac:dyDescent="0.2">
      <c r="A139" s="67"/>
      <c r="B139" s="90" t="s">
        <v>534</v>
      </c>
      <c r="C139" s="228"/>
      <c r="D139" s="228"/>
      <c r="E139" s="228"/>
      <c r="F139" s="228"/>
      <c r="G139" s="228"/>
      <c r="H139" s="228"/>
      <c r="I139" s="228"/>
      <c r="J139" s="228"/>
      <c r="K139" s="228"/>
      <c r="L139" s="228"/>
      <c r="M139" s="228"/>
      <c r="N139" s="228"/>
      <c r="O139" s="68"/>
    </row>
    <row r="140" spans="1:15" x14ac:dyDescent="0.2">
      <c r="A140" s="67"/>
      <c r="B140" s="237" t="s">
        <v>535</v>
      </c>
      <c r="C140" s="228"/>
      <c r="D140" s="228"/>
      <c r="E140" s="228"/>
      <c r="F140" s="228"/>
      <c r="G140" s="228"/>
      <c r="H140" s="228"/>
      <c r="I140" s="228"/>
      <c r="J140" s="228"/>
      <c r="K140" s="228"/>
      <c r="L140" s="228"/>
      <c r="M140" s="228"/>
      <c r="N140" s="228"/>
      <c r="O140" s="68"/>
    </row>
    <row r="141" spans="1:15" x14ac:dyDescent="0.2">
      <c r="A141" s="67"/>
      <c r="B141" s="237" t="s">
        <v>536</v>
      </c>
      <c r="C141" s="228"/>
      <c r="D141" s="228"/>
      <c r="E141" s="228"/>
      <c r="F141" s="228"/>
      <c r="G141" s="228"/>
      <c r="H141" s="228"/>
      <c r="I141" s="228"/>
      <c r="J141" s="228"/>
      <c r="K141" s="228"/>
      <c r="L141" s="228"/>
      <c r="M141" s="228"/>
      <c r="N141" s="228"/>
      <c r="O141" s="68"/>
    </row>
    <row r="142" spans="1:15" x14ac:dyDescent="0.2">
      <c r="A142" s="67"/>
      <c r="B142" s="237" t="s">
        <v>537</v>
      </c>
      <c r="C142" s="228"/>
      <c r="D142" s="228"/>
      <c r="E142" s="228"/>
      <c r="F142" s="228"/>
      <c r="G142" s="228"/>
      <c r="H142" s="228"/>
      <c r="I142" s="228"/>
      <c r="J142" s="228"/>
      <c r="K142" s="228"/>
      <c r="L142" s="228"/>
      <c r="M142" s="228"/>
      <c r="N142" s="228"/>
      <c r="O142" s="68"/>
    </row>
    <row r="143" spans="1:15" x14ac:dyDescent="0.2">
      <c r="A143" s="67"/>
      <c r="B143" s="101"/>
      <c r="C143" s="228"/>
      <c r="D143" s="228"/>
      <c r="E143" s="228"/>
      <c r="F143" s="228"/>
      <c r="G143" s="228"/>
      <c r="H143" s="228"/>
      <c r="I143" s="228"/>
      <c r="J143" s="228"/>
      <c r="K143" s="228"/>
      <c r="L143" s="228"/>
      <c r="M143" s="228"/>
      <c r="N143" s="228"/>
      <c r="O143" s="68"/>
    </row>
    <row r="144" spans="1:15" x14ac:dyDescent="0.2">
      <c r="A144" s="67"/>
      <c r="B144" s="101" t="s">
        <v>538</v>
      </c>
      <c r="C144" s="228"/>
      <c r="D144" s="228"/>
      <c r="E144" s="228"/>
      <c r="F144" s="228"/>
      <c r="G144" s="228"/>
      <c r="H144" s="228"/>
      <c r="I144" s="228"/>
      <c r="J144" s="228"/>
      <c r="K144" s="228"/>
      <c r="L144" s="228"/>
      <c r="M144" s="228"/>
      <c r="N144" s="228"/>
      <c r="O144" s="68"/>
    </row>
    <row r="145" spans="1:15" x14ac:dyDescent="0.2">
      <c r="A145" s="67"/>
      <c r="B145" s="101" t="s">
        <v>539</v>
      </c>
      <c r="C145" s="228"/>
      <c r="D145" s="228"/>
      <c r="E145" s="228"/>
      <c r="F145" s="228"/>
      <c r="G145" s="228"/>
      <c r="H145" s="228"/>
      <c r="I145" s="228"/>
      <c r="J145" s="228"/>
      <c r="K145" s="228"/>
      <c r="L145" s="228"/>
      <c r="M145" s="228"/>
      <c r="N145" s="228"/>
      <c r="O145" s="68"/>
    </row>
    <row r="146" spans="1:15" x14ac:dyDescent="0.2">
      <c r="A146" s="67"/>
      <c r="B146" s="101" t="s">
        <v>198</v>
      </c>
      <c r="C146" s="228"/>
      <c r="D146" s="228"/>
      <c r="E146" s="228"/>
      <c r="F146" s="228"/>
      <c r="G146" s="228"/>
      <c r="H146" s="228"/>
      <c r="I146" s="228"/>
      <c r="J146" s="228"/>
      <c r="K146" s="228"/>
      <c r="L146" s="228"/>
      <c r="M146" s="228"/>
      <c r="N146" s="228"/>
      <c r="O146" s="68"/>
    </row>
    <row r="147" spans="1:15" x14ac:dyDescent="0.2">
      <c r="A147" s="67"/>
      <c r="B147" s="101" t="s">
        <v>199</v>
      </c>
      <c r="C147" s="228"/>
      <c r="D147" s="228"/>
      <c r="E147" s="228"/>
      <c r="F147" s="228"/>
      <c r="G147" s="228"/>
      <c r="H147" s="228"/>
      <c r="I147" s="228"/>
      <c r="J147" s="228"/>
      <c r="K147" s="228"/>
      <c r="L147" s="228"/>
      <c r="M147" s="228"/>
      <c r="N147" s="228"/>
      <c r="O147" s="68"/>
    </row>
    <row r="148" spans="1:15" x14ac:dyDescent="0.2">
      <c r="A148" s="67"/>
      <c r="B148" s="101" t="s">
        <v>162</v>
      </c>
      <c r="C148" s="228"/>
      <c r="D148" s="228"/>
      <c r="E148" s="228"/>
      <c r="F148" s="228"/>
      <c r="G148" s="228"/>
      <c r="H148" s="228"/>
      <c r="I148" s="228"/>
      <c r="J148" s="228"/>
      <c r="K148" s="228"/>
      <c r="L148" s="228"/>
      <c r="M148" s="228"/>
      <c r="N148" s="228"/>
      <c r="O148" s="68"/>
    </row>
    <row r="149" spans="1:15" x14ac:dyDescent="0.2">
      <c r="A149" s="67"/>
      <c r="B149" s="101"/>
      <c r="C149" s="228"/>
      <c r="D149" s="228"/>
      <c r="E149" s="228"/>
      <c r="F149" s="228"/>
      <c r="G149" s="228"/>
      <c r="H149" s="228"/>
      <c r="I149" s="228"/>
      <c r="J149" s="228"/>
      <c r="K149" s="228"/>
      <c r="L149" s="228"/>
      <c r="M149" s="228"/>
      <c r="N149" s="228"/>
      <c r="O149" s="68"/>
    </row>
    <row r="150" spans="1:15" x14ac:dyDescent="0.2">
      <c r="A150" s="67"/>
      <c r="B150" s="101" t="s">
        <v>35</v>
      </c>
      <c r="C150" s="228"/>
      <c r="D150" s="228"/>
      <c r="E150" s="228"/>
      <c r="F150" s="228"/>
      <c r="G150" s="228"/>
      <c r="H150" s="228"/>
      <c r="I150" s="228"/>
      <c r="J150" s="228"/>
      <c r="K150" s="228"/>
      <c r="L150" s="228"/>
      <c r="M150" s="228"/>
      <c r="N150" s="228"/>
      <c r="O150" s="68"/>
    </row>
    <row r="151" spans="1:15" x14ac:dyDescent="0.2">
      <c r="A151" s="67"/>
      <c r="B151" s="93"/>
      <c r="C151" s="228"/>
      <c r="D151" s="228"/>
      <c r="E151" s="228"/>
      <c r="F151" s="228"/>
      <c r="G151" s="228"/>
      <c r="H151" s="228"/>
      <c r="I151" s="228"/>
      <c r="J151" s="228"/>
      <c r="K151" s="228"/>
      <c r="L151" s="228"/>
      <c r="M151" s="228"/>
      <c r="N151" s="228"/>
      <c r="O151" s="68"/>
    </row>
    <row r="152" spans="1:15" ht="13.5" thickBot="1" x14ac:dyDescent="0.25">
      <c r="A152" s="69"/>
      <c r="B152" s="100"/>
      <c r="C152" s="70"/>
      <c r="D152" s="70"/>
      <c r="E152" s="70"/>
      <c r="F152" s="70"/>
      <c r="G152" s="70"/>
      <c r="H152" s="70"/>
      <c r="I152" s="70"/>
      <c r="J152" s="70"/>
      <c r="K152" s="70"/>
      <c r="L152" s="70"/>
      <c r="M152" s="70"/>
      <c r="N152" s="70"/>
      <c r="O152" s="71"/>
    </row>
    <row r="153" spans="1:15" ht="13.5" thickTop="1" x14ac:dyDescent="0.2">
      <c r="A153" s="54"/>
      <c r="B153" s="51"/>
      <c r="C153" s="54"/>
    </row>
    <row r="154" spans="1:15" x14ac:dyDescent="0.2">
      <c r="A154" s="54"/>
      <c r="B154" s="51"/>
      <c r="C154" s="54"/>
    </row>
    <row r="155" spans="1:15" x14ac:dyDescent="0.2">
      <c r="A155" s="54"/>
      <c r="B155" s="51"/>
      <c r="C155" s="54"/>
    </row>
    <row r="156" spans="1:15" x14ac:dyDescent="0.2">
      <c r="A156" s="54"/>
      <c r="B156" s="51"/>
      <c r="C156" s="54"/>
    </row>
    <row r="157" spans="1:15" x14ac:dyDescent="0.2">
      <c r="A157" s="54"/>
      <c r="B157" s="51"/>
      <c r="C157" s="54"/>
    </row>
    <row r="158" spans="1:15" x14ac:dyDescent="0.2">
      <c r="A158" s="54"/>
      <c r="B158" s="51"/>
      <c r="C158" s="54"/>
    </row>
    <row r="159" spans="1:15" x14ac:dyDescent="0.2">
      <c r="A159" s="54"/>
      <c r="B159" s="51"/>
      <c r="C159" s="54"/>
    </row>
    <row r="160" spans="1:15" x14ac:dyDescent="0.2">
      <c r="A160" s="54"/>
      <c r="B160" s="51"/>
      <c r="C160" s="54"/>
    </row>
    <row r="161" spans="1:3" x14ac:dyDescent="0.2">
      <c r="A161" s="54"/>
      <c r="B161" s="51"/>
      <c r="C161" s="54"/>
    </row>
    <row r="162" spans="1:3" x14ac:dyDescent="0.2">
      <c r="A162" s="54"/>
      <c r="B162" s="51"/>
      <c r="C162" s="54"/>
    </row>
    <row r="163" spans="1:3" x14ac:dyDescent="0.2">
      <c r="A163" s="54"/>
      <c r="B163" s="51"/>
      <c r="C163" s="54"/>
    </row>
    <row r="164" spans="1:3" x14ac:dyDescent="0.2">
      <c r="A164" s="54"/>
      <c r="B164" s="51"/>
      <c r="C164" s="54"/>
    </row>
    <row r="165" spans="1:3" x14ac:dyDescent="0.2">
      <c r="A165" s="54"/>
      <c r="B165" s="51"/>
      <c r="C165" s="54"/>
    </row>
    <row r="166" spans="1:3" x14ac:dyDescent="0.2">
      <c r="A166" s="54"/>
      <c r="B166" s="51"/>
      <c r="C166" s="54"/>
    </row>
    <row r="167" spans="1:3" x14ac:dyDescent="0.2">
      <c r="A167" s="54"/>
      <c r="B167" s="51"/>
      <c r="C167" s="54"/>
    </row>
    <row r="168" spans="1:3" x14ac:dyDescent="0.2">
      <c r="A168" s="54"/>
      <c r="B168" s="51"/>
      <c r="C168" s="54"/>
    </row>
    <row r="169" spans="1:3" x14ac:dyDescent="0.2">
      <c r="A169" s="54"/>
      <c r="B169" s="51"/>
      <c r="C169" s="54"/>
    </row>
    <row r="170" spans="1:3" x14ac:dyDescent="0.2">
      <c r="A170" s="54"/>
      <c r="B170" s="54"/>
      <c r="C170" s="54"/>
    </row>
    <row r="171" spans="1:3" x14ac:dyDescent="0.2"/>
    <row r="172" spans="1:3" x14ac:dyDescent="0.2"/>
    <row r="173" spans="1:3" x14ac:dyDescent="0.2"/>
    <row r="174" spans="1:3" x14ac:dyDescent="0.2"/>
    <row r="175" spans="1:3" x14ac:dyDescent="0.2"/>
    <row r="176" spans="1:3" x14ac:dyDescent="0.2"/>
    <row r="177" x14ac:dyDescent="0.2"/>
    <row r="178" x14ac:dyDescent="0.2"/>
    <row r="179" x14ac:dyDescent="0.2"/>
    <row r="180" x14ac:dyDescent="0.2"/>
    <row r="181" x14ac:dyDescent="0.2"/>
    <row r="182" x14ac:dyDescent="0.2"/>
    <row r="183" x14ac:dyDescent="0.2"/>
  </sheetData>
  <sheetProtection algorithmName="SHA-512" hashValue="xzn8l2GC6Oa3gbyUMTtfVP7UESkMRMiPB12wUIpsJFBquMzYMKGMX5x0OYTgIeAKIb5T57bZc2kKPfLwkEHPTA==" saltValue="2wJOhegrj+ZuJ3opmKLMag==" spinCount="100000" sheet="1" objects="1" scenarios="1"/>
  <dataConsolidate/>
  <mergeCells count="2">
    <mergeCell ref="A1:U3"/>
    <mergeCell ref="A4:Y4"/>
  </mergeCells>
  <hyperlinks>
    <hyperlink ref="A5" location="Main!K45" display="Return to Menu" xr:uid="{00000000-0004-0000-0800-000000000000}"/>
    <hyperlink ref="A28" location="'Interpolation from Lookup Table'!A152" display="Example Code" xr:uid="{00000000-0004-0000-08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whole" allowBlank="1" showInputMessage="1" showErrorMessage="1" errorTitle="Resistance" error="Enter a value between min and max typical resistance for your device." promptTitle="Resistance" prompt="Enter a value between min and max typical resistance for the selected TI device." xr:uid="{00000000-0002-0000-0800-000000000000}">
          <x14:formula1>
            <xm:f>C50</xm:f>
          </x14:formula1>
          <x14:formula2>
            <xm:f>VLOOKUP(VLOOKUP(Main!$N$22,Coefficients!$E$2:$H$28,4,FALSE),B50:C93,2,FALSE)</xm:f>
          </x14:formula2>
          <xm:sqref>B39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AJ83"/>
  <sheetViews>
    <sheetView showGridLines="0" zoomScale="80" zoomScaleNormal="80" workbookViewId="0">
      <selection activeCell="A5" sqref="A5"/>
    </sheetView>
  </sheetViews>
  <sheetFormatPr defaultColWidth="0" defaultRowHeight="12.75" zeroHeight="1" x14ac:dyDescent="0.2"/>
  <cols>
    <col min="1" max="1" width="25.28515625" style="29" customWidth="1"/>
    <col min="2" max="2" width="25.140625" style="29" customWidth="1"/>
    <col min="3" max="3" width="12.5703125" style="29" customWidth="1"/>
    <col min="4" max="4" width="24.28515625" style="29" customWidth="1"/>
    <col min="5" max="5" width="30.5703125" style="29" customWidth="1"/>
    <col min="6" max="6" width="8.5703125" style="29" customWidth="1"/>
    <col min="7" max="7" width="18.140625" style="29" customWidth="1"/>
    <col min="8" max="8" width="9.140625" style="29" customWidth="1"/>
    <col min="9" max="9" width="36.85546875" style="29" customWidth="1"/>
    <col min="10" max="25" width="9.140625" style="29" customWidth="1"/>
    <col min="26" max="36" width="0" style="29" hidden="1" customWidth="1"/>
    <col min="37" max="16384" width="9.140625" style="29" hidden="1"/>
  </cols>
  <sheetData>
    <row r="1" spans="1:36" s="2" customFormat="1" x14ac:dyDescent="0.2">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ht="15" x14ac:dyDescent="0.2">
      <c r="A5" s="418" t="s">
        <v>75</v>
      </c>
      <c r="B5" s="11"/>
      <c r="C5" s="11"/>
    </row>
    <row r="6" spans="1:36" x14ac:dyDescent="0.2">
      <c r="F6" s="39"/>
    </row>
    <row r="7" spans="1:36" s="225" customFormat="1" x14ac:dyDescent="0.2">
      <c r="F7" s="157"/>
    </row>
    <row r="8" spans="1:36" s="225" customFormat="1" x14ac:dyDescent="0.2">
      <c r="F8" s="157"/>
    </row>
    <row r="9" spans="1:36" s="225" customFormat="1" x14ac:dyDescent="0.2">
      <c r="F9" s="157"/>
    </row>
    <row r="10" spans="1:36" s="225" customFormat="1" x14ac:dyDescent="0.2">
      <c r="F10" s="157"/>
    </row>
    <row r="11" spans="1:36" s="225" customFormat="1" x14ac:dyDescent="0.2">
      <c r="F11" s="157"/>
    </row>
    <row r="12" spans="1:36" s="225" customFormat="1" x14ac:dyDescent="0.2">
      <c r="F12" s="157"/>
    </row>
    <row r="13" spans="1:36" s="225" customFormat="1" x14ac:dyDescent="0.2">
      <c r="F13" s="157"/>
    </row>
    <row r="14" spans="1:36" s="225" customFormat="1" x14ac:dyDescent="0.2">
      <c r="F14" s="157"/>
    </row>
    <row r="15" spans="1:36" s="225" customFormat="1" x14ac:dyDescent="0.2">
      <c r="F15" s="157"/>
    </row>
    <row r="16" spans="1:36" s="158" customFormat="1" x14ac:dyDescent="0.2">
      <c r="A16" s="168"/>
      <c r="F16" s="169"/>
    </row>
    <row r="17" spans="1:14" s="226" customFormat="1" x14ac:dyDescent="0.2">
      <c r="A17" s="255"/>
      <c r="F17" s="169"/>
    </row>
    <row r="18" spans="1:14" s="226" customFormat="1" x14ac:dyDescent="0.2">
      <c r="A18" s="255"/>
      <c r="F18" s="169"/>
    </row>
    <row r="19" spans="1:14" s="226" customFormat="1" x14ac:dyDescent="0.2">
      <c r="A19" s="255"/>
      <c r="F19" s="169"/>
    </row>
    <row r="20" spans="1:14" s="158" customFormat="1" x14ac:dyDescent="0.2">
      <c r="A20" s="146"/>
      <c r="B20" s="146"/>
      <c r="C20" s="146"/>
      <c r="D20" s="160"/>
    </row>
    <row r="21" spans="1:14" s="158" customFormat="1" x14ac:dyDescent="0.2">
      <c r="A21" s="146"/>
      <c r="B21" s="146"/>
      <c r="C21" s="146"/>
      <c r="D21" s="160"/>
    </row>
    <row r="22" spans="1:14" x14ac:dyDescent="0.2"/>
    <row r="23" spans="1:14" x14ac:dyDescent="0.2"/>
    <row r="24" spans="1:14" x14ac:dyDescent="0.2"/>
    <row r="25" spans="1:14" ht="15.75" x14ac:dyDescent="0.25">
      <c r="A25" s="433" t="s">
        <v>300</v>
      </c>
      <c r="B25" s="254" t="str">
        <f>Main!N22</f>
        <v>TMP6131DECR</v>
      </c>
      <c r="C25" s="493"/>
      <c r="D25" s="441"/>
      <c r="E25" s="441"/>
      <c r="F25" s="441"/>
      <c r="G25" s="441"/>
      <c r="H25" s="441"/>
      <c r="I25" s="441"/>
      <c r="J25" s="441"/>
      <c r="K25" s="441"/>
      <c r="L25" s="441"/>
      <c r="M25" s="441"/>
      <c r="N25" s="441"/>
    </row>
    <row r="26" spans="1:14" ht="15.75" x14ac:dyDescent="0.25">
      <c r="A26" s="437" t="s">
        <v>206</v>
      </c>
      <c r="B26" s="282">
        <f>Main!$N$25</f>
        <v>5</v>
      </c>
      <c r="C26" s="242" t="s">
        <v>2</v>
      </c>
      <c r="D26" s="493"/>
      <c r="E26" s="441"/>
      <c r="F26" s="441"/>
      <c r="G26" s="441"/>
      <c r="H26" s="441"/>
      <c r="I26" s="441"/>
      <c r="J26" s="441"/>
      <c r="K26" s="441"/>
      <c r="L26" s="441"/>
      <c r="M26" s="441"/>
      <c r="N26" s="441"/>
    </row>
    <row r="27" spans="1:14" ht="15.75" x14ac:dyDescent="0.25">
      <c r="A27" s="437" t="s">
        <v>251</v>
      </c>
      <c r="B27" s="439">
        <f>Main!N31</f>
        <v>10000</v>
      </c>
      <c r="C27" s="206" t="s">
        <v>1</v>
      </c>
      <c r="D27" s="441"/>
      <c r="E27" s="493"/>
      <c r="F27" s="441"/>
      <c r="G27" s="441"/>
      <c r="H27" s="441"/>
      <c r="I27" s="441"/>
      <c r="J27" s="441"/>
      <c r="K27" s="441"/>
      <c r="L27" s="441"/>
      <c r="M27" s="441"/>
      <c r="N27" s="441"/>
    </row>
    <row r="28" spans="1:14" s="225" customFormat="1" ht="15.75" x14ac:dyDescent="0.25">
      <c r="A28" s="440" t="s">
        <v>46</v>
      </c>
      <c r="B28" s="284">
        <f>Main!N28</f>
        <v>16</v>
      </c>
      <c r="C28" s="242" t="s">
        <v>17</v>
      </c>
      <c r="D28" s="441"/>
      <c r="E28" s="493"/>
      <c r="F28" s="441"/>
      <c r="G28" s="441"/>
      <c r="H28" s="441"/>
      <c r="I28" s="441"/>
      <c r="J28" s="441"/>
      <c r="K28" s="441"/>
      <c r="L28" s="441"/>
      <c r="M28" s="441"/>
      <c r="N28" s="441"/>
    </row>
    <row r="29" spans="1:14" s="225" customFormat="1" ht="15" x14ac:dyDescent="0.2">
      <c r="A29" s="441"/>
      <c r="B29" s="441"/>
      <c r="C29" s="441"/>
      <c r="D29" s="441"/>
      <c r="E29" s="493"/>
      <c r="F29" s="441"/>
      <c r="G29" s="441"/>
      <c r="H29" s="441"/>
      <c r="I29" s="441"/>
      <c r="J29" s="441"/>
      <c r="K29" s="441"/>
      <c r="L29" s="441"/>
      <c r="M29" s="441"/>
      <c r="N29" s="441"/>
    </row>
    <row r="30" spans="1:14" s="40" customFormat="1" ht="15" x14ac:dyDescent="0.2">
      <c r="A30" s="529"/>
      <c r="B30" s="493"/>
      <c r="C30" s="493"/>
      <c r="D30" s="493"/>
      <c r="E30" s="493"/>
      <c r="F30" s="493"/>
      <c r="G30" s="493"/>
      <c r="H30" s="493"/>
      <c r="I30" s="493"/>
      <c r="J30" s="493"/>
      <c r="K30" s="493"/>
      <c r="L30" s="493"/>
      <c r="M30" s="493"/>
      <c r="N30" s="493"/>
    </row>
    <row r="31" spans="1:14" ht="15" x14ac:dyDescent="0.2">
      <c r="A31" s="441"/>
      <c r="B31" s="493"/>
      <c r="C31" s="441"/>
      <c r="D31" s="441"/>
      <c r="E31" s="441"/>
      <c r="F31" s="441"/>
      <c r="G31" s="441"/>
      <c r="H31" s="441"/>
      <c r="I31" s="441"/>
      <c r="J31" s="441"/>
      <c r="K31" s="441"/>
      <c r="L31" s="441"/>
      <c r="M31" s="441"/>
      <c r="N31" s="441"/>
    </row>
    <row r="32" spans="1:14" ht="15.75" x14ac:dyDescent="0.25">
      <c r="A32" s="530"/>
      <c r="B32" s="531" t="str">
        <f>'4th Order Polynomial TMP vs Res'!C77</f>
        <v>Coefficients</v>
      </c>
      <c r="C32" s="532"/>
      <c r="D32" s="530"/>
      <c r="E32" s="530"/>
      <c r="F32" s="530"/>
      <c r="G32" s="441"/>
      <c r="H32" s="441"/>
      <c r="I32" s="441"/>
      <c r="J32" s="441"/>
      <c r="K32" s="441"/>
      <c r="L32" s="441"/>
      <c r="M32" s="441"/>
      <c r="N32" s="441"/>
    </row>
    <row r="33" spans="1:14" ht="15" customHeight="1" x14ac:dyDescent="0.2">
      <c r="A33" s="533"/>
      <c r="B33" s="534">
        <f>'4th Order Polynomial TMP vs Res'!C78</f>
        <v>8577.5110973016035</v>
      </c>
      <c r="C33" s="532" t="s">
        <v>81</v>
      </c>
      <c r="D33" s="530"/>
      <c r="E33" s="441"/>
      <c r="F33" s="441"/>
      <c r="G33" s="441"/>
      <c r="H33" s="441"/>
      <c r="I33" s="441"/>
      <c r="J33" s="441"/>
      <c r="K33" s="441"/>
      <c r="L33" s="441"/>
      <c r="M33" s="441"/>
      <c r="N33" s="441"/>
    </row>
    <row r="34" spans="1:14" ht="15.75" customHeight="1" x14ac:dyDescent="0.25">
      <c r="A34" s="535"/>
      <c r="B34" s="534">
        <f>'4th Order Polynomial TMP vs Res'!C79</f>
        <v>55.424734746293893</v>
      </c>
      <c r="C34" s="532" t="s">
        <v>82</v>
      </c>
      <c r="D34" s="535"/>
      <c r="E34" s="536"/>
      <c r="F34" s="536"/>
      <c r="G34" s="441"/>
      <c r="H34" s="441"/>
      <c r="I34" s="441"/>
      <c r="J34" s="441"/>
      <c r="K34" s="441"/>
      <c r="L34" s="441"/>
      <c r="M34" s="441"/>
      <c r="N34" s="441"/>
    </row>
    <row r="35" spans="1:14" ht="15" x14ac:dyDescent="0.2">
      <c r="A35" s="535"/>
      <c r="B35" s="534">
        <f>'4th Order Polynomial TMP vs Res'!C80</f>
        <v>0.15315208702836436</v>
      </c>
      <c r="C35" s="532" t="s">
        <v>83</v>
      </c>
      <c r="D35" s="537"/>
      <c r="E35" s="538"/>
      <c r="F35" s="539"/>
      <c r="G35" s="441"/>
      <c r="H35" s="441"/>
      <c r="I35" s="441"/>
      <c r="J35" s="441"/>
      <c r="K35" s="441"/>
      <c r="L35" s="441"/>
      <c r="M35" s="441"/>
      <c r="N35" s="441"/>
    </row>
    <row r="36" spans="1:14" ht="13.5" customHeight="1" x14ac:dyDescent="0.2">
      <c r="A36" s="535"/>
      <c r="B36" s="534">
        <f>'4th Order Polynomial TMP vs Res'!C81</f>
        <v>4.7879451763487967E-5</v>
      </c>
      <c r="C36" s="532" t="s">
        <v>84</v>
      </c>
      <c r="D36" s="540"/>
      <c r="E36" s="538"/>
      <c r="F36" s="539"/>
      <c r="G36" s="441"/>
      <c r="H36" s="441"/>
      <c r="I36" s="441"/>
      <c r="J36" s="441"/>
      <c r="K36" s="441"/>
      <c r="L36" s="441"/>
      <c r="M36" s="441"/>
      <c r="N36" s="441"/>
    </row>
    <row r="37" spans="1:14" ht="15" customHeight="1" x14ac:dyDescent="0.2">
      <c r="A37" s="535"/>
      <c r="B37" s="534">
        <f>'4th Order Polynomial TMP vs Res'!C82</f>
        <v>3.6429551435896884E-7</v>
      </c>
      <c r="C37" s="532" t="s">
        <v>85</v>
      </c>
      <c r="D37" s="540"/>
      <c r="E37" s="538"/>
      <c r="F37" s="539"/>
      <c r="G37" s="441"/>
      <c r="H37" s="441"/>
      <c r="I37" s="441"/>
      <c r="J37" s="441"/>
      <c r="K37" s="441"/>
      <c r="L37" s="441"/>
      <c r="M37" s="441"/>
      <c r="N37" s="441"/>
    </row>
    <row r="38" spans="1:14" ht="16.5" thickBot="1" x14ac:dyDescent="0.3">
      <c r="A38" s="541" t="s">
        <v>174</v>
      </c>
      <c r="B38" s="530"/>
      <c r="C38" s="530"/>
      <c r="D38" s="530"/>
      <c r="E38" s="538"/>
      <c r="F38" s="539"/>
      <c r="G38" s="242" t="s">
        <v>176</v>
      </c>
      <c r="H38" s="441"/>
      <c r="I38" s="441"/>
      <c r="J38" s="441"/>
      <c r="K38" s="441"/>
      <c r="L38" s="441"/>
      <c r="M38" s="441"/>
      <c r="N38" s="441"/>
    </row>
    <row r="39" spans="1:14" ht="16.5" thickBot="1" x14ac:dyDescent="0.3">
      <c r="A39" s="542" t="s">
        <v>168</v>
      </c>
      <c r="B39" s="543">
        <v>100</v>
      </c>
      <c r="C39" s="544" t="s">
        <v>221</v>
      </c>
      <c r="D39" s="545" t="s">
        <v>207</v>
      </c>
      <c r="E39" s="546"/>
      <c r="F39" s="547" t="s">
        <v>209</v>
      </c>
      <c r="G39" s="548">
        <f>B43*(B42/(B42+B44))</f>
        <v>3.0571821379093862</v>
      </c>
      <c r="H39" s="549" t="s">
        <v>2</v>
      </c>
      <c r="I39" s="532" t="s">
        <v>172</v>
      </c>
      <c r="J39" s="441"/>
      <c r="K39" s="441"/>
      <c r="L39" s="441"/>
      <c r="M39" s="441"/>
      <c r="N39" s="441"/>
    </row>
    <row r="40" spans="1:14" ht="16.5" thickBot="1" x14ac:dyDescent="0.3">
      <c r="A40" s="545"/>
      <c r="B40" s="550">
        <f>(B39*1.8)+32</f>
        <v>212</v>
      </c>
      <c r="C40" s="545" t="s">
        <v>225</v>
      </c>
      <c r="D40" s="545"/>
      <c r="E40" s="546"/>
      <c r="F40" s="547" t="s">
        <v>46</v>
      </c>
      <c r="G40" s="551">
        <f>(G39/B43)*2^B45</f>
        <v>40071.097718005905</v>
      </c>
      <c r="H40" s="549" t="s">
        <v>45</v>
      </c>
      <c r="I40" s="532" t="s">
        <v>173</v>
      </c>
      <c r="J40" s="441"/>
      <c r="K40" s="441"/>
      <c r="L40" s="441"/>
      <c r="M40" s="441"/>
      <c r="N40" s="441"/>
    </row>
    <row r="41" spans="1:14" ht="15" x14ac:dyDescent="0.2">
      <c r="A41" s="545"/>
      <c r="B41" s="552">
        <f>B39+273.15</f>
        <v>373.15</v>
      </c>
      <c r="C41" s="545" t="s">
        <v>226</v>
      </c>
      <c r="D41" s="545"/>
      <c r="E41" s="553"/>
      <c r="F41" s="538"/>
      <c r="G41" s="493"/>
      <c r="H41" s="441"/>
      <c r="I41" s="441"/>
      <c r="J41" s="441"/>
      <c r="K41" s="441"/>
      <c r="L41" s="441"/>
      <c r="M41" s="441"/>
      <c r="N41" s="441"/>
    </row>
    <row r="42" spans="1:14" ht="15" x14ac:dyDescent="0.2">
      <c r="A42" s="545" t="s">
        <v>5</v>
      </c>
      <c r="B42" s="554">
        <f>$B$33 + $B$34*$B$39 + $B$35*$B$39^2 + $B$36*$B$39^3 + $B$37*$B$39^4</f>
        <v>15735.81444541402</v>
      </c>
      <c r="C42" s="545" t="s">
        <v>1</v>
      </c>
      <c r="D42" s="545" t="s">
        <v>326</v>
      </c>
      <c r="E42" s="532"/>
      <c r="F42" s="530"/>
      <c r="G42" s="493"/>
      <c r="H42" s="441"/>
      <c r="I42" s="441"/>
      <c r="J42" s="441"/>
      <c r="K42" s="441"/>
      <c r="L42" s="441"/>
      <c r="M42" s="441"/>
      <c r="N42" s="441"/>
    </row>
    <row r="43" spans="1:14" ht="15" x14ac:dyDescent="0.2">
      <c r="A43" s="532" t="s">
        <v>206</v>
      </c>
      <c r="B43" s="555">
        <f>B26</f>
        <v>5</v>
      </c>
      <c r="C43" s="532" t="s">
        <v>40</v>
      </c>
      <c r="D43" s="532" t="s">
        <v>170</v>
      </c>
      <c r="E43" s="532"/>
      <c r="F43" s="441"/>
      <c r="G43" s="493"/>
      <c r="H43" s="441"/>
      <c r="I43" s="441"/>
      <c r="J43" s="530"/>
      <c r="K43" s="530"/>
      <c r="L43" s="441"/>
      <c r="M43" s="441"/>
      <c r="N43" s="441"/>
    </row>
    <row r="44" spans="1:14" ht="15" x14ac:dyDescent="0.2">
      <c r="A44" s="532" t="s">
        <v>251</v>
      </c>
      <c r="B44" s="556">
        <f>B27</f>
        <v>10000</v>
      </c>
      <c r="C44" s="532" t="s">
        <v>1</v>
      </c>
      <c r="D44" s="532" t="s">
        <v>169</v>
      </c>
      <c r="E44" s="532"/>
      <c r="F44" s="441"/>
      <c r="G44" s="493"/>
      <c r="H44" s="441"/>
      <c r="I44" s="441"/>
      <c r="J44" s="530"/>
      <c r="K44" s="530"/>
      <c r="L44" s="441"/>
      <c r="M44" s="441"/>
      <c r="N44" s="441"/>
    </row>
    <row r="45" spans="1:14" ht="15" x14ac:dyDescent="0.2">
      <c r="A45" s="557" t="s">
        <v>42</v>
      </c>
      <c r="B45" s="554">
        <f>B28</f>
        <v>16</v>
      </c>
      <c r="C45" s="549" t="s">
        <v>17</v>
      </c>
      <c r="D45" s="532" t="s">
        <v>41</v>
      </c>
      <c r="E45" s="532"/>
      <c r="F45" s="441"/>
      <c r="G45" s="493"/>
      <c r="H45" s="441"/>
      <c r="I45" s="441"/>
      <c r="J45" s="441"/>
      <c r="K45" s="441"/>
      <c r="L45" s="441"/>
      <c r="M45" s="441"/>
      <c r="N45" s="441"/>
    </row>
    <row r="46" spans="1:14" ht="15" x14ac:dyDescent="0.2">
      <c r="A46" s="558"/>
      <c r="B46" s="538"/>
      <c r="C46" s="558"/>
      <c r="D46" s="558"/>
      <c r="E46" s="558"/>
      <c r="F46" s="441"/>
      <c r="G46" s="493"/>
      <c r="H46" s="441"/>
      <c r="I46" s="441"/>
      <c r="J46" s="441"/>
      <c r="K46" s="441"/>
      <c r="L46" s="441"/>
      <c r="M46" s="441"/>
      <c r="N46" s="441"/>
    </row>
    <row r="47" spans="1:14" ht="15" x14ac:dyDescent="0.2">
      <c r="A47" s="530"/>
      <c r="B47" s="441"/>
      <c r="C47" s="441"/>
      <c r="D47" s="441"/>
      <c r="E47" s="441"/>
      <c r="F47" s="441"/>
      <c r="G47" s="493"/>
      <c r="H47" s="441"/>
      <c r="I47" s="441"/>
      <c r="J47" s="441"/>
      <c r="K47" s="441"/>
      <c r="L47" s="441"/>
      <c r="M47" s="441"/>
      <c r="N47" s="441"/>
    </row>
    <row r="48" spans="1:14" ht="16.5" thickBot="1" x14ac:dyDescent="0.3">
      <c r="A48" s="559" t="s">
        <v>175</v>
      </c>
      <c r="B48" s="560"/>
      <c r="C48" s="522"/>
      <c r="D48" s="523"/>
      <c r="E48" s="522"/>
      <c r="F48" s="561"/>
      <c r="G48" s="251" t="s">
        <v>176</v>
      </c>
      <c r="H48" s="441"/>
      <c r="I48" s="441"/>
      <c r="J48" s="441"/>
      <c r="K48" s="441"/>
      <c r="L48" s="441"/>
      <c r="M48" s="441"/>
      <c r="N48" s="441"/>
    </row>
    <row r="49" spans="1:14" ht="16.5" thickBot="1" x14ac:dyDescent="0.3">
      <c r="A49" s="542" t="s">
        <v>171</v>
      </c>
      <c r="B49" s="543">
        <v>-40</v>
      </c>
      <c r="C49" s="544" t="s">
        <v>221</v>
      </c>
      <c r="D49" s="545" t="s">
        <v>208</v>
      </c>
      <c r="E49" s="546"/>
      <c r="F49" s="547" t="s">
        <v>209</v>
      </c>
      <c r="G49" s="548">
        <f>B53*(B52/(B52+B54))</f>
        <v>1.9885746567586997</v>
      </c>
      <c r="H49" s="549" t="s">
        <v>2</v>
      </c>
      <c r="I49" s="532" t="s">
        <v>172</v>
      </c>
      <c r="J49" s="441"/>
      <c r="K49" s="441"/>
      <c r="L49" s="441"/>
      <c r="M49" s="441"/>
      <c r="N49" s="441"/>
    </row>
    <row r="50" spans="1:14" ht="16.5" thickBot="1" x14ac:dyDescent="0.3">
      <c r="A50" s="545"/>
      <c r="B50" s="550">
        <f>(B49*1.8)+32</f>
        <v>-40</v>
      </c>
      <c r="C50" s="545" t="s">
        <v>225</v>
      </c>
      <c r="D50" s="545"/>
      <c r="E50" s="546"/>
      <c r="F50" s="547" t="s">
        <v>46</v>
      </c>
      <c r="G50" s="551">
        <f>(G49/B53)*2^B55</f>
        <v>26064.64574106763</v>
      </c>
      <c r="H50" s="549" t="s">
        <v>45</v>
      </c>
      <c r="I50" s="532" t="s">
        <v>173</v>
      </c>
      <c r="J50" s="441"/>
      <c r="K50" s="441"/>
      <c r="L50" s="441"/>
      <c r="M50" s="441"/>
      <c r="N50" s="441"/>
    </row>
    <row r="51" spans="1:14" ht="15" x14ac:dyDescent="0.2">
      <c r="A51" s="545"/>
      <c r="B51" s="552">
        <f>B49+273.15</f>
        <v>233.14999999999998</v>
      </c>
      <c r="C51" s="532" t="s">
        <v>228</v>
      </c>
      <c r="D51" s="545"/>
      <c r="E51" s="553"/>
      <c r="F51" s="538"/>
      <c r="G51" s="441"/>
      <c r="H51" s="441"/>
      <c r="I51" s="441"/>
      <c r="J51" s="441"/>
      <c r="K51" s="441"/>
      <c r="L51" s="441"/>
      <c r="M51" s="441"/>
      <c r="N51" s="441"/>
    </row>
    <row r="52" spans="1:14" ht="15" x14ac:dyDescent="0.2">
      <c r="A52" s="545" t="s">
        <v>5</v>
      </c>
      <c r="B52" s="554">
        <f>$B$33 + $B$34*$B$49 + $B$35*$B$49^2 + $B$36*$B$49^3 + $B$37*$B$49^4</f>
        <v>6603.4333582991267</v>
      </c>
      <c r="C52" s="545" t="s">
        <v>1</v>
      </c>
      <c r="D52" s="545" t="s">
        <v>121</v>
      </c>
      <c r="E52" s="532"/>
      <c r="F52" s="530"/>
      <c r="G52" s="441"/>
      <c r="H52" s="441"/>
      <c r="I52" s="441"/>
      <c r="J52" s="441"/>
      <c r="K52" s="441"/>
      <c r="L52" s="441"/>
      <c r="M52" s="441"/>
      <c r="N52" s="441"/>
    </row>
    <row r="53" spans="1:14" ht="15" x14ac:dyDescent="0.2">
      <c r="A53" s="532" t="s">
        <v>206</v>
      </c>
      <c r="B53" s="555">
        <f>B26</f>
        <v>5</v>
      </c>
      <c r="C53" s="532" t="s">
        <v>40</v>
      </c>
      <c r="D53" s="532" t="s">
        <v>170</v>
      </c>
      <c r="E53" s="532"/>
      <c r="F53" s="441"/>
      <c r="G53" s="441"/>
      <c r="H53" s="441"/>
      <c r="I53" s="441"/>
      <c r="J53" s="530"/>
      <c r="K53" s="530"/>
      <c r="L53" s="441"/>
      <c r="M53" s="441"/>
      <c r="N53" s="441"/>
    </row>
    <row r="54" spans="1:14" ht="15" x14ac:dyDescent="0.2">
      <c r="A54" s="532" t="s">
        <v>251</v>
      </c>
      <c r="B54" s="556">
        <f>B27</f>
        <v>10000</v>
      </c>
      <c r="C54" s="532" t="s">
        <v>1</v>
      </c>
      <c r="D54" s="532" t="s">
        <v>169</v>
      </c>
      <c r="E54" s="532"/>
      <c r="F54" s="441"/>
      <c r="G54" s="441"/>
      <c r="H54" s="441"/>
      <c r="I54" s="441"/>
      <c r="J54" s="530"/>
      <c r="K54" s="530"/>
      <c r="L54" s="441"/>
      <c r="M54" s="441"/>
      <c r="N54" s="441"/>
    </row>
    <row r="55" spans="1:14" ht="15" x14ac:dyDescent="0.2">
      <c r="A55" s="557" t="s">
        <v>42</v>
      </c>
      <c r="B55" s="554">
        <f>B28</f>
        <v>16</v>
      </c>
      <c r="C55" s="549" t="s">
        <v>17</v>
      </c>
      <c r="D55" s="532" t="s">
        <v>41</v>
      </c>
      <c r="E55" s="532"/>
      <c r="F55" s="441"/>
      <c r="G55" s="441"/>
      <c r="H55" s="441"/>
      <c r="I55" s="441"/>
      <c r="J55" s="441"/>
      <c r="K55" s="441"/>
      <c r="L55" s="441"/>
      <c r="M55" s="441"/>
      <c r="N55" s="441"/>
    </row>
    <row r="56" spans="1:14" ht="15" x14ac:dyDescent="0.2">
      <c r="A56" s="558"/>
      <c r="B56" s="538"/>
      <c r="C56" s="558"/>
      <c r="D56" s="558"/>
      <c r="E56" s="558"/>
      <c r="F56" s="441"/>
      <c r="G56" s="441"/>
      <c r="H56" s="441"/>
      <c r="I56" s="441"/>
      <c r="J56" s="441"/>
      <c r="K56" s="441"/>
      <c r="L56" s="441"/>
      <c r="M56" s="441"/>
      <c r="N56" s="441"/>
    </row>
    <row r="57" spans="1:14" ht="15" x14ac:dyDescent="0.2">
      <c r="A57" s="441"/>
      <c r="B57" s="441"/>
      <c r="C57" s="441"/>
      <c r="D57" s="441"/>
      <c r="E57" s="441"/>
      <c r="F57" s="441"/>
      <c r="G57" s="441"/>
      <c r="H57" s="441"/>
      <c r="I57" s="441"/>
      <c r="J57" s="441"/>
      <c r="K57" s="441"/>
      <c r="L57" s="441"/>
      <c r="M57" s="441"/>
      <c r="N57" s="441"/>
    </row>
    <row r="58" spans="1:14" ht="15.75" x14ac:dyDescent="0.25">
      <c r="A58" s="562"/>
      <c r="B58" s="563"/>
      <c r="C58" s="564"/>
      <c r="D58" s="563"/>
      <c r="E58" s="441"/>
      <c r="F58" s="441"/>
      <c r="G58" s="441"/>
      <c r="H58" s="441"/>
      <c r="I58" s="441"/>
      <c r="J58" s="441"/>
      <c r="K58" s="441"/>
      <c r="L58" s="441"/>
      <c r="M58" s="441"/>
      <c r="N58" s="441"/>
    </row>
    <row r="59" spans="1:14" x14ac:dyDescent="0.2">
      <c r="A59" s="60"/>
      <c r="B59" s="61"/>
      <c r="C59" s="62"/>
      <c r="D59" s="61"/>
      <c r="E59" s="225"/>
      <c r="F59" s="225"/>
      <c r="G59" s="225"/>
      <c r="H59" s="225"/>
      <c r="I59" s="225"/>
    </row>
    <row r="60" spans="1:14" x14ac:dyDescent="0.2">
      <c r="A60" s="60"/>
      <c r="B60" s="61"/>
      <c r="C60" s="225"/>
      <c r="D60" s="61"/>
      <c r="E60" s="225"/>
      <c r="F60" s="225"/>
      <c r="G60" s="225"/>
      <c r="H60" s="225"/>
      <c r="I60" s="225"/>
    </row>
    <row r="61" spans="1:14" x14ac:dyDescent="0.2">
      <c r="A61" s="60"/>
      <c r="B61" s="61"/>
      <c r="C61" s="62"/>
      <c r="D61" s="61"/>
    </row>
    <row r="62" spans="1:14" x14ac:dyDescent="0.2">
      <c r="C62" s="49"/>
    </row>
    <row r="63" spans="1:14" x14ac:dyDescent="0.2"/>
    <row r="64" spans="1:1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sheetData>
  <sheetProtection algorithmName="SHA-512" hashValue="b78+cC20JDLkV7nQMC0hTULUj0gIYnw8NWuIXYmbRb15REiuEiz5R5ECuuJGG9imehysynTYASJSHdwfG9MyGg==" saltValue="ukPJVB0kiuk85HHem7p5eQ==" spinCount="100000" sheet="1" objects="1" scenarios="1"/>
  <mergeCells count="2">
    <mergeCell ref="A1:U3"/>
    <mergeCell ref="A4:Y4"/>
  </mergeCells>
  <hyperlinks>
    <hyperlink ref="A5" location="Main!K46" display="Return to Menu" xr:uid="{00000000-0004-0000-09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decimal" allowBlank="1" showInputMessage="1" showErrorMessage="1" errorTitle="Low temperature" error="Enter a value between -40 and the maximum operating temperature of the device selected." promptTitle="Low temperature" prompt="Enter a value between -40 and the maximum operating temperature of the device selected." xr:uid="{00000000-0002-0000-0900-000000000000}">
          <x14:formula1>
            <xm:f>-40</xm:f>
          </x14:formula1>
          <x14:formula2>
            <xm:f>VLOOKUP(Main!$N$22,Coefficients!$E$2:$H$28,4,FALSE)</xm:f>
          </x14:formula2>
          <xm:sqref>B49</xm:sqref>
        </x14:dataValidation>
        <x14:dataValidation type="decimal" allowBlank="1" showInputMessage="1" showErrorMessage="1" errorTitle="High temperature" error="Enter a value between -40 and the maximum operating temperature of the device selected." promptTitle="High temperature" prompt="Enter a value between -40 and the maximum operating temperature of the device selected." xr:uid="{00000000-0002-0000-0900-000001000000}">
          <x14:formula1>
            <xm:f>-40</xm:f>
          </x14:formula1>
          <x14:formula2>
            <xm:f>VLOOKUP(Main!$N$22,Coefficients!$E$2:$H$28,4,FALSE)</xm:f>
          </x14:formula2>
          <xm:sqref>B39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J189"/>
  <sheetViews>
    <sheetView showGridLines="0" zoomScale="80" zoomScaleNormal="80" workbookViewId="0">
      <selection activeCell="A140" sqref="A140"/>
    </sheetView>
  </sheetViews>
  <sheetFormatPr defaultRowHeight="12.75" x14ac:dyDescent="0.2"/>
  <cols>
    <col min="1" max="1" width="12.85546875" customWidth="1"/>
    <col min="2" max="2" width="15.42578125" customWidth="1"/>
    <col min="3" max="3" width="6" customWidth="1"/>
    <col min="4" max="4" width="15.7109375" customWidth="1"/>
    <col min="5" max="5" width="11.7109375" customWidth="1"/>
    <col min="6" max="6" width="12.85546875" customWidth="1"/>
    <col min="7" max="7" width="5.85546875" customWidth="1"/>
    <col min="8" max="8" width="12.85546875" customWidth="1"/>
    <col min="9" max="9" width="6.28515625" customWidth="1"/>
    <col min="10" max="10" width="12.85546875" customWidth="1"/>
    <col min="11" max="11" width="6" customWidth="1"/>
    <col min="12" max="12" width="12.85546875" customWidth="1"/>
    <col min="13" max="13" width="5.140625" customWidth="1"/>
    <col min="14" max="14" width="12.85546875" customWidth="1"/>
    <col min="15" max="15" width="5.140625" customWidth="1"/>
    <col min="16" max="16" width="12.85546875" customWidth="1"/>
    <col min="17" max="17" width="4.5703125" customWidth="1"/>
    <col min="18" max="18" width="12.85546875" customWidth="1"/>
    <col min="19" max="19" width="4.5703125" customWidth="1"/>
    <col min="20" max="20" width="12.85546875" customWidth="1"/>
    <col min="21" max="21" width="5.42578125" customWidth="1"/>
    <col min="22" max="22" width="12.85546875" customWidth="1"/>
    <col min="23" max="23" width="5.85546875" customWidth="1"/>
    <col min="24" max="24" width="12" customWidth="1"/>
    <col min="25" max="25" width="6.42578125" customWidth="1"/>
    <col min="26" max="26" width="5.42578125" customWidth="1"/>
  </cols>
  <sheetData>
    <row r="1" spans="1:36" s="2" customFormat="1" x14ac:dyDescent="0.2">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s="6" customFormat="1" ht="15" x14ac:dyDescent="0.2">
      <c r="A5" s="771" t="s">
        <v>75</v>
      </c>
      <c r="B5" s="771"/>
    </row>
    <row r="8" spans="1:36" ht="15" x14ac:dyDescent="0.2">
      <c r="A8" s="420" t="s">
        <v>247</v>
      </c>
    </row>
    <row r="39" spans="1:28" ht="15.75" x14ac:dyDescent="0.25">
      <c r="A39" s="302"/>
      <c r="B39" s="302"/>
      <c r="C39" s="302"/>
      <c r="D39" s="302"/>
      <c r="E39" s="302"/>
      <c r="F39" s="302"/>
      <c r="G39" s="302"/>
      <c r="H39" s="302"/>
      <c r="I39" s="302"/>
      <c r="J39" s="302"/>
      <c r="K39" s="302"/>
      <c r="L39" s="302"/>
      <c r="M39" s="302"/>
      <c r="N39" s="302"/>
      <c r="O39" s="302"/>
      <c r="P39" s="302"/>
      <c r="Q39" s="302"/>
      <c r="R39" s="302"/>
      <c r="S39" s="302"/>
      <c r="T39" s="302"/>
      <c r="U39" s="302"/>
      <c r="V39" s="302"/>
      <c r="W39" s="302"/>
      <c r="X39" s="302"/>
      <c r="Y39" s="302"/>
      <c r="Z39" s="302"/>
    </row>
    <row r="40" spans="1:28" ht="15.75" x14ac:dyDescent="0.25">
      <c r="A40" s="304"/>
      <c r="B40" s="304"/>
      <c r="C40" s="304"/>
      <c r="D40" s="304"/>
      <c r="E40" s="304"/>
      <c r="F40" s="304"/>
      <c r="G40" s="304"/>
      <c r="H40" s="304"/>
      <c r="I40" s="304"/>
      <c r="J40" s="304"/>
      <c r="K40" s="304"/>
      <c r="L40" s="304"/>
      <c r="M40" s="304"/>
      <c r="N40" s="304"/>
      <c r="O40" s="304"/>
      <c r="P40" s="304"/>
      <c r="Q40" s="304"/>
      <c r="R40" s="304"/>
      <c r="S40" s="304"/>
      <c r="T40" s="304"/>
      <c r="U40" s="304"/>
      <c r="V40" s="304"/>
      <c r="W40" s="304"/>
      <c r="X40" s="304"/>
      <c r="Y40" s="304"/>
      <c r="Z40" s="304"/>
      <c r="AA40" s="117"/>
      <c r="AB40" s="117"/>
    </row>
    <row r="41" spans="1:28" ht="15.75" x14ac:dyDescent="0.25">
      <c r="A41" s="304"/>
      <c r="B41" s="304"/>
      <c r="C41" s="304"/>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117"/>
      <c r="AB41" s="117"/>
    </row>
    <row r="42" spans="1:28" ht="15.75" x14ac:dyDescent="0.25">
      <c r="A42" s="304"/>
      <c r="B42" s="304"/>
      <c r="C42" s="304"/>
      <c r="D42" s="304"/>
      <c r="E42" s="304"/>
      <c r="F42" s="304"/>
      <c r="G42" s="304"/>
      <c r="H42" s="304"/>
      <c r="I42" s="304"/>
      <c r="J42" s="304"/>
      <c r="K42" s="304"/>
      <c r="L42" s="304"/>
      <c r="M42" s="304"/>
      <c r="N42" s="304"/>
      <c r="O42" s="304"/>
      <c r="P42" s="304"/>
      <c r="Q42" s="304"/>
      <c r="R42" s="304"/>
      <c r="S42" s="304"/>
      <c r="T42" s="304"/>
      <c r="U42" s="304"/>
      <c r="V42" s="304"/>
      <c r="W42" s="304"/>
      <c r="X42" s="304"/>
      <c r="Y42" s="304"/>
      <c r="Z42" s="304"/>
      <c r="AA42" s="117"/>
      <c r="AB42" s="117"/>
    </row>
    <row r="43" spans="1:28" ht="15.75" x14ac:dyDescent="0.25">
      <c r="A43" s="304"/>
      <c r="B43" s="305"/>
      <c r="C43" s="305"/>
      <c r="D43" s="306"/>
      <c r="E43" s="306"/>
      <c r="F43" s="307"/>
      <c r="G43" s="304"/>
      <c r="H43" s="304"/>
      <c r="I43" s="304"/>
      <c r="J43" s="304"/>
      <c r="K43" s="304"/>
      <c r="L43" s="304"/>
      <c r="M43" s="304"/>
      <c r="N43" s="304"/>
      <c r="O43" s="304"/>
      <c r="P43" s="304"/>
      <c r="Q43" s="304"/>
      <c r="R43" s="304"/>
      <c r="S43" s="304"/>
      <c r="T43" s="304"/>
      <c r="U43" s="304"/>
      <c r="V43" s="304"/>
      <c r="W43" s="304"/>
      <c r="X43" s="304"/>
      <c r="Y43" s="304"/>
      <c r="Z43" s="304"/>
      <c r="AA43" s="117"/>
      <c r="AB43" s="117"/>
    </row>
    <row r="44" spans="1:28" ht="15.75" x14ac:dyDescent="0.25">
      <c r="A44" s="304"/>
      <c r="B44" s="305"/>
      <c r="C44" s="305"/>
      <c r="D44" s="305"/>
      <c r="E44" s="308"/>
      <c r="F44" s="307"/>
      <c r="G44" s="301"/>
      <c r="H44" s="303"/>
      <c r="I44" s="301"/>
      <c r="J44" s="301"/>
      <c r="K44" s="301"/>
      <c r="L44" s="304"/>
      <c r="M44" s="304"/>
      <c r="N44" s="304"/>
      <c r="O44" s="304"/>
      <c r="P44" s="304"/>
      <c r="Q44" s="304"/>
      <c r="R44" s="304"/>
      <c r="S44" s="304"/>
      <c r="T44" s="309"/>
      <c r="U44" s="309"/>
      <c r="V44" s="309"/>
      <c r="W44" s="304"/>
      <c r="X44" s="304"/>
      <c r="Y44" s="304"/>
      <c r="Z44" s="304"/>
      <c r="AA44" s="117"/>
      <c r="AB44" s="117"/>
    </row>
    <row r="45" spans="1:28" ht="15.75" x14ac:dyDescent="0.25">
      <c r="A45" s="304"/>
      <c r="B45" s="305"/>
      <c r="C45" s="305"/>
      <c r="D45" s="305"/>
      <c r="E45" s="308"/>
      <c r="F45" s="301"/>
      <c r="G45" s="301"/>
      <c r="H45" s="303"/>
      <c r="I45" s="301"/>
      <c r="J45" s="301"/>
      <c r="K45" s="301"/>
      <c r="L45" s="304"/>
      <c r="M45" s="304"/>
      <c r="N45" s="304"/>
      <c r="O45" s="304"/>
      <c r="P45" s="304"/>
      <c r="Q45" s="304"/>
      <c r="R45" s="304"/>
      <c r="S45" s="304"/>
      <c r="T45" s="309"/>
      <c r="U45" s="309"/>
      <c r="V45" s="309"/>
      <c r="W45" s="304"/>
      <c r="X45" s="304"/>
      <c r="Y45" s="304"/>
      <c r="Z45" s="304"/>
      <c r="AA45" s="117"/>
      <c r="AB45" s="117"/>
    </row>
    <row r="46" spans="1:28" ht="15.75" x14ac:dyDescent="0.25">
      <c r="A46" s="304"/>
      <c r="B46" s="305"/>
      <c r="C46" s="305"/>
      <c r="D46" s="305"/>
      <c r="E46" s="308"/>
      <c r="F46" s="301"/>
      <c r="G46" s="301"/>
      <c r="H46" s="301"/>
      <c r="I46" s="301"/>
      <c r="J46" s="301"/>
      <c r="K46" s="301"/>
      <c r="L46" s="304"/>
      <c r="M46" s="304"/>
      <c r="N46" s="304"/>
      <c r="O46" s="304"/>
      <c r="P46" s="304"/>
      <c r="Q46" s="304"/>
      <c r="R46" s="304"/>
      <c r="S46" s="304"/>
      <c r="T46" s="309"/>
      <c r="U46" s="309"/>
      <c r="V46" s="309"/>
      <c r="W46" s="304"/>
      <c r="X46" s="304"/>
      <c r="Y46" s="304"/>
      <c r="Z46" s="304"/>
      <c r="AA46" s="117"/>
      <c r="AB46" s="117"/>
    </row>
    <row r="47" spans="1:28" ht="15.75" x14ac:dyDescent="0.25">
      <c r="A47" s="304"/>
      <c r="B47" s="304"/>
      <c r="C47" s="304"/>
      <c r="D47" s="304"/>
      <c r="E47" s="304"/>
      <c r="F47" s="304"/>
      <c r="G47" s="304"/>
      <c r="H47" s="304"/>
      <c r="I47" s="304"/>
      <c r="J47" s="304"/>
      <c r="K47" s="304"/>
      <c r="L47" s="304"/>
      <c r="M47" s="304"/>
      <c r="N47" s="304"/>
      <c r="O47" s="304"/>
      <c r="P47" s="304"/>
      <c r="Q47" s="304"/>
      <c r="R47" s="304"/>
      <c r="S47" s="304"/>
      <c r="T47" s="309"/>
      <c r="U47" s="309"/>
      <c r="V47" s="309"/>
      <c r="W47" s="304"/>
      <c r="X47" s="304"/>
      <c r="Y47" s="304"/>
      <c r="Z47" s="304"/>
      <c r="AA47" s="117"/>
      <c r="AB47" s="117"/>
    </row>
    <row r="48" spans="1:28" ht="15.75" x14ac:dyDescent="0.25">
      <c r="A48" s="310"/>
      <c r="B48" s="304"/>
      <c r="C48" s="304"/>
      <c r="D48" s="304"/>
      <c r="E48" s="304"/>
      <c r="F48" s="304"/>
      <c r="G48" s="304"/>
      <c r="H48" s="304"/>
      <c r="I48" s="304"/>
      <c r="J48" s="311"/>
      <c r="K48" s="304"/>
      <c r="L48" s="311"/>
      <c r="M48" s="311"/>
      <c r="N48" s="311"/>
      <c r="O48" s="311"/>
      <c r="P48" s="311"/>
      <c r="Q48" s="304"/>
      <c r="R48" s="311"/>
      <c r="S48" s="304"/>
      <c r="T48" s="311"/>
      <c r="U48" s="304"/>
      <c r="V48" s="304"/>
      <c r="W48" s="304"/>
      <c r="X48" s="304"/>
      <c r="Y48" s="304"/>
      <c r="Z48" s="304"/>
      <c r="AA48" s="310"/>
      <c r="AB48" s="310"/>
    </row>
    <row r="49" spans="1:28" ht="15.75" x14ac:dyDescent="0.25">
      <c r="A49" s="304"/>
      <c r="B49" s="310"/>
      <c r="C49" s="310"/>
      <c r="D49" s="310"/>
      <c r="E49" s="310"/>
      <c r="F49" s="310"/>
      <c r="G49" s="310"/>
      <c r="H49" s="310"/>
      <c r="I49" s="310"/>
      <c r="J49" s="310"/>
      <c r="K49" s="310"/>
      <c r="L49" s="310"/>
      <c r="M49" s="310"/>
      <c r="N49" s="310"/>
      <c r="O49" s="310"/>
      <c r="P49" s="310"/>
      <c r="Q49" s="310"/>
      <c r="R49" s="310"/>
      <c r="S49" s="310"/>
      <c r="T49" s="310"/>
      <c r="U49" s="310"/>
      <c r="V49" s="312"/>
      <c r="W49" s="310"/>
      <c r="X49" s="304"/>
      <c r="Y49" s="304"/>
      <c r="Z49" s="304"/>
      <c r="AA49" s="117"/>
      <c r="AB49" s="117"/>
    </row>
    <row r="50" spans="1:28" ht="15.75" x14ac:dyDescent="0.25">
      <c r="A50" s="304"/>
      <c r="B50" s="304"/>
      <c r="C50" s="304"/>
      <c r="D50" s="304"/>
      <c r="E50" s="304"/>
      <c r="F50" s="304"/>
      <c r="G50" s="304"/>
      <c r="H50" s="304"/>
      <c r="I50" s="304"/>
      <c r="J50" s="304"/>
      <c r="K50" s="304"/>
      <c r="L50" s="304"/>
      <c r="M50" s="304"/>
      <c r="N50" s="313"/>
      <c r="O50" s="304"/>
      <c r="P50" s="313"/>
      <c r="Q50" s="304"/>
      <c r="R50" s="313"/>
      <c r="S50" s="304"/>
      <c r="T50" s="313"/>
      <c r="U50" s="304"/>
      <c r="V50" s="304"/>
      <c r="W50" s="304"/>
      <c r="X50" s="304"/>
      <c r="Y50" s="304"/>
      <c r="Z50" s="304"/>
      <c r="AA50" s="117"/>
      <c r="AB50" s="117"/>
    </row>
    <row r="51" spans="1:28" ht="15.75" x14ac:dyDescent="0.25">
      <c r="A51" s="304"/>
      <c r="B51" s="304"/>
      <c r="C51" s="304"/>
      <c r="D51" s="304"/>
      <c r="E51" s="304"/>
      <c r="F51" s="304"/>
      <c r="G51" s="304"/>
      <c r="H51" s="304"/>
      <c r="I51" s="304"/>
      <c r="J51" s="304"/>
      <c r="K51" s="304"/>
      <c r="L51" s="313"/>
      <c r="M51" s="304"/>
      <c r="N51" s="313"/>
      <c r="O51" s="304"/>
      <c r="P51" s="313"/>
      <c r="Q51" s="304"/>
      <c r="R51" s="313"/>
      <c r="S51" s="304"/>
      <c r="T51" s="313"/>
      <c r="U51" s="304"/>
      <c r="V51" s="304"/>
      <c r="W51" s="304"/>
      <c r="X51" s="304"/>
      <c r="Y51" s="304"/>
      <c r="Z51" s="304"/>
      <c r="AA51" s="117"/>
      <c r="AB51" s="117"/>
    </row>
    <row r="52" spans="1:28" ht="15.75" x14ac:dyDescent="0.25">
      <c r="A52" s="304"/>
      <c r="B52" s="304"/>
      <c r="C52" s="304"/>
      <c r="D52" s="304"/>
      <c r="E52" s="304"/>
      <c r="F52" s="304"/>
      <c r="G52" s="304"/>
      <c r="H52" s="304"/>
      <c r="I52" s="304"/>
      <c r="J52" s="304"/>
      <c r="K52" s="304"/>
      <c r="L52" s="313"/>
      <c r="M52" s="304"/>
      <c r="N52" s="313"/>
      <c r="O52" s="304"/>
      <c r="P52" s="313"/>
      <c r="Q52" s="304"/>
      <c r="R52" s="313"/>
      <c r="S52" s="304"/>
      <c r="T52" s="313"/>
      <c r="U52" s="304"/>
      <c r="V52" s="304"/>
      <c r="W52" s="304"/>
      <c r="X52" s="304"/>
      <c r="Y52" s="304"/>
      <c r="Z52" s="304"/>
      <c r="AA52" s="117"/>
      <c r="AB52" s="117"/>
    </row>
    <row r="53" spans="1:28" ht="15.75" x14ac:dyDescent="0.25">
      <c r="A53" s="304"/>
      <c r="B53" s="304"/>
      <c r="C53" s="304"/>
      <c r="D53" s="304"/>
      <c r="E53" s="304"/>
      <c r="F53" s="304"/>
      <c r="G53" s="304"/>
      <c r="H53" s="304"/>
      <c r="I53" s="304"/>
      <c r="J53" s="304"/>
      <c r="K53" s="303"/>
      <c r="L53" s="304"/>
      <c r="M53" s="304"/>
      <c r="N53" s="314"/>
      <c r="O53" s="303"/>
      <c r="P53" s="304"/>
      <c r="Q53" s="313"/>
      <c r="R53" s="304"/>
      <c r="S53" s="303"/>
      <c r="T53" s="304"/>
      <c r="U53" s="303"/>
      <c r="V53" s="303"/>
      <c r="W53" s="303"/>
      <c r="X53" s="304"/>
      <c r="Y53" s="304"/>
      <c r="Z53" s="304"/>
      <c r="AA53" s="117"/>
      <c r="AB53" s="117"/>
    </row>
    <row r="54" spans="1:28" ht="15.75" x14ac:dyDescent="0.25">
      <c r="A54" s="304"/>
      <c r="B54" s="304"/>
      <c r="C54" s="304"/>
      <c r="D54" s="304"/>
      <c r="E54" s="304"/>
      <c r="F54" s="315"/>
      <c r="G54" s="315"/>
      <c r="H54" s="316"/>
      <c r="I54" s="315"/>
      <c r="J54" s="304"/>
      <c r="K54" s="304"/>
      <c r="L54" s="304"/>
      <c r="M54" s="303"/>
      <c r="N54" s="314"/>
      <c r="O54" s="303"/>
      <c r="P54" s="288"/>
      <c r="Q54" s="289"/>
      <c r="R54" s="304"/>
      <c r="S54" s="304"/>
      <c r="T54" s="304"/>
      <c r="U54" s="303"/>
      <c r="V54" s="303"/>
      <c r="W54" s="304"/>
      <c r="X54" s="304"/>
      <c r="Y54" s="304"/>
      <c r="Z54" s="304"/>
      <c r="AA54" s="117"/>
      <c r="AB54" s="117"/>
    </row>
    <row r="55" spans="1:28" ht="15.75" x14ac:dyDescent="0.25">
      <c r="A55" s="304"/>
      <c r="B55" s="304"/>
      <c r="C55" s="304"/>
      <c r="D55" s="304"/>
      <c r="E55" s="304"/>
      <c r="F55" s="288"/>
      <c r="G55" s="288"/>
      <c r="H55" s="288"/>
      <c r="I55" s="288"/>
      <c r="J55" s="288"/>
      <c r="K55" s="288"/>
      <c r="L55" s="289"/>
      <c r="M55" s="288"/>
      <c r="N55" s="288"/>
      <c r="O55" s="288"/>
      <c r="P55" s="288"/>
      <c r="Q55" s="289"/>
      <c r="R55" s="289"/>
      <c r="S55" s="288"/>
      <c r="T55" s="304"/>
      <c r="U55" s="304"/>
      <c r="V55" s="304"/>
      <c r="W55" s="304"/>
      <c r="X55" s="304"/>
      <c r="Y55" s="304"/>
      <c r="Z55" s="304"/>
      <c r="AA55" s="117"/>
      <c r="AB55" s="117"/>
    </row>
    <row r="56" spans="1:28" ht="15.75" x14ac:dyDescent="0.25">
      <c r="A56" s="304"/>
      <c r="B56" s="304"/>
      <c r="C56" s="304"/>
      <c r="D56" s="304"/>
      <c r="E56" s="304"/>
      <c r="F56" s="288"/>
      <c r="G56" s="288"/>
      <c r="H56" s="288"/>
      <c r="I56" s="288"/>
      <c r="J56" s="288"/>
      <c r="K56" s="288"/>
      <c r="L56" s="288"/>
      <c r="M56" s="288"/>
      <c r="N56" s="288"/>
      <c r="O56" s="288"/>
      <c r="P56" s="288"/>
      <c r="Q56" s="288"/>
      <c r="R56" s="288"/>
      <c r="S56" s="288"/>
      <c r="T56" s="304"/>
      <c r="U56" s="304"/>
      <c r="V56" s="304"/>
      <c r="W56" s="304"/>
      <c r="X56" s="304"/>
      <c r="Y56" s="304"/>
      <c r="Z56" s="304"/>
      <c r="AA56" s="117"/>
      <c r="AB56" s="117"/>
    </row>
    <row r="57" spans="1:28" ht="15.75" x14ac:dyDescent="0.25">
      <c r="A57" s="304"/>
      <c r="B57" s="304"/>
      <c r="C57" s="304"/>
      <c r="D57" s="304"/>
      <c r="E57" s="304"/>
      <c r="F57" s="288"/>
      <c r="G57" s="288"/>
      <c r="H57" s="288"/>
      <c r="I57" s="288"/>
      <c r="J57" s="288"/>
      <c r="K57" s="288"/>
      <c r="L57" s="288"/>
      <c r="M57" s="288"/>
      <c r="N57" s="288"/>
      <c r="O57" s="288"/>
      <c r="P57" s="288"/>
      <c r="Q57" s="288"/>
      <c r="R57" s="288"/>
      <c r="S57" s="288"/>
      <c r="T57" s="304"/>
      <c r="U57" s="304"/>
      <c r="V57" s="304"/>
      <c r="W57" s="304"/>
      <c r="X57" s="304"/>
      <c r="Y57" s="304"/>
      <c r="Z57" s="304"/>
      <c r="AA57" s="117"/>
      <c r="AB57" s="117"/>
    </row>
    <row r="58" spans="1:28" ht="15.75" x14ac:dyDescent="0.25">
      <c r="A58" s="304"/>
      <c r="B58" s="288"/>
      <c r="C58" s="288"/>
      <c r="D58" s="288"/>
      <c r="E58" s="288"/>
      <c r="F58" s="288"/>
      <c r="G58" s="288"/>
      <c r="H58" s="288"/>
      <c r="I58" s="288"/>
      <c r="J58" s="288"/>
      <c r="K58" s="288"/>
      <c r="L58" s="288"/>
      <c r="M58" s="288"/>
      <c r="N58" s="288"/>
      <c r="O58" s="288"/>
      <c r="P58" s="288"/>
      <c r="Q58" s="288"/>
      <c r="R58" s="288"/>
      <c r="S58" s="288"/>
      <c r="T58" s="304"/>
      <c r="U58" s="304"/>
      <c r="V58" s="304"/>
      <c r="W58" s="304"/>
      <c r="X58" s="304"/>
      <c r="Y58" s="304"/>
      <c r="Z58" s="304"/>
      <c r="AA58" s="117"/>
      <c r="AB58" s="117"/>
    </row>
    <row r="59" spans="1:28" ht="15.75" x14ac:dyDescent="0.25">
      <c r="A59" s="310"/>
      <c r="B59" s="304"/>
      <c r="C59" s="304"/>
      <c r="D59" s="304"/>
      <c r="E59" s="304"/>
      <c r="F59" s="304"/>
      <c r="G59" s="304"/>
      <c r="H59" s="304"/>
      <c r="I59" s="304"/>
      <c r="J59" s="311"/>
      <c r="K59" s="304"/>
      <c r="L59" s="311"/>
      <c r="M59" s="311"/>
      <c r="N59" s="311"/>
      <c r="O59" s="311"/>
      <c r="P59" s="311"/>
      <c r="Q59" s="304"/>
      <c r="R59" s="311"/>
      <c r="S59" s="304"/>
      <c r="T59" s="311"/>
      <c r="U59" s="304"/>
      <c r="V59" s="304"/>
      <c r="W59" s="304"/>
      <c r="X59" s="304"/>
      <c r="Y59" s="304"/>
      <c r="Z59" s="304"/>
      <c r="AA59" s="310"/>
      <c r="AB59" s="310"/>
    </row>
    <row r="60" spans="1:28" ht="15.75" x14ac:dyDescent="0.25">
      <c r="A60" s="304"/>
      <c r="B60" s="310"/>
      <c r="C60" s="310"/>
      <c r="D60" s="310"/>
      <c r="E60" s="310"/>
      <c r="F60" s="310"/>
      <c r="G60" s="310"/>
      <c r="H60" s="310"/>
      <c r="I60" s="310"/>
      <c r="J60" s="310"/>
      <c r="K60" s="310"/>
      <c r="L60" s="310"/>
      <c r="M60" s="310"/>
      <c r="N60" s="310"/>
      <c r="O60" s="310"/>
      <c r="P60" s="310"/>
      <c r="Q60" s="310"/>
      <c r="R60" s="310"/>
      <c r="S60" s="310"/>
      <c r="T60" s="310"/>
      <c r="U60" s="310"/>
      <c r="V60" s="310"/>
      <c r="W60" s="310"/>
      <c r="X60" s="304"/>
      <c r="Y60" s="304"/>
      <c r="Z60" s="304"/>
      <c r="AA60" s="117"/>
      <c r="AB60" s="117"/>
    </row>
    <row r="61" spans="1:28" ht="15.75" x14ac:dyDescent="0.25">
      <c r="A61" s="304"/>
      <c r="B61" s="304"/>
      <c r="C61" s="304"/>
      <c r="D61" s="304"/>
      <c r="E61" s="304"/>
      <c r="F61" s="313"/>
      <c r="G61" s="304"/>
      <c r="H61" s="304"/>
      <c r="I61" s="304"/>
      <c r="J61" s="313"/>
      <c r="K61" s="304"/>
      <c r="L61" s="304"/>
      <c r="M61" s="304"/>
      <c r="N61" s="313"/>
      <c r="O61" s="304"/>
      <c r="P61" s="304"/>
      <c r="Q61" s="304"/>
      <c r="R61" s="313"/>
      <c r="S61" s="304"/>
      <c r="T61" s="304"/>
      <c r="U61" s="304"/>
      <c r="V61" s="313"/>
      <c r="W61" s="304"/>
      <c r="X61" s="304"/>
      <c r="Y61" s="304"/>
      <c r="Z61" s="304"/>
      <c r="AA61" s="117"/>
      <c r="AB61" s="117"/>
    </row>
    <row r="62" spans="1:28" ht="15.75" x14ac:dyDescent="0.25">
      <c r="A62" s="304"/>
      <c r="B62" s="304"/>
      <c r="C62" s="304"/>
      <c r="D62" s="304"/>
      <c r="E62" s="304"/>
      <c r="F62" s="313"/>
      <c r="G62" s="304"/>
      <c r="H62" s="313"/>
      <c r="I62" s="304"/>
      <c r="J62" s="313"/>
      <c r="K62" s="304"/>
      <c r="L62" s="313"/>
      <c r="M62" s="304"/>
      <c r="N62" s="313"/>
      <c r="O62" s="304"/>
      <c r="P62" s="304"/>
      <c r="Q62" s="304"/>
      <c r="R62" s="313"/>
      <c r="S62" s="304"/>
      <c r="T62" s="304"/>
      <c r="U62" s="304"/>
      <c r="V62" s="313"/>
      <c r="W62" s="304"/>
      <c r="X62" s="304"/>
      <c r="Y62" s="304"/>
      <c r="Z62" s="304"/>
      <c r="AA62" s="117"/>
      <c r="AB62" s="117"/>
    </row>
    <row r="63" spans="1:28" ht="15.75" x14ac:dyDescent="0.25">
      <c r="A63" s="304"/>
      <c r="B63" s="304"/>
      <c r="C63" s="304"/>
      <c r="D63" s="304"/>
      <c r="E63" s="304"/>
      <c r="F63" s="313"/>
      <c r="G63" s="304"/>
      <c r="H63" s="313"/>
      <c r="I63" s="304"/>
      <c r="J63" s="313"/>
      <c r="K63" s="304"/>
      <c r="L63" s="313"/>
      <c r="M63" s="304"/>
      <c r="N63" s="313"/>
      <c r="O63" s="304"/>
      <c r="P63" s="304"/>
      <c r="Q63" s="304"/>
      <c r="R63" s="304"/>
      <c r="S63" s="304"/>
      <c r="T63" s="304"/>
      <c r="U63" s="304"/>
      <c r="V63" s="313"/>
      <c r="W63" s="304"/>
      <c r="X63" s="304"/>
      <c r="Y63" s="304"/>
      <c r="Z63" s="304"/>
      <c r="AA63" s="117"/>
      <c r="AB63" s="117"/>
    </row>
    <row r="64" spans="1:28" ht="15.75" x14ac:dyDescent="0.25">
      <c r="A64" s="304"/>
      <c r="B64" s="304"/>
      <c r="C64" s="304"/>
      <c r="D64" s="304"/>
      <c r="E64" s="304"/>
      <c r="F64" s="304"/>
      <c r="G64" s="304"/>
      <c r="H64" s="304"/>
      <c r="I64" s="304"/>
      <c r="J64" s="304"/>
      <c r="K64" s="303"/>
      <c r="L64" s="304"/>
      <c r="M64" s="303"/>
      <c r="N64" s="314"/>
      <c r="O64" s="303"/>
      <c r="P64" s="304"/>
      <c r="Q64" s="304"/>
      <c r="R64" s="304"/>
      <c r="S64" s="303"/>
      <c r="T64" s="304"/>
      <c r="U64" s="303"/>
      <c r="V64" s="314"/>
      <c r="W64" s="303"/>
      <c r="X64" s="304"/>
      <c r="Y64" s="304"/>
      <c r="Z64" s="304"/>
      <c r="AA64" s="117"/>
      <c r="AB64" s="117"/>
    </row>
    <row r="65" spans="1:28" ht="15.75" x14ac:dyDescent="0.25">
      <c r="A65" s="304"/>
      <c r="B65" s="304"/>
      <c r="C65" s="304"/>
      <c r="D65" s="304"/>
      <c r="E65" s="304"/>
      <c r="F65" s="304"/>
      <c r="G65" s="304"/>
      <c r="H65" s="317"/>
      <c r="I65" s="304"/>
      <c r="J65" s="304"/>
      <c r="K65" s="304"/>
      <c r="L65" s="304"/>
      <c r="M65" s="304"/>
      <c r="N65" s="314"/>
      <c r="O65" s="303"/>
      <c r="P65" s="288"/>
      <c r="Q65" s="289"/>
      <c r="R65" s="304"/>
      <c r="S65" s="304"/>
      <c r="T65" s="304"/>
      <c r="U65" s="303"/>
      <c r="V65" s="303"/>
      <c r="W65" s="304"/>
      <c r="X65" s="304"/>
      <c r="Y65" s="304"/>
      <c r="Z65" s="304"/>
      <c r="AA65" s="117"/>
      <c r="AB65" s="117"/>
    </row>
    <row r="66" spans="1:28" ht="15.75" x14ac:dyDescent="0.25">
      <c r="A66" s="304"/>
      <c r="B66" s="304"/>
      <c r="C66" s="304"/>
      <c r="D66" s="304"/>
      <c r="E66" s="304"/>
      <c r="F66" s="288"/>
      <c r="G66" s="304"/>
      <c r="H66" s="304"/>
      <c r="I66" s="304"/>
      <c r="J66" s="304"/>
      <c r="K66" s="304"/>
      <c r="L66" s="304"/>
      <c r="M66" s="304"/>
      <c r="N66" s="288"/>
      <c r="O66" s="288"/>
      <c r="P66" s="288"/>
      <c r="Q66" s="289"/>
      <c r="R66" s="289"/>
      <c r="S66" s="288"/>
      <c r="T66" s="304"/>
      <c r="U66" s="304"/>
      <c r="V66" s="304"/>
      <c r="W66" s="304"/>
      <c r="X66" s="304"/>
      <c r="Y66" s="304"/>
      <c r="Z66" s="304"/>
      <c r="AA66" s="117"/>
      <c r="AB66" s="117"/>
    </row>
    <row r="67" spans="1:28" ht="15.75" x14ac:dyDescent="0.25">
      <c r="A67" s="304"/>
      <c r="B67" s="304"/>
      <c r="C67" s="304"/>
      <c r="D67" s="304"/>
      <c r="E67" s="304"/>
      <c r="F67" s="288"/>
      <c r="G67" s="304"/>
      <c r="H67" s="304"/>
      <c r="I67" s="304"/>
      <c r="J67" s="304"/>
      <c r="K67" s="304"/>
      <c r="L67" s="304"/>
      <c r="M67" s="304"/>
      <c r="N67" s="288"/>
      <c r="O67" s="288"/>
      <c r="P67" s="288"/>
      <c r="Q67" s="289"/>
      <c r="R67" s="289"/>
      <c r="S67" s="288"/>
      <c r="T67" s="304"/>
      <c r="U67" s="304"/>
      <c r="V67" s="304"/>
      <c r="W67" s="304"/>
      <c r="X67" s="304"/>
      <c r="Y67" s="304"/>
      <c r="Z67" s="304"/>
      <c r="AA67" s="117"/>
      <c r="AB67" s="117"/>
    </row>
    <row r="68" spans="1:28" ht="15.75" x14ac:dyDescent="0.25">
      <c r="A68" s="304"/>
      <c r="B68" s="304"/>
      <c r="C68" s="304"/>
      <c r="D68" s="304"/>
      <c r="E68" s="304"/>
      <c r="F68" s="288"/>
      <c r="G68" s="304"/>
      <c r="H68" s="304"/>
      <c r="I68" s="304"/>
      <c r="J68" s="304"/>
      <c r="K68" s="304"/>
      <c r="L68" s="304"/>
      <c r="M68" s="304"/>
      <c r="N68" s="288"/>
      <c r="O68" s="288"/>
      <c r="P68" s="288"/>
      <c r="Q68" s="289"/>
      <c r="R68" s="289"/>
      <c r="S68" s="288"/>
      <c r="T68" s="304"/>
      <c r="U68" s="304"/>
      <c r="V68" s="304"/>
      <c r="W68" s="304"/>
      <c r="X68" s="304"/>
      <c r="Y68" s="304"/>
      <c r="Z68" s="304"/>
      <c r="AA68" s="117"/>
      <c r="AB68" s="117"/>
    </row>
    <row r="69" spans="1:28" ht="15.75" x14ac:dyDescent="0.25">
      <c r="A69" s="304"/>
      <c r="B69" s="304"/>
      <c r="C69" s="304"/>
      <c r="D69" s="304"/>
      <c r="E69" s="304"/>
      <c r="F69" s="288"/>
      <c r="G69" s="304"/>
      <c r="H69" s="304"/>
      <c r="I69" s="304"/>
      <c r="J69" s="304"/>
      <c r="K69" s="304"/>
      <c r="L69" s="304"/>
      <c r="M69" s="304"/>
      <c r="N69" s="288"/>
      <c r="O69" s="288"/>
      <c r="P69" s="288"/>
      <c r="Q69" s="289"/>
      <c r="R69" s="289"/>
      <c r="S69" s="288"/>
      <c r="T69" s="304"/>
      <c r="U69" s="304"/>
      <c r="V69" s="304"/>
      <c r="W69" s="304"/>
      <c r="X69" s="304"/>
      <c r="Y69" s="304"/>
      <c r="Z69" s="304"/>
      <c r="AA69" s="117"/>
      <c r="AB69" s="117"/>
    </row>
    <row r="70" spans="1:28" ht="15.75" x14ac:dyDescent="0.25">
      <c r="A70" s="304"/>
      <c r="B70" s="304"/>
      <c r="C70" s="304"/>
      <c r="D70" s="304"/>
      <c r="E70" s="304"/>
      <c r="F70" s="288"/>
      <c r="G70" s="304"/>
      <c r="H70" s="304"/>
      <c r="I70" s="304"/>
      <c r="J70" s="304"/>
      <c r="K70" s="304"/>
      <c r="L70" s="304"/>
      <c r="M70" s="304"/>
      <c r="N70" s="288"/>
      <c r="O70" s="288"/>
      <c r="P70" s="288"/>
      <c r="Q70" s="289"/>
      <c r="R70" s="289"/>
      <c r="S70" s="288"/>
      <c r="T70" s="304"/>
      <c r="U70" s="304"/>
      <c r="V70" s="304"/>
      <c r="W70" s="304"/>
      <c r="X70" s="304"/>
      <c r="Y70" s="304"/>
      <c r="Z70" s="304"/>
      <c r="AA70" s="117"/>
      <c r="AB70" s="117"/>
    </row>
    <row r="71" spans="1:28" ht="15.75" x14ac:dyDescent="0.25">
      <c r="A71" s="304"/>
      <c r="B71" s="304"/>
      <c r="C71" s="304"/>
      <c r="D71" s="304"/>
      <c r="E71" s="304"/>
      <c r="F71" s="288"/>
      <c r="G71" s="304"/>
      <c r="H71" s="304"/>
      <c r="I71" s="304"/>
      <c r="J71" s="304"/>
      <c r="K71" s="304"/>
      <c r="L71" s="304"/>
      <c r="M71" s="304"/>
      <c r="N71" s="288"/>
      <c r="O71" s="288"/>
      <c r="P71" s="288"/>
      <c r="Q71" s="289"/>
      <c r="R71" s="289"/>
      <c r="S71" s="288"/>
      <c r="T71" s="304"/>
      <c r="U71" s="304"/>
      <c r="V71" s="304"/>
      <c r="W71" s="304"/>
      <c r="X71" s="304"/>
      <c r="Y71" s="304"/>
      <c r="Z71" s="304"/>
      <c r="AA71" s="117"/>
      <c r="AB71" s="117"/>
    </row>
    <row r="72" spans="1:28" ht="15.75" x14ac:dyDescent="0.25">
      <c r="A72" s="304"/>
      <c r="B72" s="304"/>
      <c r="C72" s="304"/>
      <c r="D72" s="304"/>
      <c r="E72" s="304"/>
      <c r="F72" s="288"/>
      <c r="G72" s="304"/>
      <c r="H72" s="304"/>
      <c r="I72" s="304"/>
      <c r="J72" s="304"/>
      <c r="K72" s="304"/>
      <c r="L72" s="304"/>
      <c r="M72" s="304"/>
      <c r="N72" s="288"/>
      <c r="O72" s="288"/>
      <c r="P72" s="288"/>
      <c r="Q72" s="289"/>
      <c r="R72" s="289"/>
      <c r="S72" s="288"/>
      <c r="T72" s="304"/>
      <c r="U72" s="304"/>
      <c r="V72" s="304"/>
      <c r="W72" s="304"/>
      <c r="X72" s="304"/>
      <c r="Y72" s="304"/>
      <c r="Z72" s="304"/>
      <c r="AA72" s="117"/>
      <c r="AB72" s="117"/>
    </row>
    <row r="73" spans="1:28" ht="15.75" x14ac:dyDescent="0.25">
      <c r="A73" s="304"/>
      <c r="B73" s="304"/>
      <c r="C73" s="304"/>
      <c r="D73" s="304"/>
      <c r="E73" s="304"/>
      <c r="F73" s="288"/>
      <c r="G73" s="304"/>
      <c r="H73" s="304"/>
      <c r="I73" s="304"/>
      <c r="J73" s="304"/>
      <c r="K73" s="304"/>
      <c r="L73" s="304"/>
      <c r="M73" s="304"/>
      <c r="N73" s="288"/>
      <c r="O73" s="288"/>
      <c r="P73" s="288"/>
      <c r="Q73" s="289"/>
      <c r="R73" s="289"/>
      <c r="S73" s="288"/>
      <c r="T73" s="304"/>
      <c r="U73" s="304"/>
      <c r="V73" s="304"/>
      <c r="W73" s="304"/>
      <c r="X73" s="304"/>
      <c r="Y73" s="304"/>
      <c r="Z73" s="304"/>
      <c r="AA73" s="117"/>
      <c r="AB73" s="117"/>
    </row>
    <row r="74" spans="1:28" ht="15.75" x14ac:dyDescent="0.25">
      <c r="A74" s="304"/>
      <c r="B74" s="304"/>
      <c r="C74" s="304"/>
      <c r="D74" s="304"/>
      <c r="E74" s="304"/>
      <c r="F74" s="288"/>
      <c r="G74" s="304"/>
      <c r="H74" s="304"/>
      <c r="I74" s="304"/>
      <c r="J74" s="304"/>
      <c r="K74" s="304"/>
      <c r="L74" s="304"/>
      <c r="M74" s="304"/>
      <c r="N74" s="288"/>
      <c r="O74" s="288"/>
      <c r="P74" s="288"/>
      <c r="Q74" s="289"/>
      <c r="R74" s="289"/>
      <c r="S74" s="288"/>
      <c r="T74" s="304"/>
      <c r="U74" s="304"/>
      <c r="V74" s="304"/>
      <c r="W74" s="304"/>
      <c r="X74" s="304"/>
      <c r="Y74" s="304"/>
      <c r="Z74" s="304"/>
      <c r="AA74" s="117"/>
      <c r="AB74" s="117"/>
    </row>
    <row r="75" spans="1:28" ht="15.75" x14ac:dyDescent="0.25">
      <c r="A75" s="304"/>
      <c r="B75" s="304"/>
      <c r="C75" s="304"/>
      <c r="D75" s="304"/>
      <c r="E75" s="304"/>
      <c r="F75" s="288"/>
      <c r="G75" s="304"/>
      <c r="H75" s="304"/>
      <c r="I75" s="304"/>
      <c r="J75" s="304"/>
      <c r="K75" s="304"/>
      <c r="L75" s="304"/>
      <c r="M75" s="304"/>
      <c r="N75" s="288"/>
      <c r="O75" s="288"/>
      <c r="P75" s="288"/>
      <c r="Q75" s="289"/>
      <c r="R75" s="289"/>
      <c r="S75" s="288"/>
      <c r="T75" s="304"/>
      <c r="U75" s="304"/>
      <c r="V75" s="304"/>
      <c r="W75" s="304"/>
      <c r="X75" s="304"/>
      <c r="Y75" s="304"/>
      <c r="Z75" s="304"/>
      <c r="AA75" s="117"/>
      <c r="AB75" s="117"/>
    </row>
    <row r="76" spans="1:28" ht="15.75" x14ac:dyDescent="0.25">
      <c r="A76" s="304"/>
      <c r="B76" s="304"/>
      <c r="C76" s="304"/>
      <c r="D76" s="304"/>
      <c r="E76" s="304"/>
      <c r="F76" s="288"/>
      <c r="G76" s="304"/>
      <c r="H76" s="304"/>
      <c r="I76" s="304"/>
      <c r="J76" s="304"/>
      <c r="K76" s="304"/>
      <c r="L76" s="304"/>
      <c r="M76" s="304"/>
      <c r="N76" s="288"/>
      <c r="O76" s="288"/>
      <c r="P76" s="288"/>
      <c r="Q76" s="289"/>
      <c r="R76" s="289"/>
      <c r="S76" s="288"/>
      <c r="T76" s="304"/>
      <c r="U76" s="304"/>
      <c r="V76" s="304"/>
      <c r="W76" s="304"/>
      <c r="X76" s="304"/>
      <c r="Y76" s="304"/>
      <c r="Z76" s="304"/>
      <c r="AA76" s="117"/>
      <c r="AB76" s="117"/>
    </row>
    <row r="77" spans="1:28" ht="15.75" x14ac:dyDescent="0.25">
      <c r="A77" s="304"/>
      <c r="B77" s="304"/>
      <c r="C77" s="304"/>
      <c r="D77" s="304"/>
      <c r="E77" s="304"/>
      <c r="F77" s="288"/>
      <c r="G77" s="304"/>
      <c r="H77" s="304"/>
      <c r="I77" s="304"/>
      <c r="J77" s="304"/>
      <c r="K77" s="304"/>
      <c r="L77" s="304"/>
      <c r="M77" s="304"/>
      <c r="N77" s="288"/>
      <c r="O77" s="288"/>
      <c r="P77" s="288"/>
      <c r="Q77" s="289"/>
      <c r="R77" s="289"/>
      <c r="S77" s="288"/>
      <c r="T77" s="304"/>
      <c r="U77" s="304"/>
      <c r="V77" s="304"/>
      <c r="W77" s="304"/>
      <c r="X77" s="304"/>
      <c r="Y77" s="304"/>
      <c r="Z77" s="304"/>
      <c r="AA77" s="117"/>
      <c r="AB77" s="117"/>
    </row>
    <row r="78" spans="1:28" ht="15.75" x14ac:dyDescent="0.25">
      <c r="A78" s="304"/>
      <c r="B78" s="304"/>
      <c r="C78" s="304"/>
      <c r="D78" s="304"/>
      <c r="E78" s="304"/>
      <c r="F78" s="288"/>
      <c r="G78" s="304"/>
      <c r="H78" s="304"/>
      <c r="I78" s="304"/>
      <c r="J78" s="304"/>
      <c r="K78" s="304"/>
      <c r="L78" s="304"/>
      <c r="M78" s="304"/>
      <c r="N78" s="288"/>
      <c r="O78" s="288"/>
      <c r="P78" s="288"/>
      <c r="Q78" s="289"/>
      <c r="R78" s="289"/>
      <c r="S78" s="288"/>
      <c r="T78" s="304"/>
      <c r="U78" s="304"/>
      <c r="V78" s="304"/>
      <c r="W78" s="304"/>
      <c r="X78" s="304"/>
      <c r="Y78" s="304"/>
      <c r="Z78" s="304"/>
      <c r="AA78" s="117"/>
      <c r="AB78" s="117"/>
    </row>
    <row r="79" spans="1:28" ht="15.75" x14ac:dyDescent="0.25">
      <c r="A79" s="304"/>
      <c r="B79" s="304"/>
      <c r="C79" s="304"/>
      <c r="D79" s="304"/>
      <c r="E79" s="304"/>
      <c r="F79" s="288"/>
      <c r="G79" s="304"/>
      <c r="H79" s="304"/>
      <c r="I79" s="304"/>
      <c r="J79" s="304"/>
      <c r="K79" s="304"/>
      <c r="L79" s="304"/>
      <c r="M79" s="304"/>
      <c r="N79" s="288"/>
      <c r="O79" s="288"/>
      <c r="P79" s="288"/>
      <c r="Q79" s="289"/>
      <c r="R79" s="289"/>
      <c r="S79" s="288"/>
      <c r="T79" s="304"/>
      <c r="U79" s="304"/>
      <c r="V79" s="304"/>
      <c r="W79" s="304"/>
      <c r="X79" s="304"/>
      <c r="Y79" s="304"/>
      <c r="Z79" s="304"/>
      <c r="AA79" s="117"/>
      <c r="AB79" s="117"/>
    </row>
    <row r="80" spans="1:28" ht="15.75" x14ac:dyDescent="0.25">
      <c r="A80" s="304"/>
      <c r="B80" s="304"/>
      <c r="C80" s="304"/>
      <c r="D80" s="304"/>
      <c r="E80" s="304"/>
      <c r="F80" s="288"/>
      <c r="G80" s="304"/>
      <c r="H80" s="304"/>
      <c r="I80" s="304"/>
      <c r="J80" s="304"/>
      <c r="K80" s="304"/>
      <c r="L80" s="304"/>
      <c r="M80" s="304"/>
      <c r="N80" s="288"/>
      <c r="O80" s="288"/>
      <c r="P80" s="288"/>
      <c r="Q80" s="289"/>
      <c r="R80" s="289"/>
      <c r="S80" s="288"/>
      <c r="T80" s="304"/>
      <c r="U80" s="304"/>
      <c r="V80" s="304"/>
      <c r="W80" s="304"/>
      <c r="X80" s="304"/>
      <c r="Y80" s="304"/>
      <c r="Z80" s="304"/>
      <c r="AA80" s="117"/>
      <c r="AB80" s="117"/>
    </row>
    <row r="81" spans="1:28" ht="15.75" x14ac:dyDescent="0.25">
      <c r="A81" s="304"/>
      <c r="B81" s="304"/>
      <c r="C81" s="304"/>
      <c r="D81" s="304"/>
      <c r="E81" s="304"/>
      <c r="F81" s="288"/>
      <c r="G81" s="304"/>
      <c r="H81" s="304"/>
      <c r="I81" s="304"/>
      <c r="J81" s="304"/>
      <c r="K81" s="304"/>
      <c r="L81" s="304"/>
      <c r="M81" s="304"/>
      <c r="N81" s="288"/>
      <c r="O81" s="288"/>
      <c r="P81" s="288"/>
      <c r="Q81" s="289"/>
      <c r="R81" s="289"/>
      <c r="S81" s="288"/>
      <c r="T81" s="304"/>
      <c r="U81" s="304"/>
      <c r="V81" s="304"/>
      <c r="W81" s="304"/>
      <c r="X81" s="304"/>
      <c r="Y81" s="304"/>
      <c r="Z81" s="304"/>
      <c r="AA81" s="117"/>
      <c r="AB81" s="117"/>
    </row>
    <row r="82" spans="1:28" ht="15.75" x14ac:dyDescent="0.25">
      <c r="A82" s="304"/>
      <c r="B82" s="304"/>
      <c r="C82" s="304"/>
      <c r="D82" s="304"/>
      <c r="E82" s="304"/>
      <c r="F82" s="288"/>
      <c r="G82" s="304"/>
      <c r="H82" s="304"/>
      <c r="I82" s="304"/>
      <c r="J82" s="304"/>
      <c r="K82" s="304"/>
      <c r="L82" s="304"/>
      <c r="M82" s="304"/>
      <c r="N82" s="288"/>
      <c r="O82" s="288"/>
      <c r="P82" s="288"/>
      <c r="Q82" s="289"/>
      <c r="R82" s="289"/>
      <c r="S82" s="288"/>
      <c r="T82" s="304"/>
      <c r="U82" s="304"/>
      <c r="V82" s="304"/>
      <c r="W82" s="304"/>
      <c r="X82" s="304"/>
      <c r="Y82" s="304"/>
      <c r="Z82" s="304"/>
      <c r="AA82" s="117"/>
      <c r="AB82" s="117"/>
    </row>
    <row r="83" spans="1:28" ht="15.75" x14ac:dyDescent="0.25">
      <c r="A83" s="304"/>
      <c r="B83" s="304"/>
      <c r="C83" s="304"/>
      <c r="D83" s="304"/>
      <c r="E83" s="304"/>
      <c r="F83" s="288"/>
      <c r="G83" s="304"/>
      <c r="H83" s="304"/>
      <c r="I83" s="304"/>
      <c r="J83" s="304"/>
      <c r="K83" s="304"/>
      <c r="L83" s="304"/>
      <c r="M83" s="304"/>
      <c r="N83" s="288"/>
      <c r="O83" s="288"/>
      <c r="P83" s="288"/>
      <c r="Q83" s="289"/>
      <c r="R83" s="289"/>
      <c r="S83" s="288"/>
      <c r="T83" s="304"/>
      <c r="U83" s="304"/>
      <c r="V83" s="304"/>
      <c r="W83" s="304"/>
      <c r="X83" s="304"/>
      <c r="Y83" s="304"/>
      <c r="Z83" s="304"/>
      <c r="AA83" s="117"/>
      <c r="AB83" s="117"/>
    </row>
    <row r="84" spans="1:28" ht="15.75" x14ac:dyDescent="0.25">
      <c r="A84" s="304"/>
      <c r="B84" s="304"/>
      <c r="C84" s="304"/>
      <c r="D84" s="304"/>
      <c r="E84" s="304"/>
      <c r="F84" s="288"/>
      <c r="G84" s="304"/>
      <c r="H84" s="304"/>
      <c r="I84" s="304"/>
      <c r="J84" s="304"/>
      <c r="K84" s="304"/>
      <c r="L84" s="304"/>
      <c r="M84" s="304"/>
      <c r="N84" s="288"/>
      <c r="O84" s="288"/>
      <c r="P84" s="288"/>
      <c r="Q84" s="289"/>
      <c r="R84" s="289"/>
      <c r="S84" s="288"/>
      <c r="T84" s="304"/>
      <c r="U84" s="304"/>
      <c r="V84" s="304"/>
      <c r="W84" s="304"/>
      <c r="X84" s="304"/>
      <c r="Y84" s="304"/>
      <c r="Z84" s="304"/>
      <c r="AA84" s="117"/>
      <c r="AB84" s="117"/>
    </row>
    <row r="85" spans="1:28" ht="15.75" x14ac:dyDescent="0.25">
      <c r="A85" s="304"/>
      <c r="B85" s="304"/>
      <c r="C85" s="304"/>
      <c r="D85" s="304"/>
      <c r="E85" s="304"/>
      <c r="F85" s="288"/>
      <c r="G85" s="304"/>
      <c r="H85" s="304"/>
      <c r="I85" s="304"/>
      <c r="J85" s="304"/>
      <c r="K85" s="304"/>
      <c r="L85" s="304"/>
      <c r="M85" s="304"/>
      <c r="N85" s="288"/>
      <c r="O85" s="288"/>
      <c r="P85" s="288"/>
      <c r="Q85" s="289"/>
      <c r="R85" s="289"/>
      <c r="S85" s="288"/>
      <c r="T85" s="304"/>
      <c r="U85" s="304"/>
      <c r="V85" s="304"/>
      <c r="W85" s="304"/>
      <c r="X85" s="304"/>
      <c r="Y85" s="304"/>
      <c r="Z85" s="304"/>
      <c r="AA85" s="117"/>
      <c r="AB85" s="117"/>
    </row>
    <row r="86" spans="1:28" ht="15.75" x14ac:dyDescent="0.25">
      <c r="A86" s="304"/>
      <c r="B86" s="304"/>
      <c r="C86" s="304"/>
      <c r="D86" s="304"/>
      <c r="E86" s="304"/>
      <c r="F86" s="288"/>
      <c r="G86" s="304"/>
      <c r="H86" s="304"/>
      <c r="I86" s="304"/>
      <c r="J86" s="304"/>
      <c r="K86" s="304"/>
      <c r="L86" s="304"/>
      <c r="M86" s="304"/>
      <c r="N86" s="288"/>
      <c r="O86" s="288"/>
      <c r="P86" s="288"/>
      <c r="Q86" s="289"/>
      <c r="R86" s="289"/>
      <c r="S86" s="288"/>
      <c r="T86" s="304"/>
      <c r="U86" s="304"/>
      <c r="V86" s="304"/>
      <c r="W86" s="304"/>
      <c r="X86" s="304"/>
      <c r="Y86" s="304"/>
      <c r="Z86" s="304"/>
      <c r="AA86" s="117"/>
      <c r="AB86" s="117"/>
    </row>
    <row r="87" spans="1:28" ht="15.75" x14ac:dyDescent="0.25">
      <c r="A87" s="304"/>
      <c r="B87" s="304"/>
      <c r="C87" s="304"/>
      <c r="D87" s="304"/>
      <c r="E87" s="304"/>
      <c r="F87" s="288"/>
      <c r="G87" s="304"/>
      <c r="H87" s="304"/>
      <c r="I87" s="304"/>
      <c r="J87" s="304"/>
      <c r="K87" s="304"/>
      <c r="L87" s="304"/>
      <c r="M87" s="304"/>
      <c r="N87" s="288"/>
      <c r="O87" s="288"/>
      <c r="P87" s="288"/>
      <c r="Q87" s="289"/>
      <c r="R87" s="289"/>
      <c r="S87" s="288"/>
      <c r="T87" s="304"/>
      <c r="U87" s="304"/>
      <c r="V87" s="304"/>
      <c r="W87" s="304"/>
      <c r="X87" s="304"/>
      <c r="Y87" s="304"/>
      <c r="Z87" s="304"/>
      <c r="AA87" s="117"/>
      <c r="AB87" s="117"/>
    </row>
    <row r="88" spans="1:28" ht="15.75" x14ac:dyDescent="0.25">
      <c r="A88" s="304"/>
      <c r="B88" s="304"/>
      <c r="C88" s="304"/>
      <c r="D88" s="304"/>
      <c r="E88" s="304"/>
      <c r="F88" s="288"/>
      <c r="G88" s="304"/>
      <c r="H88" s="304"/>
      <c r="I88" s="304"/>
      <c r="J88" s="304"/>
      <c r="K88" s="304"/>
      <c r="L88" s="304"/>
      <c r="M88" s="304"/>
      <c r="N88" s="288"/>
      <c r="O88" s="288"/>
      <c r="P88" s="288"/>
      <c r="Q88" s="289"/>
      <c r="R88" s="289"/>
      <c r="S88" s="288"/>
      <c r="T88" s="304"/>
      <c r="U88" s="304"/>
      <c r="V88" s="304"/>
      <c r="W88" s="304"/>
      <c r="X88" s="304"/>
      <c r="Y88" s="304"/>
      <c r="Z88" s="304"/>
      <c r="AA88" s="117"/>
      <c r="AB88" s="117"/>
    </row>
    <row r="89" spans="1:28" ht="15.75" x14ac:dyDescent="0.25">
      <c r="A89" s="304"/>
      <c r="B89" s="304"/>
      <c r="C89" s="304"/>
      <c r="D89" s="304"/>
      <c r="E89" s="304"/>
      <c r="F89" s="288"/>
      <c r="G89" s="304"/>
      <c r="H89" s="304"/>
      <c r="I89" s="304"/>
      <c r="J89" s="304"/>
      <c r="K89" s="304"/>
      <c r="L89" s="304"/>
      <c r="M89" s="304"/>
      <c r="N89" s="288"/>
      <c r="O89" s="288"/>
      <c r="P89" s="288"/>
      <c r="Q89" s="289"/>
      <c r="R89" s="289"/>
      <c r="S89" s="288"/>
      <c r="T89" s="304"/>
      <c r="U89" s="304"/>
      <c r="V89" s="304"/>
      <c r="W89" s="304"/>
      <c r="X89" s="304"/>
      <c r="Y89" s="304"/>
      <c r="Z89" s="304"/>
      <c r="AA89" s="117"/>
      <c r="AB89" s="117"/>
    </row>
    <row r="90" spans="1:28" ht="15.75" x14ac:dyDescent="0.25">
      <c r="A90" s="304"/>
      <c r="B90" s="304"/>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117"/>
      <c r="AB90" s="117"/>
    </row>
    <row r="91" spans="1:28" ht="15.75" x14ac:dyDescent="0.25">
      <c r="A91" s="304"/>
      <c r="B91" s="304"/>
      <c r="C91" s="304"/>
      <c r="D91" s="304"/>
      <c r="E91" s="304"/>
      <c r="F91" s="304"/>
      <c r="G91" s="304"/>
      <c r="H91" s="304"/>
      <c r="I91" s="304"/>
      <c r="J91" s="304"/>
      <c r="K91" s="304"/>
      <c r="L91" s="304"/>
      <c r="M91" s="304"/>
      <c r="N91" s="304"/>
      <c r="O91" s="304"/>
      <c r="P91" s="304"/>
      <c r="Q91" s="304"/>
      <c r="R91" s="304"/>
      <c r="S91" s="304"/>
      <c r="T91" s="304"/>
      <c r="U91" s="304"/>
      <c r="V91" s="304"/>
      <c r="W91" s="304"/>
      <c r="X91" s="304"/>
      <c r="Y91" s="304"/>
      <c r="Z91" s="304"/>
      <c r="AA91" s="117"/>
      <c r="AB91" s="117"/>
    </row>
    <row r="92" spans="1:28" ht="15.75" x14ac:dyDescent="0.25">
      <c r="A92" s="304"/>
      <c r="B92" s="304"/>
      <c r="C92" s="304"/>
      <c r="D92" s="304"/>
      <c r="E92" s="304"/>
      <c r="F92" s="304"/>
      <c r="G92" s="304"/>
      <c r="H92" s="304"/>
      <c r="I92" s="304"/>
      <c r="J92" s="304"/>
      <c r="K92" s="304"/>
      <c r="L92" s="304"/>
      <c r="M92" s="304"/>
      <c r="N92" s="304"/>
      <c r="O92" s="304"/>
      <c r="P92" s="304"/>
      <c r="Q92" s="304"/>
      <c r="R92" s="304"/>
      <c r="S92" s="304"/>
      <c r="T92" s="304"/>
      <c r="U92" s="304"/>
      <c r="V92" s="304"/>
      <c r="W92" s="304"/>
      <c r="X92" s="304"/>
      <c r="Y92" s="304"/>
      <c r="Z92" s="304"/>
      <c r="AA92" s="117"/>
      <c r="AB92" s="117"/>
    </row>
    <row r="93" spans="1:28" ht="15.75" x14ac:dyDescent="0.25">
      <c r="A93" s="318"/>
      <c r="B93" s="304"/>
      <c r="C93" s="304"/>
      <c r="D93" s="304"/>
      <c r="E93" s="304"/>
      <c r="F93" s="304"/>
      <c r="G93" s="304"/>
      <c r="H93" s="304"/>
      <c r="I93" s="304"/>
      <c r="J93" s="304"/>
      <c r="K93" s="304"/>
      <c r="L93" s="304"/>
      <c r="M93" s="304"/>
      <c r="N93" s="304"/>
      <c r="O93" s="304"/>
      <c r="P93" s="304"/>
      <c r="Q93" s="304"/>
      <c r="R93" s="304"/>
      <c r="S93" s="304"/>
      <c r="T93" s="304"/>
      <c r="U93" s="304"/>
      <c r="V93" s="304"/>
      <c r="W93" s="304"/>
      <c r="X93" s="304"/>
      <c r="Y93" s="304"/>
      <c r="Z93" s="304"/>
      <c r="AA93" s="117"/>
      <c r="AB93" s="117"/>
    </row>
    <row r="94" spans="1:28" s="287" customFormat="1" ht="15.75" x14ac:dyDescent="0.25">
      <c r="A94" s="310"/>
      <c r="B94" s="310"/>
      <c r="C94" s="310"/>
      <c r="D94" s="310"/>
      <c r="E94" s="310"/>
      <c r="F94" s="310"/>
      <c r="G94" s="310"/>
      <c r="H94" s="310"/>
      <c r="I94" s="310"/>
      <c r="J94" s="310"/>
      <c r="K94" s="310"/>
      <c r="L94" s="310"/>
      <c r="M94" s="310"/>
      <c r="N94" s="310"/>
      <c r="O94" s="310"/>
      <c r="P94" s="310"/>
      <c r="Q94" s="310"/>
      <c r="R94" s="310"/>
      <c r="S94" s="310"/>
      <c r="T94" s="319"/>
      <c r="U94" s="319"/>
      <c r="V94" s="319"/>
      <c r="W94" s="319"/>
      <c r="X94" s="310"/>
      <c r="Y94" s="310"/>
      <c r="Z94" s="310"/>
      <c r="AA94" s="310"/>
      <c r="AB94" s="310"/>
    </row>
    <row r="95" spans="1:28" ht="15.75" x14ac:dyDescent="0.25">
      <c r="A95" s="304"/>
      <c r="B95" s="313"/>
      <c r="C95" s="304"/>
      <c r="D95" s="304"/>
      <c r="E95" s="304"/>
      <c r="F95" s="313"/>
      <c r="G95" s="304"/>
      <c r="H95" s="304"/>
      <c r="I95" s="304"/>
      <c r="J95" s="313"/>
      <c r="K95" s="304"/>
      <c r="L95" s="304"/>
      <c r="M95" s="304"/>
      <c r="N95" s="313"/>
      <c r="O95" s="304"/>
      <c r="P95" s="313"/>
      <c r="Q95" s="304"/>
      <c r="R95" s="313"/>
      <c r="S95" s="304"/>
      <c r="T95" s="117"/>
      <c r="U95" s="117"/>
      <c r="V95" s="117"/>
      <c r="W95" s="117"/>
      <c r="X95" s="304"/>
      <c r="Y95" s="304"/>
      <c r="Z95" s="304"/>
      <c r="AA95" s="117"/>
      <c r="AB95" s="117"/>
    </row>
    <row r="96" spans="1:28" x14ac:dyDescent="0.2">
      <c r="B96" s="117"/>
      <c r="C96" s="117"/>
      <c r="D96" s="117"/>
      <c r="E96" s="117"/>
      <c r="F96" s="117"/>
      <c r="G96" s="117"/>
    </row>
    <row r="97" spans="1:16" s="225" customFormat="1" ht="18.75" x14ac:dyDescent="0.3">
      <c r="A97" s="290"/>
      <c r="B97" s="232"/>
      <c r="C97" s="230"/>
      <c r="D97" s="229"/>
      <c r="E97" s="230"/>
      <c r="F97" s="229"/>
    </row>
    <row r="98" spans="1:16" s="225" customFormat="1" x14ac:dyDescent="0.2">
      <c r="A98" s="231"/>
      <c r="B98" s="232"/>
      <c r="C98" s="230"/>
      <c r="D98" s="229"/>
      <c r="E98" s="230"/>
      <c r="F98" s="229"/>
    </row>
    <row r="99" spans="1:16" s="225" customFormat="1" x14ac:dyDescent="0.2">
      <c r="A99" s="231"/>
      <c r="B99" s="232"/>
      <c r="C99" s="230"/>
      <c r="D99" s="229"/>
      <c r="E99" s="230"/>
      <c r="F99" s="229"/>
    </row>
    <row r="100" spans="1:16" s="225" customFormat="1" x14ac:dyDescent="0.2">
      <c r="A100" s="231"/>
      <c r="B100" s="232"/>
      <c r="C100" s="230"/>
      <c r="D100" s="229"/>
      <c r="E100" s="230"/>
      <c r="F100" s="229"/>
    </row>
    <row r="101" spans="1:16" s="225" customFormat="1" x14ac:dyDescent="0.2">
      <c r="A101" s="231"/>
      <c r="B101" s="232"/>
      <c r="C101" s="230"/>
      <c r="D101" s="229"/>
      <c r="E101" s="230"/>
      <c r="F101" s="229"/>
    </row>
    <row r="102" spans="1:16" s="225" customFormat="1" x14ac:dyDescent="0.2">
      <c r="A102" s="231"/>
      <c r="B102" s="52"/>
      <c r="C102" s="53"/>
      <c r="D102" s="52"/>
      <c r="E102" s="233"/>
      <c r="F102" s="233"/>
    </row>
    <row r="103" spans="1:16" s="225" customFormat="1" x14ac:dyDescent="0.2">
      <c r="A103" s="233"/>
      <c r="B103" s="233"/>
      <c r="C103" s="55"/>
      <c r="D103" s="233"/>
      <c r="E103" s="233"/>
      <c r="F103" s="233"/>
    </row>
    <row r="104" spans="1:16" s="225" customFormat="1" ht="16.5" thickBot="1" x14ac:dyDescent="0.3">
      <c r="A104" s="42" t="s">
        <v>145</v>
      </c>
      <c r="D104" s="242" t="s">
        <v>281</v>
      </c>
    </row>
    <row r="105" spans="1:16" s="225" customFormat="1" ht="13.5" thickTop="1" x14ac:dyDescent="0.2">
      <c r="A105" s="195"/>
      <c r="B105" s="196"/>
      <c r="C105" s="196"/>
      <c r="D105" s="196"/>
      <c r="E105" s="196"/>
      <c r="F105" s="196"/>
      <c r="G105" s="196"/>
      <c r="H105" s="196"/>
      <c r="I105" s="196"/>
      <c r="J105" s="196"/>
      <c r="K105" s="196"/>
      <c r="L105" s="196"/>
      <c r="M105" s="196"/>
      <c r="N105" s="196"/>
      <c r="O105" s="300"/>
    </row>
    <row r="106" spans="1:16" s="225" customFormat="1" x14ac:dyDescent="0.2">
      <c r="A106" s="32" t="s">
        <v>460</v>
      </c>
      <c r="B106" s="33"/>
      <c r="C106" s="33"/>
      <c r="D106" s="33"/>
      <c r="E106" s="33"/>
      <c r="F106" s="33"/>
      <c r="G106" s="33"/>
      <c r="H106" s="33"/>
      <c r="I106" s="33"/>
      <c r="J106" s="33"/>
      <c r="K106" s="33"/>
      <c r="L106" s="33"/>
      <c r="M106" s="33"/>
      <c r="N106" s="33"/>
      <c r="O106" s="95"/>
    </row>
    <row r="107" spans="1:16" s="225" customFormat="1" x14ac:dyDescent="0.2">
      <c r="A107" s="32" t="s">
        <v>167</v>
      </c>
      <c r="B107" s="33"/>
      <c r="C107" s="33"/>
      <c r="D107" s="33"/>
      <c r="E107" s="33"/>
      <c r="F107" s="33"/>
      <c r="G107" s="33"/>
      <c r="H107" s="33"/>
      <c r="I107" s="33"/>
      <c r="J107" s="33"/>
      <c r="K107" s="33"/>
      <c r="L107" s="33"/>
      <c r="M107" s="33"/>
      <c r="N107" s="33"/>
      <c r="O107" s="95"/>
    </row>
    <row r="108" spans="1:16" s="225" customFormat="1" x14ac:dyDescent="0.2">
      <c r="A108" s="187"/>
      <c r="B108" s="224"/>
      <c r="C108" s="224"/>
      <c r="D108" s="224"/>
      <c r="E108" s="224"/>
      <c r="F108" s="224"/>
      <c r="G108" s="224"/>
      <c r="H108" s="224"/>
      <c r="I108" s="224"/>
      <c r="J108" s="224"/>
      <c r="K108" s="224"/>
      <c r="L108" s="224"/>
      <c r="M108" s="224"/>
      <c r="N108" s="224"/>
      <c r="O108" s="176"/>
    </row>
    <row r="109" spans="1:16" x14ac:dyDescent="0.2">
      <c r="A109" s="291"/>
      <c r="B109" s="114"/>
      <c r="C109" s="114"/>
      <c r="D109" s="114"/>
      <c r="E109" s="114"/>
      <c r="F109" s="114"/>
      <c r="G109" s="114"/>
      <c r="H109" s="114"/>
      <c r="I109" s="114"/>
      <c r="J109" s="114"/>
      <c r="K109" s="114"/>
      <c r="L109" s="114"/>
      <c r="M109" s="114"/>
      <c r="N109" s="114"/>
      <c r="O109" s="292"/>
    </row>
    <row r="110" spans="1:16" x14ac:dyDescent="0.2">
      <c r="A110" s="291"/>
      <c r="B110" s="293" t="s">
        <v>430</v>
      </c>
      <c r="C110" s="293"/>
      <c r="D110" s="293"/>
      <c r="E110" s="293"/>
      <c r="F110" s="293"/>
      <c r="G110" s="293"/>
      <c r="H110" s="293"/>
      <c r="I110" s="293"/>
      <c r="J110" s="293"/>
      <c r="K110" s="293"/>
      <c r="L110" s="293"/>
      <c r="M110" s="294"/>
      <c r="N110" s="294"/>
      <c r="O110" s="295"/>
      <c r="P110" s="117"/>
    </row>
    <row r="111" spans="1:16" x14ac:dyDescent="0.2">
      <c r="A111" s="291"/>
      <c r="B111" s="296" t="s">
        <v>431</v>
      </c>
      <c r="C111" s="296"/>
      <c r="D111" s="296"/>
      <c r="E111" s="296"/>
      <c r="F111" s="296"/>
      <c r="G111" s="296"/>
      <c r="H111" s="296"/>
      <c r="I111" s="296"/>
      <c r="J111" s="296"/>
      <c r="K111" s="296"/>
      <c r="L111" s="296"/>
      <c r="M111" s="296"/>
      <c r="N111" s="296"/>
      <c r="O111" s="292"/>
    </row>
    <row r="112" spans="1:16" x14ac:dyDescent="0.2">
      <c r="A112" s="291"/>
      <c r="B112" s="296" t="s">
        <v>432</v>
      </c>
      <c r="C112" s="296"/>
      <c r="D112" s="296"/>
      <c r="E112" s="296"/>
      <c r="F112" s="296"/>
      <c r="G112" s="296"/>
      <c r="H112" s="296"/>
      <c r="I112" s="296"/>
      <c r="J112" s="296"/>
      <c r="K112" s="296"/>
      <c r="L112" s="296"/>
      <c r="M112" s="296"/>
      <c r="N112" s="296"/>
      <c r="O112" s="292"/>
    </row>
    <row r="113" spans="1:15" x14ac:dyDescent="0.2">
      <c r="A113" s="291"/>
      <c r="B113" s="296" t="s">
        <v>433</v>
      </c>
      <c r="C113" s="296"/>
      <c r="D113" s="296"/>
      <c r="E113" s="296"/>
      <c r="F113" s="296"/>
      <c r="G113" s="296"/>
      <c r="H113" s="296"/>
      <c r="I113" s="296"/>
      <c r="J113" s="296"/>
      <c r="K113" s="296"/>
      <c r="L113" s="296"/>
      <c r="M113" s="296"/>
      <c r="N113" s="296"/>
      <c r="O113" s="292"/>
    </row>
    <row r="114" spans="1:15" x14ac:dyDescent="0.2">
      <c r="A114" s="291"/>
      <c r="B114" s="296"/>
      <c r="C114" s="296"/>
      <c r="D114" s="296"/>
      <c r="E114" s="296"/>
      <c r="F114" s="296"/>
      <c r="G114" s="296"/>
      <c r="H114" s="296"/>
      <c r="I114" s="296"/>
      <c r="J114" s="296"/>
      <c r="K114" s="296"/>
      <c r="L114" s="296"/>
      <c r="M114" s="296"/>
      <c r="N114" s="296"/>
      <c r="O114" s="292"/>
    </row>
    <row r="115" spans="1:15" x14ac:dyDescent="0.2">
      <c r="A115" s="291"/>
      <c r="B115" s="296" t="s">
        <v>434</v>
      </c>
      <c r="C115" s="296"/>
      <c r="D115" s="296"/>
      <c r="E115" s="296"/>
      <c r="F115" s="296"/>
      <c r="G115" s="296"/>
      <c r="H115" s="296"/>
      <c r="I115" s="296"/>
      <c r="J115" s="296"/>
      <c r="K115" s="296"/>
      <c r="L115" s="296"/>
      <c r="M115" s="296"/>
      <c r="N115" s="296"/>
      <c r="O115" s="292"/>
    </row>
    <row r="116" spans="1:15" x14ac:dyDescent="0.2">
      <c r="A116" s="291"/>
      <c r="B116" s="296" t="s">
        <v>435</v>
      </c>
      <c r="C116" s="296"/>
      <c r="D116" s="296"/>
      <c r="E116" s="296"/>
      <c r="F116" s="296"/>
      <c r="G116" s="296"/>
      <c r="H116" s="296"/>
      <c r="I116" s="296"/>
      <c r="J116" s="296"/>
      <c r="K116" s="296"/>
      <c r="L116" s="296"/>
      <c r="M116" s="296"/>
      <c r="N116" s="296"/>
      <c r="O116" s="292"/>
    </row>
    <row r="117" spans="1:15" x14ac:dyDescent="0.2">
      <c r="A117" s="291"/>
      <c r="B117" s="296" t="s">
        <v>436</v>
      </c>
      <c r="C117" s="296"/>
      <c r="D117" s="296"/>
      <c r="E117" s="296"/>
      <c r="F117" s="296"/>
      <c r="G117" s="296"/>
      <c r="H117" s="296"/>
      <c r="I117" s="296"/>
      <c r="J117" s="296"/>
      <c r="K117" s="296"/>
      <c r="L117" s="296"/>
      <c r="M117" s="296"/>
      <c r="N117" s="296"/>
      <c r="O117" s="292"/>
    </row>
    <row r="118" spans="1:15" x14ac:dyDescent="0.2">
      <c r="A118" s="291"/>
      <c r="B118" s="114" t="s">
        <v>437</v>
      </c>
      <c r="C118" s="296"/>
      <c r="D118" s="296"/>
      <c r="E118" s="296"/>
      <c r="F118" s="296"/>
      <c r="G118" s="296"/>
      <c r="H118" s="296"/>
      <c r="I118" s="296"/>
      <c r="J118" s="296"/>
      <c r="K118" s="296"/>
      <c r="L118" s="296"/>
      <c r="M118" s="296"/>
      <c r="N118" s="296"/>
      <c r="O118" s="292"/>
    </row>
    <row r="119" spans="1:15" x14ac:dyDescent="0.2">
      <c r="A119" s="291"/>
      <c r="B119" s="114"/>
      <c r="C119" s="296"/>
      <c r="D119" s="296"/>
      <c r="E119" s="296"/>
      <c r="F119" s="296"/>
      <c r="G119" s="296"/>
      <c r="H119" s="296"/>
      <c r="I119" s="296"/>
      <c r="J119" s="296"/>
      <c r="K119" s="296"/>
      <c r="L119" s="296"/>
      <c r="M119" s="296"/>
      <c r="N119" s="296"/>
      <c r="O119" s="292"/>
    </row>
    <row r="120" spans="1:15" x14ac:dyDescent="0.2">
      <c r="A120" s="291"/>
      <c r="B120" s="296" t="s">
        <v>462</v>
      </c>
      <c r="C120" s="296"/>
      <c r="D120" s="296"/>
      <c r="E120" s="296"/>
      <c r="F120" s="296"/>
      <c r="G120" s="296"/>
      <c r="H120" s="296"/>
      <c r="I120" s="296"/>
      <c r="J120" s="296"/>
      <c r="K120" s="296"/>
      <c r="L120" s="296"/>
      <c r="M120" s="296"/>
      <c r="N120" s="296"/>
      <c r="O120" s="292"/>
    </row>
    <row r="121" spans="1:15" x14ac:dyDescent="0.2">
      <c r="A121" s="291"/>
      <c r="B121" s="296" t="s">
        <v>31</v>
      </c>
      <c r="C121" s="296"/>
      <c r="D121" s="296"/>
      <c r="E121" s="296"/>
      <c r="F121" s="296"/>
      <c r="G121" s="296"/>
      <c r="H121" s="296"/>
      <c r="I121" s="296"/>
      <c r="J121" s="296"/>
      <c r="K121" s="296"/>
      <c r="L121" s="296"/>
      <c r="M121" s="296"/>
      <c r="N121" s="296"/>
      <c r="O121" s="292"/>
    </row>
    <row r="122" spans="1:15" x14ac:dyDescent="0.2">
      <c r="A122" s="291"/>
      <c r="B122" s="296" t="s">
        <v>525</v>
      </c>
      <c r="C122" s="296"/>
      <c r="D122" s="296"/>
      <c r="E122" s="296"/>
      <c r="F122" s="296"/>
      <c r="G122" s="296"/>
      <c r="H122" s="296"/>
      <c r="I122" s="296"/>
      <c r="J122" s="296"/>
      <c r="K122" s="296"/>
      <c r="L122" s="296"/>
      <c r="M122" s="296"/>
      <c r="N122" s="296"/>
      <c r="O122" s="292"/>
    </row>
    <row r="123" spans="1:15" x14ac:dyDescent="0.2">
      <c r="A123" s="291"/>
      <c r="B123" s="296" t="s">
        <v>438</v>
      </c>
      <c r="C123" s="296"/>
      <c r="D123" s="296"/>
      <c r="E123" s="296"/>
      <c r="F123" s="296"/>
      <c r="G123" s="296"/>
      <c r="H123" s="296"/>
      <c r="I123" s="296"/>
      <c r="J123" s="296"/>
      <c r="K123" s="296"/>
      <c r="L123" s="296"/>
      <c r="M123" s="296"/>
      <c r="N123" s="296"/>
      <c r="O123" s="292"/>
    </row>
    <row r="124" spans="1:15" x14ac:dyDescent="0.2">
      <c r="A124" s="291"/>
      <c r="B124" s="296" t="s">
        <v>439</v>
      </c>
      <c r="C124" s="296"/>
      <c r="D124" s="296"/>
      <c r="E124" s="296"/>
      <c r="F124" s="296"/>
      <c r="G124" s="296"/>
      <c r="H124" s="296"/>
      <c r="I124" s="296"/>
      <c r="J124" s="296"/>
      <c r="K124" s="296"/>
      <c r="L124" s="296"/>
      <c r="M124" s="296"/>
      <c r="N124" s="296"/>
      <c r="O124" s="292"/>
    </row>
    <row r="125" spans="1:15" x14ac:dyDescent="0.2">
      <c r="A125" s="291"/>
      <c r="B125" s="296" t="s">
        <v>469</v>
      </c>
      <c r="C125" s="296"/>
      <c r="D125" s="296"/>
      <c r="E125" s="296"/>
      <c r="F125" s="296"/>
      <c r="G125" s="296"/>
      <c r="H125" s="296"/>
      <c r="I125" s="296"/>
      <c r="J125" s="296"/>
      <c r="K125" s="296"/>
      <c r="L125" s="296"/>
      <c r="M125" s="296"/>
      <c r="N125" s="296"/>
      <c r="O125" s="292"/>
    </row>
    <row r="126" spans="1:15" x14ac:dyDescent="0.2">
      <c r="A126" s="291"/>
      <c r="B126" s="296" t="s">
        <v>440</v>
      </c>
      <c r="C126" s="296"/>
      <c r="D126" s="296"/>
      <c r="E126" s="296"/>
      <c r="F126" s="296"/>
      <c r="G126" s="296"/>
      <c r="H126" s="296"/>
      <c r="I126" s="296"/>
      <c r="J126" s="296"/>
      <c r="K126" s="296"/>
      <c r="L126" s="296"/>
      <c r="M126" s="296"/>
      <c r="N126" s="296"/>
      <c r="O126" s="292"/>
    </row>
    <row r="127" spans="1:15" x14ac:dyDescent="0.2">
      <c r="A127" s="291"/>
      <c r="B127" s="296" t="s">
        <v>441</v>
      </c>
      <c r="C127" s="296"/>
      <c r="D127" s="296"/>
      <c r="E127" s="296"/>
      <c r="F127" s="296"/>
      <c r="G127" s="296"/>
      <c r="H127" s="296"/>
      <c r="I127" s="296"/>
      <c r="J127" s="296"/>
      <c r="K127" s="296"/>
      <c r="L127" s="296"/>
      <c r="M127" s="296"/>
      <c r="N127" s="296"/>
      <c r="O127" s="292"/>
    </row>
    <row r="128" spans="1:15" x14ac:dyDescent="0.2">
      <c r="A128" s="291"/>
      <c r="B128" s="296" t="s">
        <v>442</v>
      </c>
      <c r="C128" s="296"/>
      <c r="D128" s="296"/>
      <c r="E128" s="296"/>
      <c r="F128" s="296"/>
      <c r="G128" s="296"/>
      <c r="H128" s="296"/>
      <c r="I128" s="296"/>
      <c r="J128" s="296"/>
      <c r="K128" s="296"/>
      <c r="L128" s="296"/>
      <c r="M128" s="296"/>
      <c r="N128" s="296"/>
      <c r="O128" s="292"/>
    </row>
    <row r="129" spans="1:15" x14ac:dyDescent="0.2">
      <c r="A129" s="291"/>
      <c r="B129" s="296" t="s">
        <v>467</v>
      </c>
      <c r="C129" s="296"/>
      <c r="D129" s="296"/>
      <c r="E129" s="296"/>
      <c r="F129" s="296"/>
      <c r="G129" s="296"/>
      <c r="H129" s="296"/>
      <c r="I129" s="296"/>
      <c r="J129" s="296"/>
      <c r="K129" s="296"/>
      <c r="L129" s="296"/>
      <c r="M129" s="296"/>
      <c r="N129" s="296"/>
      <c r="O129" s="292"/>
    </row>
    <row r="130" spans="1:15" x14ac:dyDescent="0.2">
      <c r="A130" s="291"/>
      <c r="B130" s="296" t="s">
        <v>443</v>
      </c>
      <c r="C130" s="296"/>
      <c r="D130" s="296"/>
      <c r="E130" s="296"/>
      <c r="F130" s="296"/>
      <c r="G130" s="296"/>
      <c r="H130" s="296"/>
      <c r="I130" s="296"/>
      <c r="J130" s="296"/>
      <c r="K130" s="296"/>
      <c r="L130" s="296"/>
      <c r="M130" s="296"/>
      <c r="N130" s="296"/>
      <c r="O130" s="292"/>
    </row>
    <row r="131" spans="1:15" x14ac:dyDescent="0.2">
      <c r="A131" s="291"/>
      <c r="B131" s="296" t="s">
        <v>440</v>
      </c>
      <c r="C131" s="296"/>
      <c r="D131" s="296"/>
      <c r="E131" s="296"/>
      <c r="F131" s="296"/>
      <c r="G131" s="296"/>
      <c r="H131" s="296"/>
      <c r="I131" s="296"/>
      <c r="J131" s="296"/>
      <c r="K131" s="296"/>
      <c r="L131" s="296"/>
      <c r="M131" s="296"/>
      <c r="N131" s="296"/>
      <c r="O131" s="292"/>
    </row>
    <row r="132" spans="1:15" x14ac:dyDescent="0.2">
      <c r="A132" s="291"/>
      <c r="B132" s="296" t="s">
        <v>444</v>
      </c>
      <c r="C132" s="296"/>
      <c r="D132" s="296"/>
      <c r="E132" s="296"/>
      <c r="F132" s="296"/>
      <c r="G132" s="296"/>
      <c r="H132" s="296"/>
      <c r="I132" s="296"/>
      <c r="J132" s="296"/>
      <c r="K132" s="296"/>
      <c r="L132" s="296"/>
      <c r="M132" s="296"/>
      <c r="N132" s="296"/>
      <c r="O132" s="292"/>
    </row>
    <row r="133" spans="1:15" x14ac:dyDescent="0.2">
      <c r="A133" s="291"/>
      <c r="B133" s="296" t="s">
        <v>442</v>
      </c>
      <c r="C133" s="296"/>
      <c r="D133" s="296"/>
      <c r="E133" s="296"/>
      <c r="F133" s="296"/>
      <c r="G133" s="296"/>
      <c r="H133" s="296"/>
      <c r="I133" s="296"/>
      <c r="J133" s="296"/>
      <c r="K133" s="296"/>
      <c r="L133" s="296"/>
      <c r="M133" s="296"/>
      <c r="N133" s="296"/>
      <c r="O133" s="292"/>
    </row>
    <row r="134" spans="1:15" x14ac:dyDescent="0.2">
      <c r="A134" s="291"/>
      <c r="B134" s="296" t="s">
        <v>445</v>
      </c>
      <c r="C134" s="296"/>
      <c r="D134" s="296"/>
      <c r="E134" s="296"/>
      <c r="F134" s="296"/>
      <c r="G134" s="296"/>
      <c r="H134" s="296"/>
      <c r="I134" s="296"/>
      <c r="J134" s="296"/>
      <c r="K134" s="296"/>
      <c r="L134" s="296"/>
      <c r="M134" s="296"/>
      <c r="N134" s="296"/>
      <c r="O134" s="292"/>
    </row>
    <row r="135" spans="1:15" x14ac:dyDescent="0.2">
      <c r="A135" s="291"/>
      <c r="B135" s="296" t="s">
        <v>35</v>
      </c>
      <c r="C135" s="296"/>
      <c r="D135" s="296"/>
      <c r="E135" s="296"/>
      <c r="F135" s="296"/>
      <c r="G135" s="296"/>
      <c r="H135" s="296"/>
      <c r="I135" s="296"/>
      <c r="J135" s="296"/>
      <c r="K135" s="296"/>
      <c r="L135" s="296"/>
      <c r="M135" s="296"/>
      <c r="N135" s="296"/>
      <c r="O135" s="292"/>
    </row>
    <row r="136" spans="1:15" x14ac:dyDescent="0.2">
      <c r="A136" s="291"/>
      <c r="B136" s="296"/>
      <c r="C136" s="296"/>
      <c r="D136" s="296"/>
      <c r="E136" s="296"/>
      <c r="F136" s="296"/>
      <c r="G136" s="296"/>
      <c r="H136" s="296"/>
      <c r="I136" s="296"/>
      <c r="J136" s="296"/>
      <c r="K136" s="296"/>
      <c r="L136" s="296"/>
      <c r="M136" s="296"/>
      <c r="N136" s="296"/>
      <c r="O136" s="292"/>
    </row>
    <row r="137" spans="1:15" x14ac:dyDescent="0.2">
      <c r="A137" s="291"/>
      <c r="B137" s="296" t="s">
        <v>446</v>
      </c>
      <c r="C137" s="296"/>
      <c r="D137" s="296"/>
      <c r="E137" s="296"/>
      <c r="F137" s="296"/>
      <c r="G137" s="296"/>
      <c r="H137" s="296"/>
      <c r="I137" s="296"/>
      <c r="J137" s="296"/>
      <c r="K137" s="296"/>
      <c r="L137" s="296"/>
      <c r="M137" s="296"/>
      <c r="N137" s="296"/>
      <c r="O137" s="292"/>
    </row>
    <row r="138" spans="1:15" x14ac:dyDescent="0.2">
      <c r="A138" s="291"/>
      <c r="B138" s="296" t="s">
        <v>447</v>
      </c>
      <c r="C138" s="296"/>
      <c r="D138" s="296"/>
      <c r="E138" s="296"/>
      <c r="F138" s="296"/>
      <c r="G138" s="296"/>
      <c r="H138" s="296"/>
      <c r="I138" s="296"/>
      <c r="J138" s="296"/>
      <c r="K138" s="296"/>
      <c r="L138" s="296"/>
      <c r="M138" s="296"/>
      <c r="N138" s="296"/>
      <c r="O138" s="292"/>
    </row>
    <row r="139" spans="1:15" x14ac:dyDescent="0.2">
      <c r="A139" s="291"/>
      <c r="B139" s="296" t="s">
        <v>448</v>
      </c>
      <c r="C139" s="296"/>
      <c r="D139" s="296"/>
      <c r="E139" s="296"/>
      <c r="F139" s="296"/>
      <c r="G139" s="296"/>
      <c r="H139" s="296"/>
      <c r="I139" s="296"/>
      <c r="J139" s="296"/>
      <c r="K139" s="296"/>
      <c r="L139" s="296"/>
      <c r="M139" s="296"/>
      <c r="N139" s="296"/>
      <c r="O139" s="292"/>
    </row>
    <row r="140" spans="1:15" x14ac:dyDescent="0.2">
      <c r="A140" s="291"/>
      <c r="B140" s="296" t="s">
        <v>464</v>
      </c>
      <c r="C140" s="114"/>
      <c r="D140" s="114"/>
      <c r="E140" s="114"/>
      <c r="F140" s="114"/>
      <c r="G140" s="114"/>
      <c r="H140" s="114"/>
      <c r="I140" s="114"/>
      <c r="J140" s="114"/>
      <c r="K140" s="114"/>
      <c r="L140" s="114"/>
      <c r="M140" s="114"/>
      <c r="N140" s="114"/>
      <c r="O140" s="292"/>
    </row>
    <row r="141" spans="1:15" ht="13.5" thickBot="1" x14ac:dyDescent="0.25">
      <c r="A141" s="297"/>
      <c r="B141" s="298"/>
      <c r="C141" s="298"/>
      <c r="D141" s="298"/>
      <c r="E141" s="298"/>
      <c r="F141" s="298"/>
      <c r="G141" s="298"/>
      <c r="H141" s="298"/>
      <c r="I141" s="298"/>
      <c r="J141" s="298"/>
      <c r="K141" s="298"/>
      <c r="L141" s="298"/>
      <c r="M141" s="298"/>
      <c r="N141" s="298"/>
      <c r="O141" s="299"/>
    </row>
    <row r="142" spans="1:15" ht="13.5" thickTop="1" x14ac:dyDescent="0.2"/>
    <row r="145" spans="1:16" s="225" customFormat="1" ht="16.5" thickBot="1" x14ac:dyDescent="0.3">
      <c r="A145" s="42" t="s">
        <v>145</v>
      </c>
      <c r="D145" s="242" t="s">
        <v>281</v>
      </c>
    </row>
    <row r="146" spans="1:16" s="225" customFormat="1" ht="13.5" thickTop="1" x14ac:dyDescent="0.2">
      <c r="A146" s="195"/>
      <c r="B146" s="196"/>
      <c r="C146" s="196"/>
      <c r="D146" s="196"/>
      <c r="E146" s="196"/>
      <c r="F146" s="196"/>
      <c r="G146" s="196"/>
      <c r="H146" s="196"/>
      <c r="I146" s="196"/>
      <c r="J146" s="196"/>
      <c r="K146" s="196"/>
      <c r="L146" s="196"/>
      <c r="M146" s="196"/>
      <c r="N146" s="196"/>
      <c r="O146" s="300"/>
    </row>
    <row r="147" spans="1:16" s="225" customFormat="1" x14ac:dyDescent="0.2">
      <c r="A147" s="32" t="s">
        <v>461</v>
      </c>
      <c r="B147" s="33"/>
      <c r="C147" s="33"/>
      <c r="D147" s="33"/>
      <c r="E147" s="33"/>
      <c r="F147" s="33"/>
      <c r="G147" s="33"/>
      <c r="H147" s="33"/>
      <c r="I147" s="33"/>
      <c r="J147" s="33"/>
      <c r="K147" s="33"/>
      <c r="L147" s="33"/>
      <c r="M147" s="33"/>
      <c r="N147" s="33"/>
      <c r="O147" s="95"/>
    </row>
    <row r="148" spans="1:16" s="225" customFormat="1" x14ac:dyDescent="0.2">
      <c r="A148" s="32" t="s">
        <v>167</v>
      </c>
      <c r="B148" s="33"/>
      <c r="C148" s="33"/>
      <c r="D148" s="33"/>
      <c r="E148" s="33"/>
      <c r="F148" s="33"/>
      <c r="G148" s="33"/>
      <c r="H148" s="33"/>
      <c r="I148" s="33"/>
      <c r="J148" s="33"/>
      <c r="K148" s="33"/>
      <c r="L148" s="33"/>
      <c r="M148" s="33"/>
      <c r="N148" s="33"/>
      <c r="O148" s="95"/>
    </row>
    <row r="149" spans="1:16" s="225" customFormat="1" x14ac:dyDescent="0.2">
      <c r="A149" s="187"/>
      <c r="B149" s="224"/>
      <c r="C149" s="224"/>
      <c r="D149" s="224"/>
      <c r="E149" s="224"/>
      <c r="F149" s="224"/>
      <c r="G149" s="224"/>
      <c r="H149" s="224"/>
      <c r="I149" s="224"/>
      <c r="J149" s="224"/>
      <c r="K149" s="224"/>
      <c r="L149" s="224"/>
      <c r="M149" s="224"/>
      <c r="N149" s="224"/>
      <c r="O149" s="176"/>
    </row>
    <row r="150" spans="1:16" x14ac:dyDescent="0.2">
      <c r="A150" s="291"/>
      <c r="B150" s="114"/>
      <c r="C150" s="114"/>
      <c r="D150" s="114"/>
      <c r="E150" s="114"/>
      <c r="F150" s="114"/>
      <c r="G150" s="114"/>
      <c r="H150" s="114"/>
      <c r="I150" s="114"/>
      <c r="J150" s="114"/>
      <c r="K150" s="114"/>
      <c r="L150" s="114"/>
      <c r="M150" s="114"/>
      <c r="N150" s="114"/>
      <c r="O150" s="292"/>
    </row>
    <row r="151" spans="1:16" x14ac:dyDescent="0.2">
      <c r="A151" s="291"/>
      <c r="B151" s="293" t="s">
        <v>449</v>
      </c>
      <c r="C151" s="293"/>
      <c r="D151" s="293"/>
      <c r="E151" s="293"/>
      <c r="F151" s="293"/>
      <c r="G151" s="293"/>
      <c r="H151" s="293"/>
      <c r="I151" s="293"/>
      <c r="J151" s="293"/>
      <c r="K151" s="293"/>
      <c r="L151" s="293"/>
      <c r="M151" s="293"/>
      <c r="N151" s="293"/>
      <c r="O151" s="295"/>
      <c r="P151" s="117"/>
    </row>
    <row r="152" spans="1:16" x14ac:dyDescent="0.2">
      <c r="A152" s="291"/>
      <c r="B152" s="296" t="s">
        <v>431</v>
      </c>
      <c r="C152" s="296"/>
      <c r="D152" s="296"/>
      <c r="E152" s="296"/>
      <c r="F152" s="296"/>
      <c r="G152" s="296"/>
      <c r="H152" s="296"/>
      <c r="I152" s="296"/>
      <c r="J152" s="296"/>
      <c r="K152" s="296"/>
      <c r="L152" s="296"/>
      <c r="M152" s="296"/>
      <c r="N152" s="296"/>
      <c r="O152" s="292"/>
    </row>
    <row r="153" spans="1:16" x14ac:dyDescent="0.2">
      <c r="A153" s="291"/>
      <c r="B153" s="296" t="s">
        <v>432</v>
      </c>
      <c r="C153" s="296"/>
      <c r="D153" s="296"/>
      <c r="E153" s="296"/>
      <c r="F153" s="296"/>
      <c r="G153" s="296"/>
      <c r="H153" s="296"/>
      <c r="I153" s="296"/>
      <c r="J153" s="296"/>
      <c r="K153" s="296"/>
      <c r="L153" s="296"/>
      <c r="M153" s="296"/>
      <c r="N153" s="296"/>
      <c r="O153" s="292"/>
    </row>
    <row r="154" spans="1:16" x14ac:dyDescent="0.2">
      <c r="A154" s="291"/>
      <c r="B154" s="296" t="s">
        <v>433</v>
      </c>
      <c r="C154" s="296"/>
      <c r="D154" s="296"/>
      <c r="E154" s="296"/>
      <c r="F154" s="296"/>
      <c r="G154" s="296"/>
      <c r="H154" s="296"/>
      <c r="I154" s="296"/>
      <c r="J154" s="296"/>
      <c r="K154" s="296"/>
      <c r="L154" s="296"/>
      <c r="M154" s="296"/>
      <c r="N154" s="296"/>
      <c r="O154" s="292"/>
    </row>
    <row r="155" spans="1:16" x14ac:dyDescent="0.2">
      <c r="A155" s="291"/>
      <c r="B155" s="296"/>
      <c r="C155" s="296"/>
      <c r="D155" s="296"/>
      <c r="E155" s="296"/>
      <c r="F155" s="296"/>
      <c r="G155" s="296"/>
      <c r="H155" s="296"/>
      <c r="I155" s="296"/>
      <c r="J155" s="296"/>
      <c r="K155" s="296"/>
      <c r="L155" s="296"/>
      <c r="M155" s="296"/>
      <c r="N155" s="296"/>
      <c r="O155" s="292"/>
    </row>
    <row r="156" spans="1:16" x14ac:dyDescent="0.2">
      <c r="A156" s="291"/>
      <c r="B156" s="296" t="s">
        <v>434</v>
      </c>
      <c r="C156" s="296"/>
      <c r="D156" s="296"/>
      <c r="E156" s="296"/>
      <c r="F156" s="296"/>
      <c r="G156" s="296"/>
      <c r="H156" s="296"/>
      <c r="I156" s="296"/>
      <c r="J156" s="296"/>
      <c r="K156" s="296"/>
      <c r="L156" s="296"/>
      <c r="M156" s="296"/>
      <c r="N156" s="296"/>
      <c r="O156" s="292"/>
    </row>
    <row r="157" spans="1:16" x14ac:dyDescent="0.2">
      <c r="A157" s="291"/>
      <c r="B157" s="296" t="s">
        <v>435</v>
      </c>
      <c r="C157" s="296"/>
      <c r="D157" s="296"/>
      <c r="E157" s="296"/>
      <c r="F157" s="296"/>
      <c r="G157" s="296"/>
      <c r="H157" s="296"/>
      <c r="I157" s="296"/>
      <c r="J157" s="296"/>
      <c r="K157" s="296"/>
      <c r="L157" s="296"/>
      <c r="M157" s="296"/>
      <c r="N157" s="296"/>
      <c r="O157" s="292"/>
    </row>
    <row r="158" spans="1:16" x14ac:dyDescent="0.2">
      <c r="A158" s="291"/>
      <c r="B158" s="296" t="s">
        <v>450</v>
      </c>
      <c r="C158" s="296"/>
      <c r="D158" s="296"/>
      <c r="E158" s="296"/>
      <c r="F158" s="296"/>
      <c r="G158" s="296"/>
      <c r="H158" s="296"/>
      <c r="I158" s="296"/>
      <c r="J158" s="296"/>
      <c r="K158" s="296"/>
      <c r="L158" s="296"/>
      <c r="M158" s="296"/>
      <c r="N158" s="296"/>
      <c r="O158" s="292"/>
    </row>
    <row r="159" spans="1:16" x14ac:dyDescent="0.2">
      <c r="A159" s="291"/>
      <c r="B159" s="296" t="s">
        <v>437</v>
      </c>
      <c r="C159" s="296"/>
      <c r="D159" s="296"/>
      <c r="E159" s="296"/>
      <c r="F159" s="296"/>
      <c r="G159" s="296"/>
      <c r="H159" s="296"/>
      <c r="I159" s="296"/>
      <c r="J159" s="296"/>
      <c r="K159" s="296"/>
      <c r="L159" s="296"/>
      <c r="M159" s="296"/>
      <c r="N159" s="296"/>
      <c r="O159" s="292"/>
    </row>
    <row r="160" spans="1:16" x14ac:dyDescent="0.2">
      <c r="A160" s="291"/>
      <c r="B160" s="296" t="s">
        <v>451</v>
      </c>
      <c r="C160" s="296"/>
      <c r="D160" s="296"/>
      <c r="E160" s="296"/>
      <c r="F160" s="296"/>
      <c r="G160" s="296"/>
      <c r="H160" s="296"/>
      <c r="I160" s="296"/>
      <c r="J160" s="296"/>
      <c r="K160" s="296"/>
      <c r="L160" s="296"/>
      <c r="M160" s="296"/>
      <c r="N160" s="296"/>
      <c r="O160" s="292"/>
    </row>
    <row r="161" spans="1:15" x14ac:dyDescent="0.2">
      <c r="A161" s="291"/>
      <c r="B161" s="296"/>
      <c r="C161" s="296"/>
      <c r="D161" s="296"/>
      <c r="E161" s="296"/>
      <c r="F161" s="296"/>
      <c r="G161" s="296"/>
      <c r="H161" s="296"/>
      <c r="I161" s="296"/>
      <c r="J161" s="296"/>
      <c r="K161" s="296"/>
      <c r="L161" s="296"/>
      <c r="M161" s="296"/>
      <c r="N161" s="296"/>
      <c r="O161" s="292"/>
    </row>
    <row r="162" spans="1:15" x14ac:dyDescent="0.2">
      <c r="A162" s="291"/>
      <c r="B162" s="114"/>
      <c r="C162" s="296"/>
      <c r="D162" s="296"/>
      <c r="E162" s="296"/>
      <c r="F162" s="296"/>
      <c r="G162" s="296"/>
      <c r="H162" s="296"/>
      <c r="I162" s="296"/>
      <c r="J162" s="296"/>
      <c r="K162" s="296"/>
      <c r="L162" s="296"/>
      <c r="M162" s="296"/>
      <c r="N162" s="296"/>
      <c r="O162" s="292"/>
    </row>
    <row r="163" spans="1:15" x14ac:dyDescent="0.2">
      <c r="A163" s="291"/>
      <c r="B163" s="296" t="s">
        <v>462</v>
      </c>
      <c r="C163" s="296"/>
      <c r="D163" s="296"/>
      <c r="E163" s="296"/>
      <c r="F163" s="296"/>
      <c r="G163" s="296"/>
      <c r="H163" s="296"/>
      <c r="I163" s="296"/>
      <c r="J163" s="296"/>
      <c r="K163" s="296"/>
      <c r="L163" s="296"/>
      <c r="M163" s="296"/>
      <c r="N163" s="296"/>
      <c r="O163" s="292"/>
    </row>
    <row r="164" spans="1:15" x14ac:dyDescent="0.2">
      <c r="A164" s="291"/>
      <c r="B164" s="296" t="s">
        <v>31</v>
      </c>
      <c r="C164" s="296"/>
      <c r="D164" s="296"/>
      <c r="E164" s="296"/>
      <c r="F164" s="296"/>
      <c r="G164" s="296"/>
      <c r="H164" s="296"/>
      <c r="I164" s="296"/>
      <c r="J164" s="296"/>
      <c r="K164" s="296"/>
      <c r="L164" s="296"/>
      <c r="M164" s="296"/>
      <c r="N164" s="296"/>
      <c r="O164" s="292"/>
    </row>
    <row r="165" spans="1:15" x14ac:dyDescent="0.2">
      <c r="A165" s="291"/>
      <c r="B165" s="296" t="s">
        <v>525</v>
      </c>
      <c r="C165" s="296"/>
      <c r="D165" s="296"/>
      <c r="E165" s="296"/>
      <c r="F165" s="296"/>
      <c r="G165" s="296"/>
      <c r="H165" s="296"/>
      <c r="I165" s="296"/>
      <c r="J165" s="296"/>
      <c r="K165" s="296"/>
      <c r="L165" s="296"/>
      <c r="M165" s="296"/>
      <c r="N165" s="296"/>
      <c r="O165" s="292"/>
    </row>
    <row r="166" spans="1:15" x14ac:dyDescent="0.2">
      <c r="A166" s="291"/>
      <c r="B166" s="296" t="s">
        <v>438</v>
      </c>
      <c r="C166" s="296"/>
      <c r="D166" s="296"/>
      <c r="E166" s="296"/>
      <c r="F166" s="296"/>
      <c r="G166" s="296"/>
      <c r="H166" s="296"/>
      <c r="I166" s="296"/>
      <c r="J166" s="296"/>
      <c r="K166" s="296"/>
      <c r="L166" s="296"/>
      <c r="M166" s="296"/>
      <c r="N166" s="296"/>
      <c r="O166" s="292"/>
    </row>
    <row r="167" spans="1:15" x14ac:dyDescent="0.2">
      <c r="A167" s="291"/>
      <c r="B167" s="296" t="s">
        <v>452</v>
      </c>
      <c r="C167" s="296"/>
      <c r="D167" s="296"/>
      <c r="E167" s="296"/>
      <c r="F167" s="296"/>
      <c r="G167" s="296"/>
      <c r="H167" s="296"/>
      <c r="I167" s="296"/>
      <c r="J167" s="296"/>
      <c r="K167" s="296"/>
      <c r="L167" s="296"/>
      <c r="M167" s="296"/>
      <c r="N167" s="296"/>
      <c r="O167" s="292"/>
    </row>
    <row r="168" spans="1:15" x14ac:dyDescent="0.2">
      <c r="A168" s="291"/>
      <c r="B168" s="296" t="s">
        <v>453</v>
      </c>
      <c r="C168" s="296"/>
      <c r="D168" s="296"/>
      <c r="E168" s="296"/>
      <c r="F168" s="296"/>
      <c r="G168" s="296"/>
      <c r="H168" s="296"/>
      <c r="I168" s="296"/>
      <c r="J168" s="296"/>
      <c r="K168" s="296"/>
      <c r="L168" s="296"/>
      <c r="M168" s="296"/>
      <c r="N168" s="296"/>
      <c r="O168" s="292"/>
    </row>
    <row r="169" spans="1:15" x14ac:dyDescent="0.2">
      <c r="A169" s="291"/>
      <c r="B169" s="296" t="s">
        <v>705</v>
      </c>
      <c r="C169" s="296"/>
      <c r="D169" s="296"/>
      <c r="E169" s="296"/>
      <c r="F169" s="296"/>
      <c r="G169" s="296"/>
      <c r="H169" s="296"/>
      <c r="I169" s="296"/>
      <c r="J169" s="296"/>
      <c r="K169" s="296"/>
      <c r="L169" s="296"/>
      <c r="M169" s="296"/>
      <c r="N169" s="296"/>
      <c r="O169" s="292"/>
    </row>
    <row r="170" spans="1:15" x14ac:dyDescent="0.2">
      <c r="A170" s="291"/>
      <c r="B170" s="296" t="s">
        <v>463</v>
      </c>
      <c r="C170" s="114"/>
      <c r="D170" s="114"/>
      <c r="E170" s="114"/>
      <c r="F170" s="114"/>
      <c r="G170" s="114"/>
      <c r="H170" s="114"/>
      <c r="I170" s="114"/>
      <c r="J170" s="296"/>
      <c r="K170" s="296"/>
      <c r="L170" s="296"/>
      <c r="M170" s="296"/>
      <c r="N170" s="296"/>
      <c r="O170" s="292"/>
    </row>
    <row r="171" spans="1:15" x14ac:dyDescent="0.2">
      <c r="A171" s="291"/>
      <c r="B171" s="296"/>
      <c r="C171" s="114" t="s">
        <v>454</v>
      </c>
      <c r="D171" s="114"/>
      <c r="E171" s="114"/>
      <c r="F171" s="114"/>
      <c r="G171" s="114"/>
      <c r="H171" s="114"/>
      <c r="I171" s="114"/>
      <c r="J171" s="296"/>
      <c r="K171" s="296"/>
      <c r="L171" s="296"/>
      <c r="M171" s="296"/>
      <c r="N171" s="296"/>
      <c r="O171" s="292"/>
    </row>
    <row r="172" spans="1:15" x14ac:dyDescent="0.2">
      <c r="A172" s="291"/>
      <c r="B172" s="114"/>
      <c r="C172" s="296" t="s">
        <v>470</v>
      </c>
      <c r="D172" s="296"/>
      <c r="E172" s="296"/>
      <c r="F172" s="296"/>
      <c r="G172" s="296"/>
      <c r="H172" s="296"/>
      <c r="I172" s="296"/>
      <c r="J172" s="296"/>
      <c r="K172" s="296"/>
      <c r="L172" s="296"/>
      <c r="M172" s="296"/>
      <c r="N172" s="296"/>
      <c r="O172" s="292"/>
    </row>
    <row r="173" spans="1:15" x14ac:dyDescent="0.2">
      <c r="A173" s="291"/>
      <c r="B173" s="114"/>
      <c r="C173" s="296" t="s">
        <v>440</v>
      </c>
      <c r="D173" s="296"/>
      <c r="E173" s="296"/>
      <c r="F173" s="296"/>
      <c r="G173" s="296"/>
      <c r="H173" s="296"/>
      <c r="I173" s="296"/>
      <c r="J173" s="296"/>
      <c r="K173" s="296"/>
      <c r="L173" s="296"/>
      <c r="M173" s="296"/>
      <c r="N173" s="296"/>
      <c r="O173" s="292"/>
    </row>
    <row r="174" spans="1:15" x14ac:dyDescent="0.2">
      <c r="A174" s="291"/>
      <c r="B174" s="114"/>
      <c r="C174" s="296" t="s">
        <v>455</v>
      </c>
      <c r="D174" s="296"/>
      <c r="E174" s="296"/>
      <c r="F174" s="296"/>
      <c r="G174" s="296"/>
      <c r="H174" s="296"/>
      <c r="I174" s="296"/>
      <c r="J174" s="296"/>
      <c r="K174" s="296"/>
      <c r="L174" s="296"/>
      <c r="M174" s="296"/>
      <c r="N174" s="296"/>
      <c r="O174" s="292"/>
    </row>
    <row r="175" spans="1:15" x14ac:dyDescent="0.2">
      <c r="A175" s="291"/>
      <c r="B175" s="114"/>
      <c r="C175" s="296" t="s">
        <v>442</v>
      </c>
      <c r="D175" s="296"/>
      <c r="E175" s="296"/>
      <c r="F175" s="296"/>
      <c r="G175" s="296"/>
      <c r="H175" s="296"/>
      <c r="I175" s="296"/>
      <c r="J175" s="296"/>
      <c r="K175" s="296"/>
      <c r="L175" s="296"/>
      <c r="M175" s="296"/>
      <c r="N175" s="296"/>
      <c r="O175" s="292"/>
    </row>
    <row r="176" spans="1:15" x14ac:dyDescent="0.2">
      <c r="A176" s="291"/>
      <c r="B176" s="114"/>
      <c r="C176" s="296" t="s">
        <v>468</v>
      </c>
      <c r="D176" s="296"/>
      <c r="E176" s="296"/>
      <c r="F176" s="296"/>
      <c r="G176" s="296"/>
      <c r="H176" s="296"/>
      <c r="I176" s="296"/>
      <c r="J176" s="296"/>
      <c r="K176" s="296"/>
      <c r="L176" s="296"/>
      <c r="M176" s="296"/>
      <c r="N176" s="296"/>
      <c r="O176" s="292"/>
    </row>
    <row r="177" spans="1:15" x14ac:dyDescent="0.2">
      <c r="A177" s="291"/>
      <c r="B177" s="114" t="s">
        <v>471</v>
      </c>
      <c r="C177" s="114"/>
      <c r="D177" s="296"/>
      <c r="E177" s="296"/>
      <c r="F177" s="296"/>
      <c r="G177" s="296"/>
      <c r="H177" s="296"/>
      <c r="I177" s="296"/>
      <c r="J177" s="296"/>
      <c r="K177" s="296"/>
      <c r="L177" s="296"/>
      <c r="M177" s="296"/>
      <c r="N177" s="296"/>
      <c r="O177" s="292"/>
    </row>
    <row r="178" spans="1:15" x14ac:dyDescent="0.2">
      <c r="A178" s="291"/>
      <c r="B178" s="114"/>
      <c r="C178" s="296" t="s">
        <v>456</v>
      </c>
      <c r="D178" s="296"/>
      <c r="E178" s="296"/>
      <c r="F178" s="296"/>
      <c r="G178" s="296"/>
      <c r="H178" s="296"/>
      <c r="I178" s="296"/>
      <c r="J178" s="296"/>
      <c r="K178" s="296"/>
      <c r="L178" s="296"/>
      <c r="M178" s="296"/>
      <c r="N178" s="296"/>
      <c r="O178" s="292"/>
    </row>
    <row r="179" spans="1:15" x14ac:dyDescent="0.2">
      <c r="A179" s="291"/>
      <c r="B179" s="114"/>
      <c r="C179" s="296" t="s">
        <v>440</v>
      </c>
      <c r="D179" s="296"/>
      <c r="E179" s="296"/>
      <c r="F179" s="296"/>
      <c r="G179" s="296"/>
      <c r="H179" s="296"/>
      <c r="I179" s="296"/>
      <c r="J179" s="296"/>
      <c r="K179" s="296"/>
      <c r="L179" s="296"/>
      <c r="M179" s="296"/>
      <c r="N179" s="296"/>
      <c r="O179" s="292"/>
    </row>
    <row r="180" spans="1:15" x14ac:dyDescent="0.2">
      <c r="A180" s="291"/>
      <c r="B180" s="114"/>
      <c r="C180" s="296" t="s">
        <v>457</v>
      </c>
      <c r="D180" s="296"/>
      <c r="E180" s="296"/>
      <c r="F180" s="296"/>
      <c r="G180" s="296"/>
      <c r="H180" s="296"/>
      <c r="I180" s="296"/>
      <c r="J180" s="296"/>
      <c r="K180" s="296"/>
      <c r="L180" s="296"/>
      <c r="M180" s="296"/>
      <c r="N180" s="296"/>
      <c r="O180" s="292"/>
    </row>
    <row r="181" spans="1:15" x14ac:dyDescent="0.2">
      <c r="A181" s="291"/>
      <c r="B181" s="114"/>
      <c r="C181" s="296" t="s">
        <v>442</v>
      </c>
      <c r="D181" s="296"/>
      <c r="E181" s="296"/>
      <c r="F181" s="296"/>
      <c r="G181" s="296"/>
      <c r="H181" s="296"/>
      <c r="I181" s="296"/>
      <c r="J181" s="296"/>
      <c r="K181" s="296"/>
      <c r="L181" s="296"/>
      <c r="M181" s="296"/>
      <c r="N181" s="296"/>
      <c r="O181" s="292"/>
    </row>
    <row r="182" spans="1:15" x14ac:dyDescent="0.2">
      <c r="A182" s="291"/>
      <c r="B182" s="114"/>
      <c r="C182" s="296" t="s">
        <v>458</v>
      </c>
      <c r="D182" s="296"/>
      <c r="E182" s="296"/>
      <c r="F182" s="296"/>
      <c r="G182" s="296"/>
      <c r="H182" s="296"/>
      <c r="I182" s="296"/>
      <c r="J182" s="296"/>
      <c r="K182" s="296"/>
      <c r="L182" s="296"/>
      <c r="M182" s="296"/>
      <c r="N182" s="296"/>
      <c r="O182" s="292"/>
    </row>
    <row r="183" spans="1:15" x14ac:dyDescent="0.2">
      <c r="A183" s="291"/>
      <c r="B183" s="296" t="s">
        <v>35</v>
      </c>
      <c r="C183" s="296"/>
      <c r="D183" s="296"/>
      <c r="E183" s="296"/>
      <c r="F183" s="296"/>
      <c r="G183" s="296"/>
      <c r="H183" s="296"/>
      <c r="I183" s="296"/>
      <c r="J183" s="296"/>
      <c r="K183" s="296"/>
      <c r="L183" s="296"/>
      <c r="M183" s="296"/>
      <c r="N183" s="296"/>
      <c r="O183" s="292"/>
    </row>
    <row r="184" spans="1:15" x14ac:dyDescent="0.2">
      <c r="A184" s="291"/>
      <c r="B184" s="296"/>
      <c r="C184" s="296"/>
      <c r="D184" s="296"/>
      <c r="E184" s="296"/>
      <c r="F184" s="296"/>
      <c r="G184" s="296"/>
      <c r="H184" s="296"/>
      <c r="I184" s="296"/>
      <c r="J184" s="296"/>
      <c r="K184" s="296"/>
      <c r="L184" s="296"/>
      <c r="M184" s="296"/>
      <c r="N184" s="296"/>
      <c r="O184" s="292"/>
    </row>
    <row r="185" spans="1:15" x14ac:dyDescent="0.2">
      <c r="A185" s="291"/>
      <c r="B185" s="296" t="s">
        <v>459</v>
      </c>
      <c r="C185" s="296"/>
      <c r="D185" s="296"/>
      <c r="E185" s="296"/>
      <c r="F185" s="296"/>
      <c r="G185" s="296"/>
      <c r="H185" s="296"/>
      <c r="I185" s="296"/>
      <c r="J185" s="296"/>
      <c r="K185" s="296"/>
      <c r="L185" s="296"/>
      <c r="M185" s="296"/>
      <c r="N185" s="296"/>
      <c r="O185" s="292"/>
    </row>
    <row r="186" spans="1:15" x14ac:dyDescent="0.2">
      <c r="A186" s="291"/>
      <c r="B186" s="296" t="s">
        <v>448</v>
      </c>
      <c r="C186" s="296"/>
      <c r="D186" s="296"/>
      <c r="E186" s="296"/>
      <c r="F186" s="296"/>
      <c r="G186" s="296"/>
      <c r="H186" s="296"/>
      <c r="I186" s="296"/>
      <c r="J186" s="296"/>
      <c r="K186" s="296"/>
      <c r="L186" s="296"/>
      <c r="M186" s="296"/>
      <c r="N186" s="296"/>
      <c r="O186" s="292"/>
    </row>
    <row r="187" spans="1:15" x14ac:dyDescent="0.2">
      <c r="A187" s="291"/>
      <c r="B187" s="296" t="s">
        <v>464</v>
      </c>
      <c r="C187" s="114"/>
      <c r="D187" s="114"/>
      <c r="E187" s="114"/>
      <c r="F187" s="114"/>
      <c r="G187" s="114"/>
      <c r="H187" s="114"/>
      <c r="I187" s="114"/>
      <c r="J187" s="114"/>
      <c r="K187" s="114"/>
      <c r="L187" s="114"/>
      <c r="M187" s="114"/>
      <c r="N187" s="114"/>
      <c r="O187" s="292"/>
    </row>
    <row r="188" spans="1:15" ht="13.5" thickBot="1" x14ac:dyDescent="0.25">
      <c r="A188" s="297"/>
      <c r="B188" s="298"/>
      <c r="C188" s="298"/>
      <c r="D188" s="298"/>
      <c r="E188" s="298"/>
      <c r="F188" s="298"/>
      <c r="G188" s="298"/>
      <c r="H188" s="298"/>
      <c r="I188" s="298"/>
      <c r="J188" s="298"/>
      <c r="K188" s="298"/>
      <c r="L188" s="298"/>
      <c r="M188" s="298"/>
      <c r="N188" s="298"/>
      <c r="O188" s="299"/>
    </row>
    <row r="189" spans="1:15" ht="13.5" thickTop="1" x14ac:dyDescent="0.2"/>
  </sheetData>
  <sheetProtection algorithmName="SHA-512" hashValue="WSWe6I+ej1GDW2FOOpRRj3lk1CGcIfuoTzjXqXyv+W8TrE7HblFn2oanoIhZkwnAwYc2H8F/wugUhPqHaUHRGQ==" saltValue="kLdmGWyQRHMYzUItrr4L3Q==" spinCount="100000" sheet="1" objects="1" scenarios="1"/>
  <mergeCells count="3">
    <mergeCell ref="A1:U3"/>
    <mergeCell ref="A4:Y4"/>
    <mergeCell ref="A5:B5"/>
  </mergeCells>
  <hyperlinks>
    <hyperlink ref="A5" location="Main!K48" display="Return to Menu" xr:uid="{00000000-0004-0000-0A00-000000000000}"/>
    <hyperlink ref="A8" location="Averaging!A140" display="Example Code" xr:uid="{00000000-0004-0000-0A00-000001000000}"/>
    <hyperlink ref="A5:B5" location="Main!K49" display="Return to Menu" xr:uid="{3E2232BD-D077-4C3E-9E97-2E2B42C950C6}"/>
  </hyperlinks>
  <pageMargins left="0.7" right="0.7" top="0.75" bottom="0.75" header="0.3" footer="0.3"/>
  <pageSetup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AJ433"/>
  <sheetViews>
    <sheetView showGridLines="0" zoomScale="80" zoomScaleNormal="80" workbookViewId="0">
      <selection activeCell="C6" sqref="C6"/>
    </sheetView>
  </sheetViews>
  <sheetFormatPr defaultColWidth="0" defaultRowHeight="0" customHeight="1" zeroHeight="1" x14ac:dyDescent="0.2"/>
  <cols>
    <col min="1" max="1" width="26.5703125" style="436" customWidth="1"/>
    <col min="2" max="2" width="20.28515625" style="436" customWidth="1"/>
    <col min="3" max="3" width="23.7109375" style="436" customWidth="1"/>
    <col min="4" max="4" width="17.5703125" style="436" customWidth="1"/>
    <col min="5" max="5" width="20.42578125" style="436" customWidth="1"/>
    <col min="6" max="6" width="25.28515625" style="436" customWidth="1"/>
    <col min="7" max="7" width="18.140625" style="436" customWidth="1"/>
    <col min="8" max="9" width="12.7109375" style="436" customWidth="1"/>
    <col min="10" max="10" width="19" style="436" customWidth="1"/>
    <col min="11" max="11" width="12.7109375" style="436" customWidth="1"/>
    <col min="12" max="19" width="10.7109375" style="436" customWidth="1"/>
    <col min="20" max="25" width="10.7109375" style="222" hidden="1" customWidth="1"/>
    <col min="26" max="36" width="0" style="222" hidden="1" customWidth="1"/>
    <col min="37" max="16384" width="9.140625" style="222" hidden="1"/>
  </cols>
  <sheetData>
    <row r="1" spans="1:36" s="174" customFormat="1" ht="12.75" x14ac:dyDescent="0.2">
      <c r="A1" s="768"/>
      <c r="B1" s="768"/>
      <c r="C1" s="768"/>
      <c r="D1" s="768"/>
      <c r="E1" s="768"/>
      <c r="F1" s="768"/>
      <c r="G1" s="768"/>
      <c r="H1" s="768"/>
      <c r="I1" s="768"/>
      <c r="J1" s="768"/>
      <c r="K1" s="768"/>
      <c r="L1" s="768"/>
      <c r="M1" s="768"/>
      <c r="N1" s="768"/>
      <c r="O1" s="768"/>
      <c r="P1" s="768"/>
      <c r="Q1" s="768"/>
      <c r="R1" s="768"/>
      <c r="S1" s="768"/>
      <c r="T1" s="768"/>
      <c r="U1" s="768"/>
      <c r="V1" s="275"/>
      <c r="W1" s="275"/>
      <c r="X1" s="275"/>
      <c r="Y1" s="275"/>
      <c r="Z1" s="275"/>
      <c r="AA1" s="275"/>
      <c r="AB1" s="275"/>
      <c r="AC1" s="275"/>
      <c r="AD1" s="275"/>
      <c r="AE1" s="275"/>
      <c r="AF1" s="275"/>
      <c r="AG1" s="275"/>
      <c r="AH1" s="275"/>
      <c r="AI1" s="275"/>
      <c r="AJ1" s="275"/>
    </row>
    <row r="2" spans="1:36" s="174" customFormat="1" ht="12.75" x14ac:dyDescent="0.2">
      <c r="A2" s="768"/>
      <c r="B2" s="768"/>
      <c r="C2" s="768"/>
      <c r="D2" s="768"/>
      <c r="E2" s="768"/>
      <c r="F2" s="768"/>
      <c r="G2" s="768"/>
      <c r="H2" s="768"/>
      <c r="I2" s="768"/>
      <c r="J2" s="768"/>
      <c r="K2" s="768"/>
      <c r="L2" s="768"/>
      <c r="M2" s="768"/>
      <c r="N2" s="768"/>
      <c r="O2" s="768"/>
      <c r="P2" s="768"/>
      <c r="Q2" s="768"/>
      <c r="R2" s="768"/>
      <c r="S2" s="768"/>
      <c r="T2" s="768"/>
      <c r="U2" s="768"/>
      <c r="V2" s="275"/>
      <c r="W2" s="275"/>
      <c r="X2" s="275"/>
      <c r="Y2" s="275"/>
      <c r="Z2" s="275"/>
      <c r="AA2" s="275"/>
      <c r="AB2" s="275"/>
      <c r="AC2" s="275"/>
      <c r="AD2" s="275"/>
      <c r="AE2" s="275"/>
      <c r="AF2" s="275"/>
      <c r="AG2" s="275"/>
      <c r="AH2" s="275"/>
      <c r="AI2" s="275"/>
      <c r="AJ2" s="275"/>
    </row>
    <row r="3" spans="1:36" s="174" customFormat="1" ht="12.75" x14ac:dyDescent="0.2">
      <c r="A3" s="768"/>
      <c r="B3" s="768"/>
      <c r="C3" s="768"/>
      <c r="D3" s="768"/>
      <c r="E3" s="768"/>
      <c r="F3" s="768"/>
      <c r="G3" s="768"/>
      <c r="H3" s="768"/>
      <c r="I3" s="768"/>
      <c r="J3" s="768"/>
      <c r="K3" s="768"/>
      <c r="L3" s="768"/>
      <c r="M3" s="768"/>
      <c r="N3" s="768"/>
      <c r="O3" s="768"/>
      <c r="P3" s="768"/>
      <c r="Q3" s="768"/>
      <c r="R3" s="768"/>
      <c r="S3" s="768"/>
      <c r="T3" s="768"/>
      <c r="U3" s="768"/>
      <c r="V3" s="275"/>
      <c r="W3" s="275"/>
      <c r="X3" s="275"/>
      <c r="Y3" s="275"/>
      <c r="Z3" s="275"/>
      <c r="AA3" s="275"/>
      <c r="AB3" s="275"/>
      <c r="AC3" s="275"/>
      <c r="AD3" s="275"/>
      <c r="AE3" s="275"/>
      <c r="AF3" s="275"/>
      <c r="AG3" s="275"/>
      <c r="AH3" s="275"/>
      <c r="AI3" s="275"/>
      <c r="AJ3" s="275"/>
    </row>
    <row r="4" spans="1:36" s="174" customFormat="1" ht="12.75" customHeight="1" x14ac:dyDescent="0.2">
      <c r="A4" s="769"/>
      <c r="B4" s="770"/>
      <c r="C4" s="770"/>
      <c r="D4" s="770"/>
      <c r="E4" s="770"/>
      <c r="F4" s="770"/>
      <c r="G4" s="770"/>
      <c r="H4" s="770"/>
      <c r="I4" s="770"/>
      <c r="J4" s="770"/>
      <c r="K4" s="770"/>
      <c r="L4" s="770"/>
      <c r="M4" s="770"/>
      <c r="N4" s="770"/>
      <c r="O4" s="770"/>
      <c r="P4" s="770"/>
      <c r="Q4" s="770"/>
      <c r="R4" s="770"/>
      <c r="S4" s="770"/>
      <c r="T4" s="770"/>
      <c r="U4" s="770"/>
      <c r="V4" s="770"/>
      <c r="W4" s="770"/>
      <c r="X4" s="770"/>
      <c r="Y4" s="770"/>
      <c r="Z4" s="275"/>
      <c r="AA4" s="275"/>
      <c r="AB4" s="275"/>
      <c r="AC4" s="275"/>
      <c r="AD4" s="275"/>
      <c r="AE4" s="275"/>
      <c r="AF4" s="275"/>
      <c r="AG4" s="275"/>
      <c r="AH4" s="275"/>
      <c r="AI4" s="275"/>
      <c r="AJ4" s="275"/>
    </row>
    <row r="5" spans="1:36" ht="15" x14ac:dyDescent="0.2">
      <c r="A5" s="418" t="s">
        <v>75</v>
      </c>
      <c r="B5" s="222"/>
      <c r="C5" s="222"/>
      <c r="D5" s="222"/>
      <c r="E5" s="222"/>
      <c r="F5" s="222"/>
      <c r="G5" s="222"/>
      <c r="H5" s="222"/>
      <c r="I5" s="222"/>
      <c r="J5" s="222"/>
      <c r="K5" s="222"/>
      <c r="L5" s="222"/>
      <c r="M5" s="222"/>
      <c r="N5" s="222"/>
      <c r="O5" s="222"/>
      <c r="P5" s="222"/>
      <c r="Q5" s="222"/>
      <c r="R5" s="222"/>
      <c r="S5" s="222"/>
    </row>
    <row r="6" spans="1:36" s="223" customFormat="1" ht="15.75" x14ac:dyDescent="0.25">
      <c r="A6" s="252"/>
      <c r="B6" s="123"/>
      <c r="C6" s="123"/>
      <c r="D6" s="123"/>
    </row>
    <row r="7" spans="1:36" s="223" customFormat="1" ht="12.75" x14ac:dyDescent="0.2"/>
    <row r="8" spans="1:36" s="223" customFormat="1" ht="12.75" x14ac:dyDescent="0.2">
      <c r="A8" s="123"/>
    </row>
    <row r="9" spans="1:36" s="223" customFormat="1" ht="12.75" x14ac:dyDescent="0.2"/>
    <row r="10" spans="1:36" s="223" customFormat="1" ht="12.75" x14ac:dyDescent="0.2"/>
    <row r="11" spans="1:36" s="223" customFormat="1" ht="12.75" x14ac:dyDescent="0.2"/>
    <row r="12" spans="1:36" s="223" customFormat="1" ht="12.75" x14ac:dyDescent="0.2"/>
    <row r="13" spans="1:36" s="223" customFormat="1" ht="12.75" x14ac:dyDescent="0.2"/>
    <row r="14" spans="1:36" s="223" customFormat="1" ht="12.75" x14ac:dyDescent="0.2"/>
    <row r="15" spans="1:36" s="223" customFormat="1" ht="12.75" x14ac:dyDescent="0.2"/>
    <row r="16" spans="1:36" s="223" customFormat="1" ht="12.75" x14ac:dyDescent="0.2"/>
    <row r="17" spans="1:3" s="223" customFormat="1" ht="12.75" x14ac:dyDescent="0.2"/>
    <row r="18" spans="1:3" s="223" customFormat="1" ht="12.75" x14ac:dyDescent="0.2"/>
    <row r="19" spans="1:3" s="223" customFormat="1" ht="12.75" x14ac:dyDescent="0.2"/>
    <row r="20" spans="1:3" s="223" customFormat="1" ht="12.75" x14ac:dyDescent="0.2">
      <c r="A20" s="226"/>
      <c r="B20" s="226"/>
      <c r="C20" s="226"/>
    </row>
    <row r="21" spans="1:3" s="223" customFormat="1" ht="12.75" x14ac:dyDescent="0.2"/>
    <row r="22" spans="1:3" s="223" customFormat="1" ht="12.75" x14ac:dyDescent="0.2"/>
    <row r="23" spans="1:3" s="223" customFormat="1" ht="12.75" x14ac:dyDescent="0.2"/>
    <row r="24" spans="1:3" s="223" customFormat="1" ht="12.75" x14ac:dyDescent="0.2"/>
    <row r="25" spans="1:3" s="223" customFormat="1" ht="12.75" x14ac:dyDescent="0.2"/>
    <row r="26" spans="1:3" s="223" customFormat="1" ht="12.75" x14ac:dyDescent="0.2"/>
    <row r="27" spans="1:3" s="223" customFormat="1" ht="12.75" x14ac:dyDescent="0.2"/>
    <row r="28" spans="1:3" s="223" customFormat="1" ht="12.75" x14ac:dyDescent="0.2"/>
    <row r="29" spans="1:3" s="223" customFormat="1" ht="12.75" x14ac:dyDescent="0.2"/>
    <row r="30" spans="1:3" s="223" customFormat="1" ht="12.75" x14ac:dyDescent="0.2"/>
    <row r="31" spans="1:3" s="223" customFormat="1" ht="12.75" x14ac:dyDescent="0.2"/>
    <row r="32" spans="1:3" s="222" customFormat="1" ht="12.75" x14ac:dyDescent="0.2"/>
    <row r="33" spans="1:17" s="222" customFormat="1" ht="12.75" x14ac:dyDescent="0.2">
      <c r="A33" s="58"/>
      <c r="B33" s="58"/>
      <c r="C33" s="58"/>
      <c r="D33" s="58"/>
      <c r="E33" s="58"/>
      <c r="F33" s="58"/>
      <c r="G33" s="58"/>
      <c r="H33" s="58"/>
      <c r="I33" s="58"/>
      <c r="J33" s="58"/>
      <c r="K33" s="58"/>
      <c r="L33" s="225"/>
      <c r="M33" s="225"/>
      <c r="N33" s="225"/>
      <c r="O33" s="225"/>
      <c r="P33" s="225"/>
      <c r="Q33" s="225"/>
    </row>
    <row r="34" spans="1:17" s="222" customFormat="1" ht="12.75" x14ac:dyDescent="0.2">
      <c r="A34" s="227"/>
      <c r="B34" s="227"/>
      <c r="C34" s="227"/>
      <c r="D34" s="227"/>
      <c r="E34" s="227"/>
      <c r="F34" s="227"/>
      <c r="G34" s="227"/>
      <c r="H34" s="227"/>
      <c r="I34" s="227"/>
      <c r="J34" s="227"/>
      <c r="K34" s="227"/>
      <c r="L34" s="227"/>
      <c r="M34" s="227"/>
      <c r="N34" s="227"/>
      <c r="O34" s="225"/>
      <c r="P34" s="225"/>
      <c r="Q34" s="225"/>
    </row>
    <row r="35" spans="1:17" s="222" customFormat="1" ht="12.75" x14ac:dyDescent="0.2">
      <c r="A35" s="227"/>
      <c r="B35" s="227"/>
      <c r="C35" s="227"/>
      <c r="D35" s="227"/>
      <c r="E35" s="227"/>
      <c r="F35" s="227"/>
      <c r="G35" s="227"/>
      <c r="H35" s="227"/>
      <c r="I35" s="227"/>
      <c r="J35" s="227"/>
      <c r="K35" s="227"/>
      <c r="L35" s="227"/>
      <c r="M35" s="227"/>
      <c r="N35" s="227"/>
      <c r="O35" s="225"/>
      <c r="P35" s="225"/>
      <c r="Q35" s="225"/>
    </row>
    <row r="36" spans="1:17" s="222" customFormat="1" ht="12.75" x14ac:dyDescent="0.2">
      <c r="A36" s="227"/>
      <c r="B36" s="227"/>
      <c r="C36" s="227"/>
      <c r="D36" s="227"/>
      <c r="E36" s="227"/>
      <c r="F36" s="227"/>
      <c r="G36" s="227"/>
      <c r="H36" s="227"/>
      <c r="I36" s="227"/>
      <c r="J36" s="227"/>
      <c r="K36" s="227"/>
      <c r="L36" s="227"/>
      <c r="M36" s="227"/>
      <c r="N36" s="227"/>
      <c r="O36" s="225"/>
      <c r="P36" s="225"/>
      <c r="Q36" s="225"/>
    </row>
    <row r="37" spans="1:17" s="222" customFormat="1" ht="12.75" x14ac:dyDescent="0.2">
      <c r="A37" s="227"/>
      <c r="B37" s="227"/>
      <c r="C37" s="227"/>
      <c r="D37" s="227"/>
      <c r="E37" s="227"/>
      <c r="F37" s="227"/>
      <c r="G37" s="227"/>
      <c r="H37" s="227"/>
      <c r="I37" s="227"/>
      <c r="J37" s="227"/>
      <c r="K37" s="227"/>
      <c r="L37" s="227"/>
      <c r="M37" s="227"/>
      <c r="N37" s="227"/>
      <c r="O37" s="225"/>
      <c r="P37" s="225"/>
      <c r="Q37" s="225"/>
    </row>
    <row r="38" spans="1:17" s="222" customFormat="1" ht="12.75" x14ac:dyDescent="0.2">
      <c r="A38" s="227"/>
      <c r="B38" s="227"/>
      <c r="C38" s="227"/>
      <c r="D38" s="227"/>
      <c r="E38" s="227"/>
      <c r="F38" s="227"/>
      <c r="G38" s="227"/>
      <c r="H38" s="227"/>
      <c r="I38" s="227"/>
      <c r="J38" s="227"/>
      <c r="K38" s="227"/>
      <c r="L38" s="227"/>
      <c r="M38" s="227"/>
      <c r="N38" s="227"/>
      <c r="O38" s="225"/>
      <c r="P38" s="225"/>
      <c r="Q38" s="225"/>
    </row>
    <row r="39" spans="1:17" s="222" customFormat="1" ht="12.75" x14ac:dyDescent="0.2">
      <c r="A39" s="227"/>
      <c r="B39" s="227"/>
      <c r="C39" s="227"/>
      <c r="D39" s="227"/>
      <c r="E39" s="227"/>
      <c r="F39" s="227"/>
      <c r="G39" s="227"/>
      <c r="H39" s="227"/>
      <c r="I39" s="227"/>
      <c r="J39" s="227"/>
      <c r="K39" s="227"/>
      <c r="L39" s="227"/>
      <c r="M39" s="227"/>
      <c r="N39" s="227"/>
      <c r="O39" s="225"/>
      <c r="P39" s="225"/>
      <c r="Q39" s="225"/>
    </row>
    <row r="40" spans="1:17" s="222" customFormat="1" ht="12.75" x14ac:dyDescent="0.2">
      <c r="A40" s="227"/>
      <c r="B40" s="227"/>
      <c r="C40" s="227"/>
      <c r="D40" s="227"/>
      <c r="E40" s="227"/>
      <c r="F40" s="227"/>
      <c r="G40" s="227"/>
      <c r="H40" s="227"/>
      <c r="I40" s="227"/>
      <c r="J40" s="227"/>
      <c r="K40" s="227"/>
      <c r="L40" s="227"/>
      <c r="M40" s="227"/>
      <c r="N40" s="227"/>
      <c r="O40" s="225"/>
      <c r="P40" s="225"/>
      <c r="Q40" s="225"/>
    </row>
    <row r="41" spans="1:17" s="222" customFormat="1" ht="12.75" x14ac:dyDescent="0.2">
      <c r="A41" s="227"/>
      <c r="B41" s="227"/>
      <c r="C41" s="227"/>
      <c r="D41" s="227"/>
      <c r="E41" s="227"/>
      <c r="F41" s="227"/>
      <c r="G41" s="227"/>
      <c r="H41" s="227"/>
      <c r="I41" s="227"/>
      <c r="J41" s="227"/>
      <c r="K41" s="227"/>
      <c r="L41" s="227"/>
      <c r="M41" s="227"/>
      <c r="N41" s="227"/>
      <c r="O41" s="225"/>
      <c r="P41" s="225"/>
      <c r="Q41" s="225"/>
    </row>
    <row r="42" spans="1:17" s="222" customFormat="1" ht="12.75" x14ac:dyDescent="0.2">
      <c r="A42" s="227"/>
      <c r="B42" s="227"/>
      <c r="C42" s="227"/>
      <c r="D42" s="227"/>
      <c r="E42" s="227"/>
      <c r="F42" s="227"/>
      <c r="G42" s="227"/>
      <c r="H42" s="227"/>
      <c r="I42" s="227"/>
      <c r="J42" s="227"/>
      <c r="K42" s="227"/>
      <c r="L42" s="227"/>
      <c r="M42" s="227"/>
      <c r="N42" s="227"/>
      <c r="O42" s="225"/>
      <c r="P42" s="225"/>
      <c r="Q42" s="225"/>
    </row>
    <row r="43" spans="1:17" s="222" customFormat="1" ht="12.75" x14ac:dyDescent="0.2">
      <c r="A43" s="227"/>
      <c r="B43" s="227"/>
      <c r="C43" s="227"/>
      <c r="D43" s="227"/>
      <c r="E43" s="227"/>
      <c r="F43" s="227"/>
      <c r="G43" s="227"/>
      <c r="H43" s="227"/>
      <c r="I43" s="227"/>
      <c r="J43" s="227"/>
      <c r="K43" s="227"/>
      <c r="L43" s="227"/>
      <c r="M43" s="227"/>
      <c r="N43" s="227"/>
      <c r="O43" s="225"/>
      <c r="P43" s="225"/>
      <c r="Q43" s="225"/>
    </row>
    <row r="44" spans="1:17" s="222" customFormat="1" ht="12.75" x14ac:dyDescent="0.2">
      <c r="A44" s="227"/>
      <c r="B44" s="227"/>
      <c r="C44" s="227"/>
      <c r="D44" s="227"/>
      <c r="E44" s="227"/>
      <c r="F44" s="227"/>
      <c r="G44" s="227"/>
      <c r="H44" s="227"/>
      <c r="I44" s="227"/>
      <c r="J44" s="227"/>
      <c r="K44" s="227"/>
      <c r="L44" s="227"/>
      <c r="M44" s="227"/>
      <c r="N44" s="227"/>
      <c r="O44" s="225"/>
      <c r="P44" s="225"/>
      <c r="Q44" s="225"/>
    </row>
    <row r="45" spans="1:17" s="222" customFormat="1" ht="12.75" x14ac:dyDescent="0.2">
      <c r="A45" s="227"/>
      <c r="B45" s="227"/>
      <c r="C45" s="227"/>
      <c r="D45" s="227"/>
      <c r="E45" s="227"/>
      <c r="F45" s="227"/>
      <c r="G45" s="227"/>
      <c r="H45" s="227"/>
      <c r="I45" s="227"/>
      <c r="J45" s="227"/>
      <c r="K45" s="227"/>
      <c r="L45" s="227"/>
      <c r="M45" s="227"/>
      <c r="N45" s="227"/>
      <c r="O45" s="225"/>
      <c r="P45" s="225"/>
      <c r="Q45" s="225"/>
    </row>
    <row r="46" spans="1:17" s="222" customFormat="1" ht="12.75" x14ac:dyDescent="0.2">
      <c r="A46" s="227"/>
      <c r="B46" s="227"/>
      <c r="C46" s="227"/>
      <c r="D46" s="227"/>
      <c r="E46" s="227"/>
      <c r="F46" s="227"/>
      <c r="G46" s="227"/>
      <c r="H46" s="227"/>
      <c r="I46" s="227"/>
      <c r="J46" s="227"/>
      <c r="K46" s="227"/>
      <c r="L46" s="227"/>
      <c r="M46" s="227"/>
      <c r="N46" s="227"/>
      <c r="O46" s="225"/>
      <c r="P46" s="225"/>
      <c r="Q46" s="225"/>
    </row>
    <row r="47" spans="1:17" s="222" customFormat="1" ht="15" x14ac:dyDescent="0.2">
      <c r="A47" s="418" t="s">
        <v>247</v>
      </c>
      <c r="C47" s="227"/>
      <c r="D47" s="227"/>
      <c r="E47" s="227"/>
      <c r="F47" s="227"/>
      <c r="G47" s="227"/>
      <c r="H47" s="227"/>
      <c r="I47" s="227"/>
      <c r="J47" s="227"/>
      <c r="K47" s="227"/>
      <c r="L47" s="227"/>
      <c r="M47" s="227"/>
      <c r="N47" s="227"/>
      <c r="O47" s="225"/>
      <c r="P47" s="225"/>
      <c r="Q47" s="225"/>
    </row>
    <row r="48" spans="1:17" s="222" customFormat="1" ht="12.75" x14ac:dyDescent="0.2">
      <c r="A48" s="227"/>
      <c r="B48" s="227"/>
      <c r="C48" s="227"/>
      <c r="D48" s="227"/>
      <c r="E48" s="227"/>
      <c r="F48" s="227"/>
      <c r="G48" s="227"/>
      <c r="H48" s="227"/>
      <c r="I48" s="227"/>
      <c r="J48" s="227"/>
      <c r="K48" s="227"/>
      <c r="L48" s="227"/>
      <c r="M48" s="227"/>
      <c r="N48" s="227"/>
      <c r="O48" s="225"/>
      <c r="P48" s="225"/>
      <c r="Q48" s="225"/>
    </row>
    <row r="49" spans="1:19" ht="12.75" x14ac:dyDescent="0.2">
      <c r="A49" s="222"/>
      <c r="B49" s="222"/>
      <c r="C49" s="227"/>
      <c r="D49" s="227"/>
      <c r="E49" s="227"/>
      <c r="F49" s="227"/>
      <c r="G49" s="227"/>
      <c r="H49" s="227"/>
      <c r="I49" s="227"/>
      <c r="J49" s="227"/>
      <c r="K49" s="227"/>
      <c r="L49" s="227"/>
      <c r="M49" s="227"/>
      <c r="N49" s="227"/>
      <c r="O49" s="225"/>
      <c r="P49" s="225"/>
      <c r="Q49" s="225"/>
      <c r="R49" s="222"/>
      <c r="S49" s="222"/>
    </row>
    <row r="50" spans="1:19" ht="15.75" x14ac:dyDescent="0.25">
      <c r="A50" s="433" t="s">
        <v>300</v>
      </c>
      <c r="B50" s="254" t="str">
        <f>Main!$N$22</f>
        <v>TMP6131DECR</v>
      </c>
      <c r="O50" s="441"/>
      <c r="P50" s="441"/>
      <c r="Q50" s="441"/>
    </row>
    <row r="51" spans="1:19" ht="15" x14ac:dyDescent="0.2">
      <c r="O51" s="441"/>
      <c r="P51" s="441"/>
      <c r="Q51" s="441"/>
    </row>
    <row r="52" spans="1:19" ht="16.5" thickBot="1" x14ac:dyDescent="0.3">
      <c r="A52" s="398"/>
      <c r="B52" s="398" t="s">
        <v>655</v>
      </c>
      <c r="C52" s="398"/>
      <c r="D52" s="398"/>
      <c r="E52" s="398"/>
      <c r="F52" s="398"/>
      <c r="G52" s="398"/>
      <c r="H52" s="398"/>
      <c r="I52" s="398"/>
      <c r="J52" s="398"/>
      <c r="K52" s="398"/>
      <c r="O52" s="441"/>
      <c r="P52" s="441"/>
      <c r="Q52" s="441"/>
    </row>
    <row r="53" spans="1:19" ht="16.5" thickBot="1" x14ac:dyDescent="0.3">
      <c r="A53" s="398" t="s">
        <v>656</v>
      </c>
      <c r="B53" s="397">
        <v>0.2</v>
      </c>
      <c r="C53" s="399" t="s">
        <v>667</v>
      </c>
      <c r="D53" s="398" t="s">
        <v>712</v>
      </c>
      <c r="E53" s="398"/>
      <c r="F53" s="398"/>
      <c r="G53" s="398"/>
      <c r="H53" s="398"/>
      <c r="I53" s="398"/>
      <c r="J53" s="398"/>
      <c r="K53" s="398"/>
      <c r="O53" s="441"/>
      <c r="P53" s="441"/>
      <c r="Q53" s="441"/>
    </row>
    <row r="54" spans="1:19" ht="15.75" x14ac:dyDescent="0.25">
      <c r="A54" s="398" t="s">
        <v>657</v>
      </c>
      <c r="B54" s="400">
        <f>B62</f>
        <v>22.713934338773338</v>
      </c>
      <c r="C54" s="398" t="s">
        <v>658</v>
      </c>
      <c r="D54" s="398" t="s">
        <v>659</v>
      </c>
      <c r="E54" s="398" t="s">
        <v>678</v>
      </c>
      <c r="F54" s="398"/>
      <c r="G54" s="398"/>
      <c r="H54" s="398"/>
      <c r="I54" s="398"/>
      <c r="J54" s="398"/>
      <c r="K54" s="398"/>
      <c r="O54" s="441"/>
      <c r="P54" s="441"/>
      <c r="Q54" s="441"/>
    </row>
    <row r="55" spans="1:19" ht="16.5" thickBot="1" x14ac:dyDescent="0.3">
      <c r="A55" s="398" t="s">
        <v>660</v>
      </c>
      <c r="B55" s="400">
        <f>B62</f>
        <v>22.713934338773338</v>
      </c>
      <c r="C55" s="398" t="s">
        <v>658</v>
      </c>
      <c r="D55" s="398" t="s">
        <v>659</v>
      </c>
      <c r="E55" s="398" t="s">
        <v>679</v>
      </c>
      <c r="F55" s="398"/>
      <c r="G55" s="398"/>
      <c r="H55" s="398"/>
      <c r="I55" s="398"/>
      <c r="J55" s="398"/>
      <c r="K55" s="398"/>
      <c r="O55" s="441"/>
      <c r="P55" s="441"/>
      <c r="Q55" s="441"/>
    </row>
    <row r="56" spans="1:19" ht="16.5" thickBot="1" x14ac:dyDescent="0.3">
      <c r="A56" s="565" t="s">
        <v>707</v>
      </c>
      <c r="B56" s="566">
        <v>1</v>
      </c>
      <c r="C56" s="565"/>
      <c r="D56" s="398" t="s">
        <v>711</v>
      </c>
      <c r="E56" s="398"/>
      <c r="F56" s="398"/>
      <c r="G56" s="398"/>
      <c r="H56" s="398"/>
      <c r="I56" s="398"/>
      <c r="J56" s="398"/>
      <c r="K56" s="398"/>
      <c r="O56" s="441"/>
      <c r="P56" s="441"/>
      <c r="Q56" s="441"/>
    </row>
    <row r="57" spans="1:19" ht="15.75" x14ac:dyDescent="0.25">
      <c r="A57" s="565" t="s">
        <v>708</v>
      </c>
      <c r="B57" s="565">
        <f>1/((1/B56)*(1/B53))</f>
        <v>0.2</v>
      </c>
      <c r="C57" s="565" t="s">
        <v>706</v>
      </c>
      <c r="D57" s="398"/>
      <c r="E57" s="398"/>
      <c r="F57" s="398"/>
      <c r="G57" s="398"/>
      <c r="H57" s="398"/>
      <c r="I57" s="398"/>
      <c r="J57" s="398"/>
      <c r="K57" s="398"/>
      <c r="O57" s="441"/>
      <c r="P57" s="441"/>
      <c r="Q57" s="441"/>
    </row>
    <row r="58" spans="1:19" ht="15.75" x14ac:dyDescent="0.25">
      <c r="A58" s="398"/>
      <c r="B58" s="398"/>
      <c r="C58" s="398"/>
      <c r="D58" s="398"/>
      <c r="E58" s="398"/>
      <c r="F58" s="398"/>
      <c r="G58" s="398"/>
      <c r="H58" s="398"/>
      <c r="I58" s="398"/>
      <c r="J58" s="398"/>
      <c r="K58" s="398"/>
      <c r="O58" s="441"/>
      <c r="P58" s="441"/>
      <c r="Q58" s="441"/>
    </row>
    <row r="59" spans="1:19" ht="15.75" thickBot="1" x14ac:dyDescent="0.25">
      <c r="O59" s="441"/>
      <c r="P59" s="441"/>
      <c r="Q59" s="441"/>
    </row>
    <row r="60" spans="1:19" ht="15" x14ac:dyDescent="0.2">
      <c r="A60" s="567"/>
      <c r="B60" s="567" t="s">
        <v>662</v>
      </c>
      <c r="C60" s="567" t="s">
        <v>663</v>
      </c>
      <c r="O60" s="441"/>
      <c r="P60" s="441"/>
      <c r="Q60" s="441"/>
    </row>
    <row r="61" spans="1:19" ht="15.75" thickBot="1" x14ac:dyDescent="0.25">
      <c r="A61" s="568" t="s">
        <v>661</v>
      </c>
      <c r="B61" s="568" t="s">
        <v>664</v>
      </c>
      <c r="C61" s="568" t="s">
        <v>665</v>
      </c>
      <c r="O61" s="441"/>
      <c r="P61" s="441"/>
      <c r="Q61" s="441"/>
    </row>
    <row r="62" spans="1:19" ht="15" x14ac:dyDescent="0.2">
      <c r="A62" s="569">
        <v>1</v>
      </c>
      <c r="B62" s="570">
        <v>22.713934338773338</v>
      </c>
      <c r="C62" s="571">
        <f>$B$55-($B$53*($B$55-B62))</f>
        <v>22.713934338773338</v>
      </c>
      <c r="O62" s="441"/>
      <c r="P62" s="441"/>
      <c r="Q62" s="441"/>
    </row>
    <row r="63" spans="1:19" ht="15" x14ac:dyDescent="0.2">
      <c r="A63" s="569">
        <v>2</v>
      </c>
      <c r="B63" s="572">
        <v>21.796071620559228</v>
      </c>
      <c r="C63" s="571">
        <f>$C62-($B$53*($C62-B63))</f>
        <v>22.530361795130517</v>
      </c>
      <c r="O63" s="441"/>
      <c r="P63" s="441"/>
      <c r="Q63" s="441"/>
    </row>
    <row r="64" spans="1:19" ht="15" x14ac:dyDescent="0.2">
      <c r="A64" s="569">
        <v>3</v>
      </c>
      <c r="B64" s="572">
        <v>22.369754046985104</v>
      </c>
      <c r="C64" s="571">
        <f t="shared" ref="C64:C127" si="0">$C63-($B$53*($C63-B64))</f>
        <v>22.498240245501435</v>
      </c>
      <c r="O64" s="441"/>
      <c r="P64" s="441"/>
      <c r="Q64" s="441"/>
    </row>
    <row r="65" spans="1:17" ht="15" x14ac:dyDescent="0.2">
      <c r="A65" s="569">
        <v>4</v>
      </c>
      <c r="B65" s="572">
        <v>22.637435324550875</v>
      </c>
      <c r="C65" s="571">
        <f t="shared" si="0"/>
        <v>22.526079261311324</v>
      </c>
      <c r="O65" s="441"/>
      <c r="P65" s="441"/>
      <c r="Q65" s="441"/>
    </row>
    <row r="66" spans="1:17" ht="15" x14ac:dyDescent="0.2">
      <c r="A66" s="569">
        <v>5</v>
      </c>
      <c r="B66" s="572">
        <v>22.369754046985104</v>
      </c>
      <c r="C66" s="571">
        <f t="shared" si="0"/>
        <v>22.494814218446081</v>
      </c>
      <c r="O66" s="441"/>
      <c r="P66" s="441"/>
      <c r="Q66" s="441"/>
    </row>
    <row r="67" spans="1:17" ht="15" x14ac:dyDescent="0.2">
      <c r="A67" s="569">
        <v>6</v>
      </c>
      <c r="B67" s="572">
        <v>22.675683791491206</v>
      </c>
      <c r="C67" s="571">
        <f t="shared" si="0"/>
        <v>22.530988133055107</v>
      </c>
      <c r="O67" s="441"/>
      <c r="P67" s="441"/>
      <c r="Q67" s="441"/>
    </row>
    <row r="68" spans="1:17" ht="15" x14ac:dyDescent="0.2">
      <c r="A68" s="569">
        <v>7</v>
      </c>
      <c r="B68" s="572">
        <v>22.637435324550875</v>
      </c>
      <c r="C68" s="571">
        <f t="shared" si="0"/>
        <v>22.55227757135426</v>
      </c>
      <c r="O68" s="441"/>
      <c r="P68" s="441"/>
      <c r="Q68" s="441"/>
    </row>
    <row r="69" spans="1:17" ht="15" x14ac:dyDescent="0.2">
      <c r="A69" s="569">
        <v>8</v>
      </c>
      <c r="B69" s="572">
        <v>22.637435324550875</v>
      </c>
      <c r="C69" s="571">
        <f t="shared" si="0"/>
        <v>22.569309121993584</v>
      </c>
      <c r="O69" s="441"/>
      <c r="P69" s="441"/>
      <c r="Q69" s="441"/>
    </row>
    <row r="70" spans="1:17" ht="15" x14ac:dyDescent="0.2">
      <c r="A70" s="569">
        <v>9</v>
      </c>
      <c r="B70" s="572">
        <v>22.560944619391517</v>
      </c>
      <c r="C70" s="571">
        <f t="shared" si="0"/>
        <v>22.567636221473169</v>
      </c>
      <c r="O70" s="441"/>
      <c r="P70" s="441"/>
      <c r="Q70" s="441"/>
    </row>
    <row r="71" spans="1:17" ht="15" x14ac:dyDescent="0.2">
      <c r="A71" s="569">
        <v>10</v>
      </c>
      <c r="B71" s="572">
        <v>22.560944619391517</v>
      </c>
      <c r="C71" s="571">
        <f t="shared" si="0"/>
        <v>22.566297901056839</v>
      </c>
      <c r="Q71" s="441"/>
    </row>
    <row r="72" spans="1:17" ht="15" x14ac:dyDescent="0.2">
      <c r="A72" s="569">
        <v>11</v>
      </c>
      <c r="B72" s="572">
        <v>22.637435324550875</v>
      </c>
      <c r="C72" s="571">
        <f t="shared" si="0"/>
        <v>22.580525385755646</v>
      </c>
      <c r="Q72" s="441"/>
    </row>
    <row r="73" spans="1:17" ht="15" x14ac:dyDescent="0.2">
      <c r="A73" s="569">
        <v>12</v>
      </c>
      <c r="B73" s="572">
        <v>22.599188934876434</v>
      </c>
      <c r="C73" s="571">
        <f t="shared" si="0"/>
        <v>22.584258095579802</v>
      </c>
      <c r="Q73" s="441"/>
    </row>
    <row r="74" spans="1:17" ht="15" x14ac:dyDescent="0.2">
      <c r="A74" s="569">
        <v>13</v>
      </c>
      <c r="B74" s="572">
        <v>22.752396005966471</v>
      </c>
      <c r="C74" s="571">
        <f t="shared" si="0"/>
        <v>22.617885677657135</v>
      </c>
      <c r="Q74" s="441"/>
    </row>
    <row r="75" spans="1:17" ht="15" x14ac:dyDescent="0.2">
      <c r="A75" s="569">
        <v>14</v>
      </c>
      <c r="B75" s="572">
        <v>22.637435324550875</v>
      </c>
      <c r="C75" s="571">
        <f t="shared" si="0"/>
        <v>22.621795607035882</v>
      </c>
      <c r="Q75" s="441"/>
    </row>
    <row r="76" spans="1:17" ht="15" x14ac:dyDescent="0.2">
      <c r="A76" s="569">
        <v>15</v>
      </c>
      <c r="B76" s="572">
        <v>22.675683791491206</v>
      </c>
      <c r="C76" s="571">
        <f t="shared" si="0"/>
        <v>22.632573243926945</v>
      </c>
      <c r="O76" s="483"/>
      <c r="P76" s="483"/>
      <c r="Q76" s="441"/>
    </row>
    <row r="77" spans="1:17" ht="15" x14ac:dyDescent="0.2">
      <c r="A77" s="569">
        <v>16</v>
      </c>
      <c r="B77" s="572">
        <v>21.98710906814436</v>
      </c>
      <c r="C77" s="571">
        <f t="shared" si="0"/>
        <v>22.503480408770429</v>
      </c>
      <c r="O77" s="483"/>
      <c r="P77" s="483"/>
      <c r="Q77" s="441"/>
    </row>
    <row r="78" spans="1:17" ht="15" x14ac:dyDescent="0.2">
      <c r="A78" s="569">
        <v>17</v>
      </c>
      <c r="B78" s="572">
        <v>22.407988037742921</v>
      </c>
      <c r="C78" s="571">
        <f t="shared" si="0"/>
        <v>22.484381934564926</v>
      </c>
      <c r="O78" s="483"/>
      <c r="P78" s="483"/>
      <c r="Q78" s="441"/>
    </row>
    <row r="79" spans="1:17" ht="15" x14ac:dyDescent="0.2">
      <c r="A79" s="569">
        <v>18</v>
      </c>
      <c r="B79" s="572">
        <v>22.752396005966471</v>
      </c>
      <c r="C79" s="571">
        <f t="shared" si="0"/>
        <v>22.537984748845236</v>
      </c>
      <c r="P79" s="483"/>
      <c r="Q79" s="441"/>
    </row>
    <row r="80" spans="1:17" ht="15" x14ac:dyDescent="0.2">
      <c r="A80" s="569">
        <v>19</v>
      </c>
      <c r="B80" s="572">
        <v>22.637435324550875</v>
      </c>
      <c r="C80" s="571">
        <f t="shared" si="0"/>
        <v>22.557874863986363</v>
      </c>
      <c r="P80" s="483"/>
      <c r="Q80" s="441"/>
    </row>
    <row r="81" spans="1:19" ht="15" x14ac:dyDescent="0.2">
      <c r="A81" s="569">
        <v>20</v>
      </c>
      <c r="B81" s="572">
        <v>22.675683791491206</v>
      </c>
      <c r="C81" s="571">
        <f t="shared" si="0"/>
        <v>22.581436649487333</v>
      </c>
      <c r="O81" s="441"/>
      <c r="P81" s="441"/>
      <c r="Q81" s="441"/>
    </row>
    <row r="82" spans="1:19" ht="15" x14ac:dyDescent="0.2">
      <c r="A82" s="569">
        <v>21</v>
      </c>
      <c r="B82" s="572">
        <v>22.752396005966471</v>
      </c>
      <c r="C82" s="571">
        <f t="shared" si="0"/>
        <v>22.615628520783162</v>
      </c>
      <c r="O82" s="441"/>
      <c r="P82" s="441"/>
      <c r="Q82" s="441"/>
    </row>
    <row r="83" spans="1:19" ht="15" x14ac:dyDescent="0.2">
      <c r="A83" s="569">
        <v>22</v>
      </c>
      <c r="B83" s="572">
        <v>22.560944619391517</v>
      </c>
      <c r="C83" s="571">
        <f t="shared" si="0"/>
        <v>22.604691740504833</v>
      </c>
      <c r="O83" s="441"/>
      <c r="P83" s="441"/>
      <c r="Q83" s="441"/>
    </row>
    <row r="84" spans="1:19" ht="15" x14ac:dyDescent="0.2">
      <c r="A84" s="569">
        <v>23</v>
      </c>
      <c r="B84" s="572">
        <v>22.713934338773338</v>
      </c>
      <c r="C84" s="571">
        <f t="shared" si="0"/>
        <v>22.626540260158535</v>
      </c>
      <c r="O84" s="441"/>
      <c r="P84" s="441"/>
      <c r="Q84" s="441"/>
    </row>
    <row r="85" spans="1:19" ht="15" x14ac:dyDescent="0.2">
      <c r="A85" s="569">
        <v>24</v>
      </c>
      <c r="B85" s="572">
        <v>22.675683791491206</v>
      </c>
      <c r="C85" s="571">
        <f t="shared" si="0"/>
        <v>22.636368966425071</v>
      </c>
      <c r="O85" s="441"/>
      <c r="P85" s="441"/>
      <c r="Q85" s="441"/>
    </row>
    <row r="86" spans="1:19" ht="15" x14ac:dyDescent="0.2">
      <c r="A86" s="569">
        <v>25</v>
      </c>
      <c r="B86" s="572">
        <v>22.752396005966471</v>
      </c>
      <c r="C86" s="571">
        <f t="shared" si="0"/>
        <v>22.659574374333349</v>
      </c>
      <c r="O86" s="441"/>
      <c r="P86" s="441"/>
      <c r="Q86" s="441"/>
    </row>
    <row r="87" spans="1:19" ht="15" x14ac:dyDescent="0.2">
      <c r="A87" s="569">
        <v>26</v>
      </c>
      <c r="B87" s="572">
        <v>22.752396005966471</v>
      </c>
      <c r="C87" s="571">
        <f t="shared" si="0"/>
        <v>22.678138700659975</v>
      </c>
      <c r="O87" s="441"/>
      <c r="P87" s="441"/>
      <c r="Q87" s="441"/>
    </row>
    <row r="88" spans="1:19" ht="15" x14ac:dyDescent="0.2">
      <c r="A88" s="569">
        <v>27</v>
      </c>
      <c r="B88" s="572">
        <v>22.675683791491206</v>
      </c>
      <c r="C88" s="571">
        <f t="shared" si="0"/>
        <v>22.677647718826222</v>
      </c>
      <c r="O88" s="441"/>
      <c r="P88" s="441"/>
      <c r="Q88" s="441"/>
    </row>
    <row r="89" spans="1:19" ht="15" x14ac:dyDescent="0.2">
      <c r="A89" s="569">
        <v>28</v>
      </c>
      <c r="B89" s="572">
        <v>22.637435324550875</v>
      </c>
      <c r="C89" s="571">
        <f t="shared" si="0"/>
        <v>22.669605239971151</v>
      </c>
      <c r="O89" s="441"/>
      <c r="P89" s="441"/>
      <c r="Q89" s="441"/>
    </row>
    <row r="90" spans="1:19" ht="15" x14ac:dyDescent="0.2">
      <c r="A90" s="569">
        <v>29</v>
      </c>
      <c r="B90" s="572">
        <v>22.599188934876434</v>
      </c>
      <c r="C90" s="571">
        <f t="shared" si="0"/>
        <v>22.655521978952208</v>
      </c>
      <c r="O90" s="165"/>
      <c r="P90" s="165"/>
      <c r="Q90" s="165"/>
      <c r="R90" s="165"/>
      <c r="S90" s="538"/>
    </row>
    <row r="91" spans="1:19" ht="15" x14ac:dyDescent="0.2">
      <c r="A91" s="569">
        <v>30</v>
      </c>
      <c r="B91" s="572">
        <v>22.560944619391517</v>
      </c>
      <c r="C91" s="571">
        <f t="shared" si="0"/>
        <v>22.636606507040071</v>
      </c>
      <c r="O91" s="165"/>
      <c r="P91" s="165"/>
      <c r="Q91" s="165"/>
      <c r="R91" s="165"/>
      <c r="S91" s="538"/>
    </row>
    <row r="92" spans="1:19" ht="15" x14ac:dyDescent="0.2">
      <c r="A92" s="569">
        <v>31</v>
      </c>
      <c r="B92" s="572">
        <v>22.637435324550875</v>
      </c>
      <c r="C92" s="571">
        <f t="shared" si="0"/>
        <v>22.636772270542231</v>
      </c>
      <c r="O92" s="441"/>
      <c r="P92" s="441"/>
      <c r="Q92" s="441"/>
    </row>
    <row r="93" spans="1:19" ht="15" x14ac:dyDescent="0.2">
      <c r="A93" s="569">
        <v>32</v>
      </c>
      <c r="B93" s="572">
        <v>22.637435324550875</v>
      </c>
      <c r="C93" s="571">
        <f t="shared" si="0"/>
        <v>22.636904881343959</v>
      </c>
    </row>
    <row r="94" spans="1:19" ht="15" x14ac:dyDescent="0.2">
      <c r="A94" s="569">
        <v>33</v>
      </c>
      <c r="B94" s="572">
        <v>22.599188934876434</v>
      </c>
      <c r="C94" s="571">
        <f t="shared" si="0"/>
        <v>22.629361692050455</v>
      </c>
    </row>
    <row r="95" spans="1:19" ht="16.5" thickBot="1" x14ac:dyDescent="0.3">
      <c r="A95" s="569">
        <v>34</v>
      </c>
      <c r="B95" s="572">
        <v>22.560944619391517</v>
      </c>
      <c r="C95" s="571">
        <f t="shared" si="0"/>
        <v>22.615678277518668</v>
      </c>
      <c r="E95" s="242" t="s">
        <v>145</v>
      </c>
      <c r="F95" s="441"/>
      <c r="G95" s="441"/>
      <c r="H95" s="242" t="s">
        <v>281</v>
      </c>
      <c r="I95" s="441"/>
      <c r="J95" s="441"/>
      <c r="K95" s="441"/>
      <c r="L95" s="441"/>
      <c r="M95" s="441"/>
      <c r="N95" s="441"/>
    </row>
    <row r="96" spans="1:19" ht="15" x14ac:dyDescent="0.2">
      <c r="A96" s="569">
        <v>35</v>
      </c>
      <c r="B96" s="572">
        <v>22.675683791491206</v>
      </c>
      <c r="C96" s="571">
        <f t="shared" si="0"/>
        <v>22.627679380313175</v>
      </c>
      <c r="E96" s="573"/>
      <c r="F96" s="574"/>
      <c r="G96" s="574"/>
      <c r="H96" s="574"/>
      <c r="I96" s="574"/>
      <c r="J96" s="574"/>
      <c r="K96" s="574"/>
      <c r="L96" s="574"/>
      <c r="M96" s="574"/>
      <c r="N96" s="575"/>
    </row>
    <row r="97" spans="1:14" ht="15.75" x14ac:dyDescent="0.25">
      <c r="A97" s="569">
        <v>36</v>
      </c>
      <c r="B97" s="572">
        <v>22.637435324550875</v>
      </c>
      <c r="C97" s="571">
        <f t="shared" si="0"/>
        <v>22.629630569160714</v>
      </c>
      <c r="E97" s="576" t="s">
        <v>677</v>
      </c>
      <c r="F97" s="577"/>
      <c r="G97" s="577"/>
      <c r="H97" s="577"/>
      <c r="I97" s="577"/>
      <c r="J97" s="577"/>
      <c r="K97" s="577"/>
      <c r="L97" s="578"/>
      <c r="M97" s="578"/>
      <c r="N97" s="579"/>
    </row>
    <row r="98" spans="1:14" ht="15.75" x14ac:dyDescent="0.25">
      <c r="A98" s="569">
        <v>37</v>
      </c>
      <c r="B98" s="572">
        <v>22.675683791491206</v>
      </c>
      <c r="C98" s="571">
        <f t="shared" si="0"/>
        <v>22.638841213626812</v>
      </c>
      <c r="E98" s="576" t="s">
        <v>167</v>
      </c>
      <c r="F98" s="577"/>
      <c r="G98" s="577"/>
      <c r="H98" s="577"/>
      <c r="I98" s="577"/>
      <c r="J98" s="577"/>
      <c r="K98" s="577"/>
      <c r="L98" s="578"/>
      <c r="M98" s="578"/>
      <c r="N98" s="579"/>
    </row>
    <row r="99" spans="1:14" ht="15.75" x14ac:dyDescent="0.25">
      <c r="A99" s="569">
        <v>38</v>
      </c>
      <c r="B99" s="572">
        <v>22.981955782375604</v>
      </c>
      <c r="C99" s="571">
        <f t="shared" si="0"/>
        <v>22.707464127376571</v>
      </c>
      <c r="E99" s="580"/>
      <c r="F99" s="581"/>
      <c r="G99" s="581"/>
      <c r="H99" s="581"/>
      <c r="I99" s="581"/>
      <c r="J99" s="581"/>
      <c r="K99" s="581"/>
      <c r="L99" s="467"/>
      <c r="M99" s="467"/>
      <c r="N99" s="582"/>
    </row>
    <row r="100" spans="1:14" ht="15.75" x14ac:dyDescent="0.25">
      <c r="A100" s="569">
        <v>39</v>
      </c>
      <c r="B100" s="572">
        <v>23.02022309435311</v>
      </c>
      <c r="C100" s="571">
        <f t="shared" si="0"/>
        <v>22.770015920771879</v>
      </c>
      <c r="E100" s="583" t="s">
        <v>668</v>
      </c>
      <c r="F100" s="584"/>
      <c r="G100" s="584"/>
      <c r="H100" s="584"/>
      <c r="I100" s="584"/>
      <c r="J100" s="584"/>
      <c r="K100" s="584"/>
      <c r="L100" s="510"/>
      <c r="M100" s="510"/>
      <c r="N100" s="585"/>
    </row>
    <row r="101" spans="1:14" ht="15.75" x14ac:dyDescent="0.25">
      <c r="A101" s="569">
        <v>40</v>
      </c>
      <c r="B101" s="572">
        <v>22.828907552718515</v>
      </c>
      <c r="C101" s="571">
        <f t="shared" si="0"/>
        <v>22.781794247161205</v>
      </c>
      <c r="E101" s="580"/>
      <c r="F101" s="581"/>
      <c r="G101" s="581"/>
      <c r="H101" s="581"/>
      <c r="I101" s="581"/>
      <c r="J101" s="581"/>
      <c r="K101" s="581"/>
      <c r="L101" s="467"/>
      <c r="M101" s="467"/>
      <c r="N101" s="582"/>
    </row>
    <row r="102" spans="1:14" ht="15.75" x14ac:dyDescent="0.25">
      <c r="A102" s="569">
        <v>41</v>
      </c>
      <c r="B102" s="572">
        <v>22.675683791491206</v>
      </c>
      <c r="C102" s="571">
        <f t="shared" si="0"/>
        <v>22.760572156027205</v>
      </c>
      <c r="E102" s="580" t="s">
        <v>669</v>
      </c>
      <c r="F102" s="581" t="s">
        <v>670</v>
      </c>
      <c r="G102" s="581"/>
      <c r="H102" s="581"/>
      <c r="I102" s="581"/>
      <c r="J102" s="581"/>
      <c r="K102" s="581"/>
      <c r="L102" s="467"/>
      <c r="M102" s="467"/>
      <c r="N102" s="582"/>
    </row>
    <row r="103" spans="1:14" ht="15.75" x14ac:dyDescent="0.25">
      <c r="A103" s="569">
        <v>42</v>
      </c>
      <c r="B103" s="572">
        <v>22.331313199878746</v>
      </c>
      <c r="C103" s="571">
        <f t="shared" si="0"/>
        <v>22.674720364797512</v>
      </c>
      <c r="E103" s="580" t="s">
        <v>671</v>
      </c>
      <c r="F103" s="581" t="s">
        <v>672</v>
      </c>
      <c r="G103" s="581"/>
      <c r="H103" s="581"/>
      <c r="I103" s="581"/>
      <c r="J103" s="581"/>
      <c r="K103" s="581"/>
      <c r="L103" s="467"/>
      <c r="M103" s="467"/>
      <c r="N103" s="582"/>
    </row>
    <row r="104" spans="1:14" ht="15.75" x14ac:dyDescent="0.25">
      <c r="A104" s="569">
        <v>43</v>
      </c>
      <c r="B104" s="572">
        <v>22.867166463515883</v>
      </c>
      <c r="C104" s="571">
        <f t="shared" si="0"/>
        <v>22.713209584541186</v>
      </c>
      <c r="E104" s="580" t="s">
        <v>673</v>
      </c>
      <c r="F104" s="581" t="s">
        <v>674</v>
      </c>
      <c r="G104" s="581"/>
      <c r="H104" s="581"/>
      <c r="I104" s="581"/>
      <c r="J104" s="581"/>
      <c r="K104" s="581"/>
      <c r="L104" s="467"/>
      <c r="M104" s="467"/>
      <c r="N104" s="582"/>
    </row>
    <row r="105" spans="1:14" ht="15.75" x14ac:dyDescent="0.25">
      <c r="A105" s="569">
        <v>44</v>
      </c>
      <c r="B105" s="572">
        <v>22.675683791491206</v>
      </c>
      <c r="C105" s="571">
        <f t="shared" si="0"/>
        <v>22.705704425931192</v>
      </c>
      <c r="E105" s="580"/>
      <c r="F105" s="581"/>
      <c r="G105" s="581"/>
      <c r="H105" s="581"/>
      <c r="I105" s="581"/>
      <c r="J105" s="581"/>
      <c r="K105" s="581"/>
      <c r="L105" s="467"/>
      <c r="M105" s="467"/>
      <c r="N105" s="582"/>
    </row>
    <row r="106" spans="1:14" ht="15.75" x14ac:dyDescent="0.25">
      <c r="A106" s="569">
        <v>45</v>
      </c>
      <c r="B106" s="572">
        <v>22.599188934876434</v>
      </c>
      <c r="C106" s="571">
        <f t="shared" si="0"/>
        <v>22.684401327720241</v>
      </c>
      <c r="E106" s="580" t="s">
        <v>675</v>
      </c>
      <c r="F106" s="581"/>
      <c r="G106" s="581"/>
      <c r="H106" s="581"/>
      <c r="I106" s="581"/>
      <c r="J106" s="581"/>
      <c r="K106" s="581"/>
      <c r="L106" s="467"/>
      <c r="M106" s="467"/>
      <c r="N106" s="582"/>
    </row>
    <row r="107" spans="1:14" ht="15.75" x14ac:dyDescent="0.25">
      <c r="A107" s="569">
        <v>46</v>
      </c>
      <c r="B107" s="572">
        <v>22.637435324550875</v>
      </c>
      <c r="C107" s="571">
        <f t="shared" si="0"/>
        <v>22.675008127086368</v>
      </c>
      <c r="E107" s="580" t="s">
        <v>676</v>
      </c>
      <c r="F107" s="581"/>
      <c r="G107" s="581"/>
      <c r="H107" s="581"/>
      <c r="I107" s="581"/>
      <c r="J107" s="581"/>
      <c r="K107" s="581"/>
      <c r="L107" s="467"/>
      <c r="M107" s="467"/>
      <c r="N107" s="582"/>
    </row>
    <row r="108" spans="1:14" ht="15.75" x14ac:dyDescent="0.25">
      <c r="A108" s="569">
        <v>47</v>
      </c>
      <c r="B108" s="572">
        <v>23.173522615221241</v>
      </c>
      <c r="C108" s="571">
        <f t="shared" si="0"/>
        <v>22.774711024713344</v>
      </c>
      <c r="E108" s="580"/>
      <c r="F108" s="581"/>
      <c r="G108" s="581"/>
      <c r="H108" s="581"/>
      <c r="I108" s="581"/>
      <c r="J108" s="581"/>
      <c r="K108" s="581"/>
      <c r="L108" s="467"/>
      <c r="M108" s="467"/>
      <c r="N108" s="582"/>
    </row>
    <row r="109" spans="1:14" ht="15.75" x14ac:dyDescent="0.25">
      <c r="A109" s="569">
        <v>48</v>
      </c>
      <c r="B109" s="572">
        <v>23.173522615221241</v>
      </c>
      <c r="C109" s="571">
        <f t="shared" si="0"/>
        <v>22.854473342814924</v>
      </c>
      <c r="E109" s="580"/>
      <c r="F109" s="581"/>
      <c r="G109" s="581"/>
      <c r="H109" s="581"/>
      <c r="I109" s="581"/>
      <c r="J109" s="581"/>
      <c r="K109" s="581"/>
      <c r="L109" s="467"/>
      <c r="M109" s="467"/>
      <c r="N109" s="582"/>
    </row>
    <row r="110" spans="1:14" ht="15" x14ac:dyDescent="0.2">
      <c r="A110" s="569">
        <v>49</v>
      </c>
      <c r="B110" s="572">
        <v>22.713934338773338</v>
      </c>
      <c r="C110" s="571">
        <f t="shared" si="0"/>
        <v>22.826365542006606</v>
      </c>
      <c r="E110" s="586"/>
      <c r="F110" s="587"/>
      <c r="G110" s="587"/>
      <c r="H110" s="587"/>
      <c r="I110" s="587"/>
      <c r="J110" s="587"/>
      <c r="K110" s="587"/>
      <c r="L110" s="587"/>
      <c r="M110" s="587"/>
      <c r="N110" s="588"/>
    </row>
    <row r="111" spans="1:14" ht="15" x14ac:dyDescent="0.2">
      <c r="A111" s="569">
        <v>50</v>
      </c>
      <c r="B111" s="572">
        <v>22.675683791491206</v>
      </c>
      <c r="C111" s="571">
        <f t="shared" si="0"/>
        <v>22.796229191903524</v>
      </c>
    </row>
    <row r="112" spans="1:14" ht="15" x14ac:dyDescent="0.2">
      <c r="A112" s="569">
        <v>51</v>
      </c>
      <c r="B112" s="572">
        <v>22.599188934876434</v>
      </c>
      <c r="C112" s="571">
        <f t="shared" si="0"/>
        <v>22.756821140498108</v>
      </c>
    </row>
    <row r="113" spans="1:3" ht="15" x14ac:dyDescent="0.2">
      <c r="A113" s="569">
        <v>52</v>
      </c>
      <c r="B113" s="572">
        <v>22.599188934876434</v>
      </c>
      <c r="C113" s="571">
        <f t="shared" si="0"/>
        <v>22.725294699373773</v>
      </c>
    </row>
    <row r="114" spans="1:3" ht="15" x14ac:dyDescent="0.2">
      <c r="A114" s="569">
        <v>53</v>
      </c>
      <c r="B114" s="572">
        <v>22.484462198673423</v>
      </c>
      <c r="C114" s="571">
        <f t="shared" si="0"/>
        <v>22.677128199233703</v>
      </c>
    </row>
    <row r="115" spans="1:3" ht="15" x14ac:dyDescent="0.2">
      <c r="A115" s="569">
        <v>54</v>
      </c>
      <c r="B115" s="572">
        <v>22.599188934876434</v>
      </c>
      <c r="C115" s="571">
        <f t="shared" si="0"/>
        <v>22.661540346362248</v>
      </c>
    </row>
    <row r="116" spans="1:3" ht="15" x14ac:dyDescent="0.2">
      <c r="A116" s="569">
        <v>55</v>
      </c>
      <c r="B116" s="572">
        <v>22.675683791491206</v>
      </c>
      <c r="C116" s="571">
        <f t="shared" si="0"/>
        <v>22.664369035388038</v>
      </c>
    </row>
    <row r="117" spans="1:3" ht="15" x14ac:dyDescent="0.2">
      <c r="A117" s="569">
        <v>56</v>
      </c>
      <c r="B117" s="572">
        <v>22.446224087277283</v>
      </c>
      <c r="C117" s="571">
        <f t="shared" si="0"/>
        <v>22.620740045765888</v>
      </c>
    </row>
    <row r="118" spans="1:3" ht="15" x14ac:dyDescent="0.2">
      <c r="A118" s="569">
        <v>57</v>
      </c>
      <c r="B118" s="572">
        <v>22.560944619391517</v>
      </c>
      <c r="C118" s="571">
        <f t="shared" si="0"/>
        <v>22.608780960491014</v>
      </c>
    </row>
    <row r="119" spans="1:3" ht="15" x14ac:dyDescent="0.2">
      <c r="A119" s="569">
        <v>58</v>
      </c>
      <c r="B119" s="572">
        <v>23.364933346891444</v>
      </c>
      <c r="C119" s="571">
        <f t="shared" si="0"/>
        <v>22.760011437771102</v>
      </c>
    </row>
    <row r="120" spans="1:3" ht="15" x14ac:dyDescent="0.2">
      <c r="A120" s="569">
        <v>59</v>
      </c>
      <c r="B120" s="572">
        <v>22.790650734557044</v>
      </c>
      <c r="C120" s="571">
        <f t="shared" si="0"/>
        <v>22.766139297128291</v>
      </c>
    </row>
    <row r="121" spans="1:3" ht="15" x14ac:dyDescent="0.2">
      <c r="A121" s="569">
        <v>60</v>
      </c>
      <c r="B121" s="572">
        <v>22.752396005966471</v>
      </c>
      <c r="C121" s="571">
        <f t="shared" si="0"/>
        <v>22.763390638895928</v>
      </c>
    </row>
    <row r="122" spans="1:3" ht="15" x14ac:dyDescent="0.2">
      <c r="A122" s="569">
        <v>61</v>
      </c>
      <c r="B122" s="572">
        <v>22.599188934876434</v>
      </c>
      <c r="C122" s="571">
        <f t="shared" si="0"/>
        <v>22.73055029809203</v>
      </c>
    </row>
    <row r="123" spans="1:3" ht="15" x14ac:dyDescent="0.2">
      <c r="A123" s="569">
        <v>62</v>
      </c>
      <c r="B123" s="572">
        <v>22.560944619391517</v>
      </c>
      <c r="C123" s="571">
        <f t="shared" si="0"/>
        <v>22.696629162351929</v>
      </c>
    </row>
    <row r="124" spans="1:3" ht="15" x14ac:dyDescent="0.2">
      <c r="A124" s="569">
        <v>63</v>
      </c>
      <c r="B124" s="572">
        <v>22.637435324550875</v>
      </c>
      <c r="C124" s="571">
        <f t="shared" si="0"/>
        <v>22.684790394791719</v>
      </c>
    </row>
    <row r="125" spans="1:3" ht="15" x14ac:dyDescent="0.2">
      <c r="A125" s="569">
        <v>64</v>
      </c>
      <c r="B125" s="572">
        <v>22.637435324550875</v>
      </c>
      <c r="C125" s="571">
        <f t="shared" si="0"/>
        <v>22.675319380743549</v>
      </c>
    </row>
    <row r="126" spans="1:3" ht="15" x14ac:dyDescent="0.2">
      <c r="A126" s="569">
        <v>65</v>
      </c>
      <c r="B126" s="572">
        <v>22.867166463515883</v>
      </c>
      <c r="C126" s="571">
        <f t="shared" si="0"/>
        <v>22.713688797298015</v>
      </c>
    </row>
    <row r="127" spans="1:3" ht="15" x14ac:dyDescent="0.2">
      <c r="A127" s="569">
        <v>66</v>
      </c>
      <c r="B127" s="572">
        <v>22.407988037742921</v>
      </c>
      <c r="C127" s="571">
        <f t="shared" si="0"/>
        <v>22.652548645386997</v>
      </c>
    </row>
    <row r="128" spans="1:3" ht="15" x14ac:dyDescent="0.2">
      <c r="A128" s="569">
        <v>67</v>
      </c>
      <c r="B128" s="572">
        <v>22.675683791491206</v>
      </c>
      <c r="C128" s="571">
        <f t="shared" ref="C128:C191" si="1">$C127-($B$53*($C127-B128))</f>
        <v>22.657175674607839</v>
      </c>
    </row>
    <row r="129" spans="1:3" ht="15" x14ac:dyDescent="0.2">
      <c r="A129" s="569">
        <v>68</v>
      </c>
      <c r="B129" s="572">
        <v>22.752396005966471</v>
      </c>
      <c r="C129" s="571">
        <f t="shared" si="1"/>
        <v>22.676219740879564</v>
      </c>
    </row>
    <row r="130" spans="1:3" ht="15" x14ac:dyDescent="0.2">
      <c r="A130" s="569">
        <v>69</v>
      </c>
      <c r="B130" s="572">
        <v>22.675683791491206</v>
      </c>
      <c r="C130" s="571">
        <f t="shared" si="1"/>
        <v>22.676112551001893</v>
      </c>
    </row>
    <row r="131" spans="1:3" ht="15" x14ac:dyDescent="0.2">
      <c r="A131" s="569">
        <v>70</v>
      </c>
      <c r="B131" s="572">
        <v>22.637435324550875</v>
      </c>
      <c r="C131" s="571">
        <f t="shared" si="1"/>
        <v>22.668377105711688</v>
      </c>
    </row>
    <row r="132" spans="1:3" ht="15" x14ac:dyDescent="0.2">
      <c r="A132" s="569">
        <v>71</v>
      </c>
      <c r="B132" s="572">
        <v>22.675683791491206</v>
      </c>
      <c r="C132" s="571">
        <f t="shared" si="1"/>
        <v>22.66983844286759</v>
      </c>
    </row>
    <row r="133" spans="1:3" ht="15" x14ac:dyDescent="0.2">
      <c r="A133" s="569">
        <v>72</v>
      </c>
      <c r="B133" s="572">
        <v>22.560944619391517</v>
      </c>
      <c r="C133" s="571">
        <f t="shared" si="1"/>
        <v>22.648059678172377</v>
      </c>
    </row>
    <row r="134" spans="1:3" ht="15" x14ac:dyDescent="0.2">
      <c r="A134" s="569">
        <v>73</v>
      </c>
      <c r="B134" s="572">
        <v>22.637435324550875</v>
      </c>
      <c r="C134" s="571">
        <f t="shared" si="1"/>
        <v>22.645934807448075</v>
      </c>
    </row>
    <row r="135" spans="1:3" ht="15" x14ac:dyDescent="0.2">
      <c r="A135" s="569">
        <v>74</v>
      </c>
      <c r="B135" s="572">
        <v>22.867166463515883</v>
      </c>
      <c r="C135" s="571">
        <f t="shared" si="1"/>
        <v>22.690181138661636</v>
      </c>
    </row>
    <row r="136" spans="1:3" ht="15" x14ac:dyDescent="0.2">
      <c r="A136" s="569">
        <v>75</v>
      </c>
      <c r="B136" s="572">
        <v>22.637435324550875</v>
      </c>
      <c r="C136" s="571">
        <f t="shared" si="1"/>
        <v>22.679631975839484</v>
      </c>
    </row>
    <row r="137" spans="1:3" ht="15" x14ac:dyDescent="0.2">
      <c r="A137" s="569">
        <v>76</v>
      </c>
      <c r="B137" s="572">
        <v>22.713934338773338</v>
      </c>
      <c r="C137" s="571">
        <f t="shared" si="1"/>
        <v>22.686492448426254</v>
      </c>
    </row>
    <row r="138" spans="1:3" ht="15" x14ac:dyDescent="0.2">
      <c r="A138" s="569">
        <v>77</v>
      </c>
      <c r="B138" s="572">
        <v>22.713934338773338</v>
      </c>
      <c r="C138" s="571">
        <f t="shared" si="1"/>
        <v>22.691980826495669</v>
      </c>
    </row>
    <row r="139" spans="1:3" ht="15" x14ac:dyDescent="0.2">
      <c r="A139" s="569">
        <v>78</v>
      </c>
      <c r="B139" s="572">
        <v>22.446224087277283</v>
      </c>
      <c r="C139" s="571">
        <f t="shared" si="1"/>
        <v>22.642829478651993</v>
      </c>
    </row>
    <row r="140" spans="1:3" ht="15" x14ac:dyDescent="0.2">
      <c r="A140" s="569">
        <v>79</v>
      </c>
      <c r="B140" s="572">
        <v>22.599188934876434</v>
      </c>
      <c r="C140" s="571">
        <f t="shared" si="1"/>
        <v>22.634101369896882</v>
      </c>
    </row>
    <row r="141" spans="1:3" ht="15" x14ac:dyDescent="0.2">
      <c r="A141" s="569">
        <v>80</v>
      </c>
      <c r="B141" s="572">
        <v>22.713934338773338</v>
      </c>
      <c r="C141" s="571">
        <f t="shared" si="1"/>
        <v>22.650067963672175</v>
      </c>
    </row>
    <row r="142" spans="1:3" ht="15" x14ac:dyDescent="0.2">
      <c r="A142" s="569">
        <v>81</v>
      </c>
      <c r="B142" s="572">
        <v>22.637435324550875</v>
      </c>
      <c r="C142" s="571">
        <f t="shared" si="1"/>
        <v>22.647541435847916</v>
      </c>
    </row>
    <row r="143" spans="1:3" ht="15" x14ac:dyDescent="0.2">
      <c r="A143" s="569">
        <v>82</v>
      </c>
      <c r="B143" s="572">
        <v>22.675683791491206</v>
      </c>
      <c r="C143" s="571">
        <f t="shared" si="1"/>
        <v>22.653169906976576</v>
      </c>
    </row>
    <row r="144" spans="1:3" ht="15" x14ac:dyDescent="0.2">
      <c r="A144" s="569">
        <v>83</v>
      </c>
      <c r="B144" s="572">
        <v>23.173522615221241</v>
      </c>
      <c r="C144" s="571">
        <f t="shared" si="1"/>
        <v>22.75724044862551</v>
      </c>
    </row>
    <row r="145" spans="1:3" ht="15" x14ac:dyDescent="0.2">
      <c r="A145" s="569">
        <v>84</v>
      </c>
      <c r="B145" s="572">
        <v>23.288362669357735</v>
      </c>
      <c r="C145" s="571">
        <f t="shared" si="1"/>
        <v>22.863464892771955</v>
      </c>
    </row>
    <row r="146" spans="1:3" ht="15" x14ac:dyDescent="0.2">
      <c r="A146" s="569">
        <v>85</v>
      </c>
      <c r="B146" s="572">
        <v>22.522702375017484</v>
      </c>
      <c r="C146" s="571">
        <f t="shared" si="1"/>
        <v>22.79531238922106</v>
      </c>
    </row>
    <row r="147" spans="1:3" ht="15" x14ac:dyDescent="0.2">
      <c r="A147" s="569">
        <v>86</v>
      </c>
      <c r="B147" s="572">
        <v>22.637435324550875</v>
      </c>
      <c r="C147" s="571">
        <f t="shared" si="1"/>
        <v>22.763736976287024</v>
      </c>
    </row>
    <row r="148" spans="1:3" ht="15" x14ac:dyDescent="0.2">
      <c r="A148" s="569">
        <v>87</v>
      </c>
      <c r="B148" s="572">
        <v>22.293083328613516</v>
      </c>
      <c r="C148" s="571">
        <f t="shared" si="1"/>
        <v>22.669606246752323</v>
      </c>
    </row>
    <row r="149" spans="1:3" ht="15" x14ac:dyDescent="0.2">
      <c r="A149" s="569">
        <v>88</v>
      </c>
      <c r="B149" s="572">
        <v>22.599188934876434</v>
      </c>
      <c r="C149" s="571">
        <f t="shared" si="1"/>
        <v>22.655522784377144</v>
      </c>
    </row>
    <row r="150" spans="1:3" ht="15" x14ac:dyDescent="0.2">
      <c r="A150" s="569">
        <v>89</v>
      </c>
      <c r="B150" s="572">
        <v>22.637435324550875</v>
      </c>
      <c r="C150" s="571">
        <f t="shared" si="1"/>
        <v>22.65190529241189</v>
      </c>
    </row>
    <row r="151" spans="1:3" ht="15" x14ac:dyDescent="0.2">
      <c r="A151" s="569">
        <v>90</v>
      </c>
      <c r="B151" s="572">
        <v>22.637435324550875</v>
      </c>
      <c r="C151" s="571">
        <f t="shared" si="1"/>
        <v>22.649011298839685</v>
      </c>
    </row>
    <row r="152" spans="1:3" ht="15" x14ac:dyDescent="0.2">
      <c r="A152" s="569">
        <v>91</v>
      </c>
      <c r="B152" s="572">
        <v>22.713934338773338</v>
      </c>
      <c r="C152" s="571">
        <f t="shared" si="1"/>
        <v>22.661995906826416</v>
      </c>
    </row>
    <row r="153" spans="1:3" ht="15" x14ac:dyDescent="0.2">
      <c r="A153" s="569">
        <v>92</v>
      </c>
      <c r="B153" s="572">
        <v>22.675683791491206</v>
      </c>
      <c r="C153" s="571">
        <f t="shared" si="1"/>
        <v>22.664733483759374</v>
      </c>
    </row>
    <row r="154" spans="1:3" ht="15" x14ac:dyDescent="0.2">
      <c r="A154" s="569">
        <v>93</v>
      </c>
      <c r="B154" s="572">
        <v>22.637435324550875</v>
      </c>
      <c r="C154" s="571">
        <f t="shared" si="1"/>
        <v>22.659273851917675</v>
      </c>
    </row>
    <row r="155" spans="1:3" ht="15" x14ac:dyDescent="0.2">
      <c r="A155" s="569">
        <v>94</v>
      </c>
      <c r="B155" s="572">
        <v>22.637435324550875</v>
      </c>
      <c r="C155" s="571">
        <f t="shared" si="1"/>
        <v>22.654906146444315</v>
      </c>
    </row>
    <row r="156" spans="1:3" ht="15" x14ac:dyDescent="0.2">
      <c r="A156" s="569">
        <v>95</v>
      </c>
      <c r="B156" s="572">
        <v>22.599188934876434</v>
      </c>
      <c r="C156" s="571">
        <f t="shared" si="1"/>
        <v>22.64376270413074</v>
      </c>
    </row>
    <row r="157" spans="1:3" ht="15" x14ac:dyDescent="0.2">
      <c r="A157" s="569">
        <v>96</v>
      </c>
      <c r="B157" s="572">
        <v>22.867166463515883</v>
      </c>
      <c r="C157" s="571">
        <f t="shared" si="1"/>
        <v>22.688443456007768</v>
      </c>
    </row>
    <row r="158" spans="1:3" ht="15" x14ac:dyDescent="0.2">
      <c r="A158" s="569">
        <v>97</v>
      </c>
      <c r="B158" s="572">
        <v>22.713934338773338</v>
      </c>
      <c r="C158" s="571">
        <f t="shared" si="1"/>
        <v>22.693541632560883</v>
      </c>
    </row>
    <row r="159" spans="1:3" ht="15" x14ac:dyDescent="0.2">
      <c r="A159" s="569">
        <v>98</v>
      </c>
      <c r="B159" s="572">
        <v>22.675683791491206</v>
      </c>
      <c r="C159" s="571">
        <f t="shared" si="1"/>
        <v>22.689970064346948</v>
      </c>
    </row>
    <row r="160" spans="1:3" ht="15" x14ac:dyDescent="0.2">
      <c r="A160" s="569">
        <v>99</v>
      </c>
      <c r="B160" s="572">
        <v>22.713934338773338</v>
      </c>
      <c r="C160" s="571">
        <f t="shared" si="1"/>
        <v>22.694762919232225</v>
      </c>
    </row>
    <row r="161" spans="1:3" ht="15" x14ac:dyDescent="0.2">
      <c r="A161" s="569">
        <v>100</v>
      </c>
      <c r="B161" s="572">
        <v>22.675683791491206</v>
      </c>
      <c r="C161" s="571">
        <f t="shared" si="1"/>
        <v>22.69094709368402</v>
      </c>
    </row>
    <row r="162" spans="1:3" ht="15" x14ac:dyDescent="0.2">
      <c r="A162" s="569">
        <v>101</v>
      </c>
      <c r="B162" s="572">
        <v>22.752396005966471</v>
      </c>
      <c r="C162" s="571">
        <f t="shared" si="1"/>
        <v>22.703236876140512</v>
      </c>
    </row>
    <row r="163" spans="1:3" ht="15" x14ac:dyDescent="0.2">
      <c r="A163" s="569">
        <v>102</v>
      </c>
      <c r="B163" s="572">
        <v>22.637435324550875</v>
      </c>
      <c r="C163" s="571">
        <f t="shared" si="1"/>
        <v>22.690076565822583</v>
      </c>
    </row>
    <row r="164" spans="1:3" ht="15" x14ac:dyDescent="0.2">
      <c r="A164" s="569">
        <v>103</v>
      </c>
      <c r="B164" s="572">
        <v>22.675683791491206</v>
      </c>
      <c r="C164" s="571">
        <f t="shared" si="1"/>
        <v>22.687198010956308</v>
      </c>
    </row>
    <row r="165" spans="1:3" ht="15" x14ac:dyDescent="0.2">
      <c r="A165" s="569">
        <v>104</v>
      </c>
      <c r="B165" s="572">
        <v>22.637435324550875</v>
      </c>
      <c r="C165" s="571">
        <f t="shared" si="1"/>
        <v>22.677245473675221</v>
      </c>
    </row>
    <row r="166" spans="1:3" ht="15" x14ac:dyDescent="0.2">
      <c r="A166" s="569">
        <v>105</v>
      </c>
      <c r="B166" s="572">
        <v>22.637435324550875</v>
      </c>
      <c r="C166" s="571">
        <f t="shared" si="1"/>
        <v>22.66928344385035</v>
      </c>
    </row>
    <row r="167" spans="1:3" ht="15" x14ac:dyDescent="0.2">
      <c r="A167" s="569">
        <v>106</v>
      </c>
      <c r="B167" s="572">
        <v>22.675683791491206</v>
      </c>
      <c r="C167" s="571">
        <f t="shared" si="1"/>
        <v>22.670563513378521</v>
      </c>
    </row>
    <row r="168" spans="1:3" ht="15" x14ac:dyDescent="0.2">
      <c r="A168" s="569">
        <v>107</v>
      </c>
      <c r="B168" s="572">
        <v>22.752396005966471</v>
      </c>
      <c r="C168" s="571">
        <f t="shared" si="1"/>
        <v>22.686930011896113</v>
      </c>
    </row>
    <row r="169" spans="1:3" ht="15" x14ac:dyDescent="0.2">
      <c r="A169" s="569">
        <v>108</v>
      </c>
      <c r="B169" s="572">
        <v>22.637435324550875</v>
      </c>
      <c r="C169" s="571">
        <f t="shared" si="1"/>
        <v>22.677031074427067</v>
      </c>
    </row>
    <row r="170" spans="1:3" ht="15" x14ac:dyDescent="0.2">
      <c r="A170" s="569">
        <v>109</v>
      </c>
      <c r="B170" s="572">
        <v>22.828907552718515</v>
      </c>
      <c r="C170" s="571">
        <f t="shared" si="1"/>
        <v>22.707406370085355</v>
      </c>
    </row>
    <row r="171" spans="1:3" ht="15" x14ac:dyDescent="0.2">
      <c r="A171" s="569">
        <v>110</v>
      </c>
      <c r="B171" s="572">
        <v>23.403221887214254</v>
      </c>
      <c r="C171" s="571">
        <f t="shared" si="1"/>
        <v>22.846569473511135</v>
      </c>
    </row>
    <row r="172" spans="1:3" ht="15" x14ac:dyDescent="0.2">
      <c r="A172" s="569">
        <v>111</v>
      </c>
      <c r="B172" s="572">
        <v>22.599188934876434</v>
      </c>
      <c r="C172" s="571">
        <f t="shared" si="1"/>
        <v>22.797093365784196</v>
      </c>
    </row>
    <row r="173" spans="1:3" ht="15" x14ac:dyDescent="0.2">
      <c r="A173" s="569">
        <v>112</v>
      </c>
      <c r="B173" s="572">
        <v>22.599188934876434</v>
      </c>
      <c r="C173" s="571">
        <f t="shared" si="1"/>
        <v>22.757512479602642</v>
      </c>
    </row>
    <row r="174" spans="1:3" ht="15" x14ac:dyDescent="0.2">
      <c r="A174" s="569">
        <v>113</v>
      </c>
      <c r="B174" s="572">
        <v>22.101964652680959</v>
      </c>
      <c r="C174" s="571">
        <f t="shared" si="1"/>
        <v>22.626402914218307</v>
      </c>
    </row>
    <row r="175" spans="1:3" ht="15" x14ac:dyDescent="0.2">
      <c r="A175" s="569">
        <v>114</v>
      </c>
      <c r="B175" s="572">
        <v>22.560944619391517</v>
      </c>
      <c r="C175" s="571">
        <f t="shared" si="1"/>
        <v>22.613311255252949</v>
      </c>
    </row>
    <row r="176" spans="1:3" ht="15" x14ac:dyDescent="0.2">
      <c r="A176" s="569">
        <v>115</v>
      </c>
      <c r="B176" s="572">
        <v>22.675683791491206</v>
      </c>
      <c r="C176" s="571">
        <f t="shared" si="1"/>
        <v>22.625785762500602</v>
      </c>
    </row>
    <row r="177" spans="1:3" ht="15" x14ac:dyDescent="0.2">
      <c r="A177" s="569">
        <v>116</v>
      </c>
      <c r="B177" s="572">
        <v>22.369754046985104</v>
      </c>
      <c r="C177" s="571">
        <f t="shared" si="1"/>
        <v>22.574579419397502</v>
      </c>
    </row>
    <row r="178" spans="1:3" ht="15" x14ac:dyDescent="0.2">
      <c r="A178" s="569">
        <v>117</v>
      </c>
      <c r="B178" s="572">
        <v>22.790650734557044</v>
      </c>
      <c r="C178" s="571">
        <f t="shared" si="1"/>
        <v>22.617793682429411</v>
      </c>
    </row>
    <row r="179" spans="1:3" ht="15" x14ac:dyDescent="0.2">
      <c r="A179" s="569">
        <v>118</v>
      </c>
      <c r="B179" s="572">
        <v>22.675683791491206</v>
      </c>
      <c r="C179" s="571">
        <f t="shared" si="1"/>
        <v>22.62937170424177</v>
      </c>
    </row>
    <row r="180" spans="1:3" ht="15" x14ac:dyDescent="0.2">
      <c r="A180" s="569">
        <v>119</v>
      </c>
      <c r="B180" s="572">
        <v>22.560944619391517</v>
      </c>
      <c r="C180" s="571">
        <f t="shared" si="1"/>
        <v>22.615686287271718</v>
      </c>
    </row>
    <row r="181" spans="1:3" ht="15" x14ac:dyDescent="0.2">
      <c r="A181" s="569">
        <v>120</v>
      </c>
      <c r="B181" s="572">
        <v>22.637435324550875</v>
      </c>
      <c r="C181" s="571">
        <f t="shared" si="1"/>
        <v>22.620036094727549</v>
      </c>
    </row>
    <row r="182" spans="1:3" ht="15" x14ac:dyDescent="0.2">
      <c r="A182" s="569">
        <v>121</v>
      </c>
      <c r="B182" s="572">
        <v>22.675683791491206</v>
      </c>
      <c r="C182" s="571">
        <f t="shared" si="1"/>
        <v>22.631165634080279</v>
      </c>
    </row>
    <row r="183" spans="1:3" ht="15" x14ac:dyDescent="0.2">
      <c r="A183" s="569">
        <v>122</v>
      </c>
      <c r="B183" s="572">
        <v>22.522702375017484</v>
      </c>
      <c r="C183" s="571">
        <f t="shared" si="1"/>
        <v>22.609472982267722</v>
      </c>
    </row>
    <row r="184" spans="1:3" ht="15" x14ac:dyDescent="0.2">
      <c r="A184" s="569">
        <v>123</v>
      </c>
      <c r="B184" s="572">
        <v>22.675683791491206</v>
      </c>
      <c r="C184" s="571">
        <f t="shared" si="1"/>
        <v>22.622715144112419</v>
      </c>
    </row>
    <row r="185" spans="1:3" ht="15" x14ac:dyDescent="0.2">
      <c r="A185" s="569">
        <v>124</v>
      </c>
      <c r="B185" s="572">
        <v>22.599188934876434</v>
      </c>
      <c r="C185" s="571">
        <f t="shared" si="1"/>
        <v>22.618009902265221</v>
      </c>
    </row>
    <row r="186" spans="1:3" ht="15" x14ac:dyDescent="0.2">
      <c r="A186" s="569">
        <v>125</v>
      </c>
      <c r="B186" s="572">
        <v>22.599188934876434</v>
      </c>
      <c r="C186" s="571">
        <f t="shared" si="1"/>
        <v>22.614245708787465</v>
      </c>
    </row>
    <row r="187" spans="1:3" ht="15" x14ac:dyDescent="0.2">
      <c r="A187" s="569">
        <v>126</v>
      </c>
      <c r="B187" s="572">
        <v>22.905427470017326</v>
      </c>
      <c r="C187" s="571">
        <f t="shared" si="1"/>
        <v>22.672482061033438</v>
      </c>
    </row>
    <row r="188" spans="1:3" ht="15" x14ac:dyDescent="0.2">
      <c r="A188" s="569">
        <v>127</v>
      </c>
      <c r="B188" s="572">
        <v>22.637435324550875</v>
      </c>
      <c r="C188" s="571">
        <f t="shared" si="1"/>
        <v>22.665472713736925</v>
      </c>
    </row>
    <row r="189" spans="1:3" ht="15" x14ac:dyDescent="0.2">
      <c r="A189" s="569">
        <v>128</v>
      </c>
      <c r="B189" s="572">
        <v>22.599188934876434</v>
      </c>
      <c r="C189" s="571">
        <f t="shared" si="1"/>
        <v>22.652215957964827</v>
      </c>
    </row>
    <row r="190" spans="1:3" ht="15" x14ac:dyDescent="0.2">
      <c r="A190" s="569">
        <v>129</v>
      </c>
      <c r="B190" s="572">
        <v>22.446224087277283</v>
      </c>
      <c r="C190" s="571">
        <f t="shared" si="1"/>
        <v>22.611017583827319</v>
      </c>
    </row>
    <row r="191" spans="1:3" ht="15" x14ac:dyDescent="0.2">
      <c r="A191" s="569">
        <v>130</v>
      </c>
      <c r="B191" s="572">
        <v>22.675683791491206</v>
      </c>
      <c r="C191" s="571">
        <f t="shared" si="1"/>
        <v>22.623950825360097</v>
      </c>
    </row>
    <row r="192" spans="1:3" ht="15" x14ac:dyDescent="0.2">
      <c r="A192" s="569">
        <v>131</v>
      </c>
      <c r="B192" s="572">
        <v>22.599188934876434</v>
      </c>
      <c r="C192" s="571">
        <f t="shared" ref="C192:C241" si="2">$C191-($B$53*($C191-B192))</f>
        <v>22.618998447263365</v>
      </c>
    </row>
    <row r="193" spans="1:3" ht="15" x14ac:dyDescent="0.2">
      <c r="A193" s="569">
        <v>132</v>
      </c>
      <c r="B193" s="572">
        <v>22.752396005966471</v>
      </c>
      <c r="C193" s="571">
        <f t="shared" si="2"/>
        <v>22.645677959003987</v>
      </c>
    </row>
    <row r="194" spans="1:3" ht="15" x14ac:dyDescent="0.2">
      <c r="A194" s="569">
        <v>133</v>
      </c>
      <c r="B194" s="572">
        <v>22.599188934876434</v>
      </c>
      <c r="C194" s="571">
        <f t="shared" si="2"/>
        <v>22.636380154178475</v>
      </c>
    </row>
    <row r="195" spans="1:3" ht="15" x14ac:dyDescent="0.2">
      <c r="A195" s="569">
        <v>134</v>
      </c>
      <c r="B195" s="572">
        <v>22.446224087277283</v>
      </c>
      <c r="C195" s="571">
        <f t="shared" si="2"/>
        <v>22.598348940798235</v>
      </c>
    </row>
    <row r="196" spans="1:3" ht="15" x14ac:dyDescent="0.2">
      <c r="A196" s="569">
        <v>135</v>
      </c>
      <c r="B196" s="572">
        <v>22.599188934876434</v>
      </c>
      <c r="C196" s="571">
        <f t="shared" si="2"/>
        <v>22.598516939613877</v>
      </c>
    </row>
    <row r="197" spans="1:3" ht="15" x14ac:dyDescent="0.2">
      <c r="A197" s="569">
        <v>136</v>
      </c>
      <c r="B197" s="572">
        <v>22.790650734557044</v>
      </c>
      <c r="C197" s="571">
        <f t="shared" si="2"/>
        <v>22.636943698602511</v>
      </c>
    </row>
    <row r="198" spans="1:3" ht="15" x14ac:dyDescent="0.2">
      <c r="A198" s="569">
        <v>137</v>
      </c>
      <c r="B198" s="572">
        <v>22.599188934876434</v>
      </c>
      <c r="C198" s="571">
        <f t="shared" si="2"/>
        <v>22.629392745857295</v>
      </c>
    </row>
    <row r="199" spans="1:3" ht="15" x14ac:dyDescent="0.2">
      <c r="A199" s="569">
        <v>138</v>
      </c>
      <c r="B199" s="572">
        <v>22.752396005966471</v>
      </c>
      <c r="C199" s="571">
        <f t="shared" si="2"/>
        <v>22.65399339787913</v>
      </c>
    </row>
    <row r="200" spans="1:3" ht="15" x14ac:dyDescent="0.2">
      <c r="A200" s="569">
        <v>139</v>
      </c>
      <c r="B200" s="572">
        <v>22.675683791491206</v>
      </c>
      <c r="C200" s="571">
        <f t="shared" si="2"/>
        <v>22.658331476601546</v>
      </c>
    </row>
    <row r="201" spans="1:3" ht="15" x14ac:dyDescent="0.2">
      <c r="A201" s="569">
        <v>140</v>
      </c>
      <c r="B201" s="572">
        <v>22.599188934876434</v>
      </c>
      <c r="C201" s="571">
        <f t="shared" si="2"/>
        <v>22.646502968256524</v>
      </c>
    </row>
    <row r="202" spans="1:3" ht="15" x14ac:dyDescent="0.2">
      <c r="A202" s="569">
        <v>141</v>
      </c>
      <c r="B202" s="572">
        <v>22.522702375017484</v>
      </c>
      <c r="C202" s="571">
        <f t="shared" si="2"/>
        <v>22.621742849608715</v>
      </c>
    </row>
    <row r="203" spans="1:3" ht="15" x14ac:dyDescent="0.2">
      <c r="A203" s="569">
        <v>142</v>
      </c>
      <c r="B203" s="572">
        <v>22.369754046985104</v>
      </c>
      <c r="C203" s="571">
        <f t="shared" si="2"/>
        <v>22.571345089083994</v>
      </c>
    </row>
    <row r="204" spans="1:3" ht="15" x14ac:dyDescent="0.2">
      <c r="A204" s="569">
        <v>143</v>
      </c>
      <c r="B204" s="572">
        <v>22.713934338773338</v>
      </c>
      <c r="C204" s="571">
        <f t="shared" si="2"/>
        <v>22.599862939021865</v>
      </c>
    </row>
    <row r="205" spans="1:3" ht="15" x14ac:dyDescent="0.2">
      <c r="A205" s="569">
        <v>144</v>
      </c>
      <c r="B205" s="572">
        <v>22.675683791491206</v>
      </c>
      <c r="C205" s="571">
        <f t="shared" si="2"/>
        <v>22.615027109515733</v>
      </c>
    </row>
    <row r="206" spans="1:3" ht="15" x14ac:dyDescent="0.2">
      <c r="A206" s="569">
        <v>145</v>
      </c>
      <c r="B206" s="572">
        <v>22.522702375017484</v>
      </c>
      <c r="C206" s="571">
        <f t="shared" si="2"/>
        <v>22.596562162616085</v>
      </c>
    </row>
    <row r="207" spans="1:3" ht="15" x14ac:dyDescent="0.2">
      <c r="A207" s="569">
        <v>146</v>
      </c>
      <c r="B207" s="572">
        <v>22.599188934876434</v>
      </c>
      <c r="C207" s="571">
        <f t="shared" si="2"/>
        <v>22.597087517068154</v>
      </c>
    </row>
    <row r="208" spans="1:3" ht="15" x14ac:dyDescent="0.2">
      <c r="A208" s="569">
        <v>147</v>
      </c>
      <c r="B208" s="572">
        <v>22.713934338773338</v>
      </c>
      <c r="C208" s="571">
        <f t="shared" si="2"/>
        <v>22.62045688140919</v>
      </c>
    </row>
    <row r="209" spans="1:3" ht="15" x14ac:dyDescent="0.2">
      <c r="A209" s="569">
        <v>148</v>
      </c>
      <c r="B209" s="572">
        <v>22.675683791491206</v>
      </c>
      <c r="C209" s="571">
        <f t="shared" si="2"/>
        <v>22.631502263425592</v>
      </c>
    </row>
    <row r="210" spans="1:3" ht="15" x14ac:dyDescent="0.2">
      <c r="A210" s="569">
        <v>149</v>
      </c>
      <c r="B210" s="572">
        <v>22.407988037742921</v>
      </c>
      <c r="C210" s="571">
        <f t="shared" si="2"/>
        <v>22.586799418289058</v>
      </c>
    </row>
    <row r="211" spans="1:3" ht="15" x14ac:dyDescent="0.2">
      <c r="A211" s="569">
        <v>150</v>
      </c>
      <c r="B211" s="572">
        <v>22.637435324550875</v>
      </c>
      <c r="C211" s="571">
        <f t="shared" si="2"/>
        <v>22.596926599541423</v>
      </c>
    </row>
    <row r="212" spans="1:3" ht="15" x14ac:dyDescent="0.2">
      <c r="A212" s="569">
        <v>151</v>
      </c>
      <c r="B212" s="572">
        <v>22.675683791491206</v>
      </c>
      <c r="C212" s="571">
        <f t="shared" si="2"/>
        <v>22.612678037931378</v>
      </c>
    </row>
    <row r="213" spans="1:3" ht="15" x14ac:dyDescent="0.2">
      <c r="A213" s="569">
        <v>152</v>
      </c>
      <c r="B213" s="572">
        <v>22.369754046985104</v>
      </c>
      <c r="C213" s="571">
        <f t="shared" si="2"/>
        <v>22.564093239742125</v>
      </c>
    </row>
    <row r="214" spans="1:3" ht="15" x14ac:dyDescent="0.2">
      <c r="A214" s="569">
        <v>153</v>
      </c>
      <c r="B214" s="572">
        <v>22.560944619391517</v>
      </c>
      <c r="C214" s="571">
        <f t="shared" si="2"/>
        <v>22.563463515672002</v>
      </c>
    </row>
    <row r="215" spans="1:3" ht="15" x14ac:dyDescent="0.2">
      <c r="A215" s="569">
        <v>154</v>
      </c>
      <c r="B215" s="572">
        <v>22.560944619391517</v>
      </c>
      <c r="C215" s="571">
        <f t="shared" si="2"/>
        <v>22.562959736415905</v>
      </c>
    </row>
    <row r="216" spans="1:3" ht="15" x14ac:dyDescent="0.2">
      <c r="A216" s="569">
        <v>155</v>
      </c>
      <c r="B216" s="572">
        <v>22.101964652680959</v>
      </c>
      <c r="C216" s="571">
        <f t="shared" si="2"/>
        <v>22.470760719668917</v>
      </c>
    </row>
    <row r="217" spans="1:3" ht="15" x14ac:dyDescent="0.2">
      <c r="A217" s="569">
        <v>156</v>
      </c>
      <c r="B217" s="572">
        <v>22.140184307473515</v>
      </c>
      <c r="C217" s="571">
        <f t="shared" si="2"/>
        <v>22.404645437229835</v>
      </c>
    </row>
    <row r="218" spans="1:3" ht="15" x14ac:dyDescent="0.2">
      <c r="A218" s="569">
        <v>157</v>
      </c>
      <c r="B218" s="572">
        <v>22.407988037742921</v>
      </c>
      <c r="C218" s="571">
        <f t="shared" si="2"/>
        <v>22.405313957332453</v>
      </c>
    </row>
    <row r="219" spans="1:3" ht="15" x14ac:dyDescent="0.2">
      <c r="A219" s="569">
        <v>158</v>
      </c>
      <c r="B219" s="572">
        <v>22.943690575283522</v>
      </c>
      <c r="C219" s="571">
        <f t="shared" si="2"/>
        <v>22.512989280922667</v>
      </c>
    </row>
    <row r="220" spans="1:3" ht="15" x14ac:dyDescent="0.2">
      <c r="A220" s="569">
        <v>159</v>
      </c>
      <c r="B220" s="572">
        <v>22.369754046985104</v>
      </c>
      <c r="C220" s="571">
        <f t="shared" si="2"/>
        <v>22.484342234135156</v>
      </c>
    </row>
    <row r="221" spans="1:3" ht="15" x14ac:dyDescent="0.2">
      <c r="A221" s="569">
        <v>160</v>
      </c>
      <c r="B221" s="589">
        <v>22.637435324550875</v>
      </c>
      <c r="C221" s="571">
        <f t="shared" si="2"/>
        <v>22.514960852218298</v>
      </c>
    </row>
    <row r="222" spans="1:3" ht="15" x14ac:dyDescent="0.2">
      <c r="A222" s="569">
        <v>161</v>
      </c>
      <c r="B222" s="590">
        <v>23.326646941952145</v>
      </c>
      <c r="C222" s="571">
        <f t="shared" si="2"/>
        <v>22.677298070165069</v>
      </c>
    </row>
    <row r="223" spans="1:3" ht="15" x14ac:dyDescent="0.2">
      <c r="A223" s="569">
        <v>162</v>
      </c>
      <c r="B223" s="572">
        <v>22.560944619391517</v>
      </c>
      <c r="C223" s="571">
        <f t="shared" si="2"/>
        <v>22.654027380010358</v>
      </c>
    </row>
    <row r="224" spans="1:3" ht="15" x14ac:dyDescent="0.2">
      <c r="A224" s="569">
        <v>163</v>
      </c>
      <c r="B224" s="572">
        <v>22.560944619391517</v>
      </c>
      <c r="C224" s="571">
        <f t="shared" si="2"/>
        <v>22.635410827886592</v>
      </c>
    </row>
    <row r="225" spans="1:3" ht="15" x14ac:dyDescent="0.2">
      <c r="A225" s="569">
        <v>164</v>
      </c>
      <c r="B225" s="572">
        <v>22.369754046985104</v>
      </c>
      <c r="C225" s="571">
        <f t="shared" si="2"/>
        <v>22.582279471706293</v>
      </c>
    </row>
    <row r="226" spans="1:3" ht="15" x14ac:dyDescent="0.2">
      <c r="A226" s="569">
        <v>165</v>
      </c>
      <c r="B226" s="572">
        <v>22.599188934876434</v>
      </c>
      <c r="C226" s="571">
        <f t="shared" si="2"/>
        <v>22.585661364340321</v>
      </c>
    </row>
    <row r="227" spans="1:3" ht="15" x14ac:dyDescent="0.2">
      <c r="A227" s="569">
        <v>166</v>
      </c>
      <c r="B227" s="572">
        <v>22.675683791491206</v>
      </c>
      <c r="C227" s="571">
        <f t="shared" si="2"/>
        <v>22.603665849770497</v>
      </c>
    </row>
    <row r="228" spans="1:3" ht="15" x14ac:dyDescent="0.2">
      <c r="A228" s="569">
        <v>167</v>
      </c>
      <c r="B228" s="572">
        <v>22.446224087277283</v>
      </c>
      <c r="C228" s="571">
        <f t="shared" si="2"/>
        <v>22.572177497271856</v>
      </c>
    </row>
    <row r="229" spans="1:3" ht="15" x14ac:dyDescent="0.2">
      <c r="A229" s="569">
        <v>168</v>
      </c>
      <c r="B229" s="572">
        <v>22.446224087277283</v>
      </c>
      <c r="C229" s="571">
        <f t="shared" si="2"/>
        <v>22.546986815272941</v>
      </c>
    </row>
    <row r="230" spans="1:3" ht="15" x14ac:dyDescent="0.2">
      <c r="A230" s="569">
        <v>169</v>
      </c>
      <c r="B230" s="572">
        <v>22.560944619391517</v>
      </c>
      <c r="C230" s="571">
        <f t="shared" si="2"/>
        <v>22.549778376096658</v>
      </c>
    </row>
    <row r="231" spans="1:3" ht="15" x14ac:dyDescent="0.2">
      <c r="A231" s="569">
        <v>170</v>
      </c>
      <c r="B231" s="572">
        <v>22.790650734557044</v>
      </c>
      <c r="C231" s="571">
        <f t="shared" si="2"/>
        <v>22.597952847788736</v>
      </c>
    </row>
    <row r="232" spans="1:3" ht="15" x14ac:dyDescent="0.2">
      <c r="A232" s="569">
        <v>171</v>
      </c>
      <c r="B232" s="572">
        <v>22.560944619391517</v>
      </c>
      <c r="C232" s="571">
        <f t="shared" si="2"/>
        <v>22.590551202109292</v>
      </c>
    </row>
    <row r="233" spans="1:3" ht="15" x14ac:dyDescent="0.2">
      <c r="A233" s="569">
        <v>172</v>
      </c>
      <c r="B233" s="572">
        <v>22.560944619391517</v>
      </c>
      <c r="C233" s="571">
        <f t="shared" si="2"/>
        <v>22.584629885565736</v>
      </c>
    </row>
    <row r="234" spans="1:3" ht="15" x14ac:dyDescent="0.2">
      <c r="A234" s="569">
        <v>173</v>
      </c>
      <c r="B234" s="572">
        <v>22.560944619391517</v>
      </c>
      <c r="C234" s="571">
        <f t="shared" si="2"/>
        <v>22.579892832330891</v>
      </c>
    </row>
    <row r="235" spans="1:3" ht="15" x14ac:dyDescent="0.2">
      <c r="A235" s="569">
        <v>174</v>
      </c>
      <c r="B235" s="572">
        <v>22.446224087277283</v>
      </c>
      <c r="C235" s="571">
        <f t="shared" si="2"/>
        <v>22.553159083320171</v>
      </c>
    </row>
    <row r="236" spans="1:3" ht="15" x14ac:dyDescent="0.2">
      <c r="A236" s="569">
        <v>175</v>
      </c>
      <c r="B236" s="572">
        <v>22.675683791491206</v>
      </c>
      <c r="C236" s="571">
        <f t="shared" si="2"/>
        <v>22.577664024954377</v>
      </c>
    </row>
    <row r="237" spans="1:3" ht="15" x14ac:dyDescent="0.2">
      <c r="A237" s="569">
        <v>176</v>
      </c>
      <c r="B237" s="572">
        <v>22.599188934876434</v>
      </c>
      <c r="C237" s="571">
        <f t="shared" si="2"/>
        <v>22.581969006938788</v>
      </c>
    </row>
    <row r="238" spans="1:3" ht="15" x14ac:dyDescent="0.2">
      <c r="A238" s="569">
        <v>177</v>
      </c>
      <c r="B238" s="572">
        <v>22.522702375017484</v>
      </c>
      <c r="C238" s="571">
        <f t="shared" si="2"/>
        <v>22.570115680554526</v>
      </c>
    </row>
    <row r="239" spans="1:3" ht="15" x14ac:dyDescent="0.2">
      <c r="A239" s="569">
        <v>178</v>
      </c>
      <c r="B239" s="572">
        <v>22.407988037742921</v>
      </c>
      <c r="C239" s="571">
        <f t="shared" si="2"/>
        <v>22.537690151992205</v>
      </c>
    </row>
    <row r="240" spans="1:3" ht="15" x14ac:dyDescent="0.2">
      <c r="A240" s="569">
        <v>179</v>
      </c>
      <c r="B240" s="572">
        <v>22.407988037742921</v>
      </c>
      <c r="C240" s="571">
        <f t="shared" si="2"/>
        <v>22.511749729142348</v>
      </c>
    </row>
    <row r="241" spans="1:3" ht="15.75" thickBot="1" x14ac:dyDescent="0.25">
      <c r="A241" s="569">
        <v>180</v>
      </c>
      <c r="B241" s="591">
        <v>22.713934338773338</v>
      </c>
      <c r="C241" s="571">
        <f t="shared" si="2"/>
        <v>22.552186651068546</v>
      </c>
    </row>
    <row r="242" spans="1:3" ht="15" x14ac:dyDescent="0.2">
      <c r="A242" s="467"/>
      <c r="B242" s="592"/>
      <c r="C242" s="592"/>
    </row>
    <row r="243" spans="1:3" ht="15" x14ac:dyDescent="0.2">
      <c r="A243" s="467"/>
      <c r="B243" s="592"/>
      <c r="C243" s="592"/>
    </row>
    <row r="244" spans="1:3" ht="15" x14ac:dyDescent="0.2">
      <c r="A244" s="467"/>
      <c r="B244" s="592"/>
      <c r="C244" s="592"/>
    </row>
    <row r="245" spans="1:3" ht="15" x14ac:dyDescent="0.2">
      <c r="B245" s="593"/>
      <c r="C245" s="593"/>
    </row>
    <row r="246" spans="1:3" ht="13.15" hidden="1" customHeight="1" x14ac:dyDescent="0.2">
      <c r="B246" s="593">
        <v>22.560944619391517</v>
      </c>
      <c r="C246" s="593"/>
    </row>
    <row r="247" spans="1:3" ht="13.15" hidden="1" customHeight="1" x14ac:dyDescent="0.2">
      <c r="B247" s="593">
        <v>22.560944619391517</v>
      </c>
      <c r="C247" s="593"/>
    </row>
    <row r="248" spans="1:3" ht="13.15" hidden="1" customHeight="1" x14ac:dyDescent="0.2">
      <c r="B248" s="593">
        <v>22.369754046985104</v>
      </c>
      <c r="C248" s="593"/>
    </row>
    <row r="249" spans="1:3" ht="13.15" hidden="1" customHeight="1" x14ac:dyDescent="0.2">
      <c r="B249" s="593">
        <v>22.599188934876434</v>
      </c>
      <c r="C249" s="593"/>
    </row>
    <row r="250" spans="1:3" ht="13.15" hidden="1" customHeight="1" x14ac:dyDescent="0.2">
      <c r="B250" s="593">
        <v>22.675683791491206</v>
      </c>
      <c r="C250" s="593"/>
    </row>
    <row r="251" spans="1:3" ht="13.15" hidden="1" customHeight="1" x14ac:dyDescent="0.2">
      <c r="B251" s="593">
        <v>22.446224087277283</v>
      </c>
      <c r="C251" s="593"/>
    </row>
    <row r="252" spans="1:3" ht="13.15" hidden="1" customHeight="1" x14ac:dyDescent="0.2">
      <c r="B252" s="593">
        <v>22.446224087277283</v>
      </c>
      <c r="C252" s="593"/>
    </row>
    <row r="253" spans="1:3" ht="13.15" hidden="1" customHeight="1" x14ac:dyDescent="0.2">
      <c r="B253" s="593">
        <v>22.560944619391517</v>
      </c>
      <c r="C253" s="593"/>
    </row>
    <row r="254" spans="1:3" ht="13.15" hidden="1" customHeight="1" x14ac:dyDescent="0.2">
      <c r="B254" s="593">
        <v>22.790650734557044</v>
      </c>
      <c r="C254" s="593"/>
    </row>
    <row r="255" spans="1:3" ht="13.15" hidden="1" customHeight="1" x14ac:dyDescent="0.2">
      <c r="B255" s="593">
        <v>22.560944619391517</v>
      </c>
      <c r="C255" s="593"/>
    </row>
    <row r="256" spans="1:3" ht="13.15" hidden="1" customHeight="1" x14ac:dyDescent="0.2">
      <c r="B256" s="593">
        <v>22.560944619391517</v>
      </c>
      <c r="C256" s="593"/>
    </row>
    <row r="257" spans="2:3" ht="13.15" hidden="1" customHeight="1" x14ac:dyDescent="0.2">
      <c r="B257" s="593">
        <v>22.560944619391517</v>
      </c>
      <c r="C257" s="593"/>
    </row>
    <row r="258" spans="2:3" ht="13.15" hidden="1" customHeight="1" x14ac:dyDescent="0.2">
      <c r="B258" s="593">
        <v>22.446224087277283</v>
      </c>
      <c r="C258" s="593"/>
    </row>
    <row r="259" spans="2:3" ht="13.15" hidden="1" customHeight="1" x14ac:dyDescent="0.2">
      <c r="B259" s="593">
        <v>22.675683791491206</v>
      </c>
      <c r="C259" s="593"/>
    </row>
    <row r="260" spans="2:3" ht="13.15" hidden="1" customHeight="1" x14ac:dyDescent="0.2">
      <c r="B260" s="593">
        <v>22.599188934876434</v>
      </c>
      <c r="C260" s="593"/>
    </row>
    <row r="261" spans="2:3" ht="13.15" hidden="1" customHeight="1" x14ac:dyDescent="0.2">
      <c r="B261" s="593">
        <v>22.522702375017484</v>
      </c>
      <c r="C261" s="593"/>
    </row>
    <row r="262" spans="2:3" ht="13.15" hidden="1" customHeight="1" x14ac:dyDescent="0.2">
      <c r="B262" s="593">
        <v>22.407988037742921</v>
      </c>
      <c r="C262" s="593"/>
    </row>
    <row r="263" spans="2:3" ht="13.15" hidden="1" customHeight="1" x14ac:dyDescent="0.2">
      <c r="B263" s="593">
        <v>22.407988037742921</v>
      </c>
      <c r="C263" s="593"/>
    </row>
    <row r="264" spans="2:3" ht="13.15" hidden="1" customHeight="1" x14ac:dyDescent="0.2">
      <c r="B264" s="593">
        <v>22.713934338773338</v>
      </c>
      <c r="C264" s="593"/>
    </row>
    <row r="265" spans="2:3" ht="13.15" hidden="1" customHeight="1" x14ac:dyDescent="0.2">
      <c r="B265" s="593"/>
      <c r="C265" s="593"/>
    </row>
    <row r="266" spans="2:3" ht="13.15" hidden="1" customHeight="1" x14ac:dyDescent="0.2">
      <c r="B266" s="593"/>
      <c r="C266" s="593"/>
    </row>
    <row r="267" spans="2:3" ht="13.15" hidden="1" customHeight="1" x14ac:dyDescent="0.2">
      <c r="B267" s="593"/>
      <c r="C267" s="593"/>
    </row>
    <row r="268" spans="2:3" ht="13.15" hidden="1" customHeight="1" x14ac:dyDescent="0.2">
      <c r="B268" s="593"/>
      <c r="C268" s="593"/>
    </row>
    <row r="269" spans="2:3" ht="13.15" hidden="1" customHeight="1" x14ac:dyDescent="0.2">
      <c r="B269" s="593"/>
      <c r="C269" s="593"/>
    </row>
    <row r="270" spans="2:3" ht="13.15" hidden="1" customHeight="1" x14ac:dyDescent="0.2">
      <c r="B270" s="593"/>
      <c r="C270" s="593"/>
    </row>
    <row r="271" spans="2:3" ht="13.15" hidden="1" customHeight="1" x14ac:dyDescent="0.2">
      <c r="B271" s="593"/>
      <c r="C271" s="593"/>
    </row>
    <row r="272" spans="2:3" ht="13.15" hidden="1" customHeight="1" x14ac:dyDescent="0.2">
      <c r="B272" s="593"/>
      <c r="C272" s="593"/>
    </row>
    <row r="273" spans="2:3" ht="13.15" hidden="1" customHeight="1" x14ac:dyDescent="0.2">
      <c r="B273" s="593"/>
      <c r="C273" s="593"/>
    </row>
    <row r="274" spans="2:3" ht="13.15" hidden="1" customHeight="1" x14ac:dyDescent="0.2">
      <c r="B274" s="593"/>
      <c r="C274" s="593"/>
    </row>
    <row r="275" spans="2:3" ht="13.15" hidden="1" customHeight="1" x14ac:dyDescent="0.2">
      <c r="B275" s="593"/>
      <c r="C275" s="593"/>
    </row>
    <row r="276" spans="2:3" ht="13.15" hidden="1" customHeight="1" x14ac:dyDescent="0.2">
      <c r="B276" s="593"/>
      <c r="C276" s="593"/>
    </row>
    <row r="277" spans="2:3" ht="13.15" hidden="1" customHeight="1" x14ac:dyDescent="0.2">
      <c r="B277" s="593"/>
      <c r="C277" s="593"/>
    </row>
    <row r="278" spans="2:3" ht="13.15" hidden="1" customHeight="1" x14ac:dyDescent="0.2">
      <c r="B278" s="593"/>
      <c r="C278" s="593"/>
    </row>
    <row r="279" spans="2:3" ht="13.15" hidden="1" customHeight="1" x14ac:dyDescent="0.2">
      <c r="B279" s="593"/>
      <c r="C279" s="593"/>
    </row>
    <row r="280" spans="2:3" ht="13.15" hidden="1" customHeight="1" x14ac:dyDescent="0.2">
      <c r="B280" s="593"/>
      <c r="C280" s="593"/>
    </row>
    <row r="281" spans="2:3" ht="13.15" hidden="1" customHeight="1" x14ac:dyDescent="0.2">
      <c r="B281" s="593"/>
      <c r="C281" s="593"/>
    </row>
    <row r="282" spans="2:3" ht="13.15" hidden="1" customHeight="1" x14ac:dyDescent="0.2">
      <c r="B282" s="593"/>
      <c r="C282" s="593"/>
    </row>
    <row r="283" spans="2:3" ht="13.15" hidden="1" customHeight="1" x14ac:dyDescent="0.2">
      <c r="B283" s="593"/>
      <c r="C283" s="593"/>
    </row>
    <row r="284" spans="2:3" ht="13.15" hidden="1" customHeight="1" x14ac:dyDescent="0.2">
      <c r="B284" s="593"/>
      <c r="C284" s="593"/>
    </row>
    <row r="285" spans="2:3" ht="13.15" hidden="1" customHeight="1" x14ac:dyDescent="0.2">
      <c r="B285" s="593"/>
      <c r="C285" s="593"/>
    </row>
    <row r="286" spans="2:3" ht="13.15" hidden="1" customHeight="1" x14ac:dyDescent="0.2">
      <c r="B286" s="593"/>
      <c r="C286" s="593"/>
    </row>
    <row r="287" spans="2:3" ht="13.15" hidden="1" customHeight="1" x14ac:dyDescent="0.2">
      <c r="B287" s="593"/>
      <c r="C287" s="593"/>
    </row>
    <row r="288" spans="2:3" ht="13.15" hidden="1" customHeight="1" x14ac:dyDescent="0.2">
      <c r="B288" s="593"/>
      <c r="C288" s="593"/>
    </row>
    <row r="289" spans="2:3" ht="13.15" hidden="1" customHeight="1" x14ac:dyDescent="0.2">
      <c r="B289" s="593"/>
      <c r="C289" s="593"/>
    </row>
    <row r="290" spans="2:3" ht="13.15" hidden="1" customHeight="1" x14ac:dyDescent="0.2">
      <c r="B290" s="593"/>
      <c r="C290" s="593"/>
    </row>
    <row r="291" spans="2:3" ht="13.15" hidden="1" customHeight="1" x14ac:dyDescent="0.2">
      <c r="B291" s="593"/>
      <c r="C291" s="593"/>
    </row>
    <row r="292" spans="2:3" ht="13.15" hidden="1" customHeight="1" x14ac:dyDescent="0.2">
      <c r="B292" s="593"/>
      <c r="C292" s="593"/>
    </row>
    <row r="293" spans="2:3" ht="13.15" hidden="1" customHeight="1" x14ac:dyDescent="0.2">
      <c r="B293" s="593"/>
      <c r="C293" s="593"/>
    </row>
    <row r="294" spans="2:3" ht="13.15" hidden="1" customHeight="1" x14ac:dyDescent="0.2">
      <c r="B294" s="593"/>
      <c r="C294" s="593"/>
    </row>
    <row r="295" spans="2:3" ht="13.15" hidden="1" customHeight="1" x14ac:dyDescent="0.2">
      <c r="B295" s="593"/>
      <c r="C295" s="593"/>
    </row>
    <row r="296" spans="2:3" ht="13.15" hidden="1" customHeight="1" x14ac:dyDescent="0.2">
      <c r="B296" s="593"/>
      <c r="C296" s="593"/>
    </row>
    <row r="297" spans="2:3" ht="13.15" hidden="1" customHeight="1" x14ac:dyDescent="0.2">
      <c r="B297" s="593"/>
      <c r="C297" s="593"/>
    </row>
    <row r="298" spans="2:3" ht="13.15" hidden="1" customHeight="1" x14ac:dyDescent="0.2">
      <c r="B298" s="593"/>
      <c r="C298" s="593"/>
    </row>
    <row r="299" spans="2:3" ht="13.15" hidden="1" customHeight="1" x14ac:dyDescent="0.2">
      <c r="B299" s="593"/>
      <c r="C299" s="593"/>
    </row>
    <row r="300" spans="2:3" ht="13.15" hidden="1" customHeight="1" x14ac:dyDescent="0.2">
      <c r="B300" s="593"/>
      <c r="C300" s="593"/>
    </row>
    <row r="301" spans="2:3" ht="13.15" hidden="1" customHeight="1" x14ac:dyDescent="0.2">
      <c r="B301" s="593"/>
      <c r="C301" s="593"/>
    </row>
    <row r="302" spans="2:3" ht="13.15" hidden="1" customHeight="1" x14ac:dyDescent="0.2">
      <c r="B302" s="593"/>
      <c r="C302" s="593"/>
    </row>
    <row r="303" spans="2:3" ht="13.15" hidden="1" customHeight="1" x14ac:dyDescent="0.2">
      <c r="B303" s="593"/>
      <c r="C303" s="593"/>
    </row>
    <row r="304" spans="2:3" ht="13.15" hidden="1" customHeight="1" x14ac:dyDescent="0.2">
      <c r="B304" s="593"/>
      <c r="C304" s="593"/>
    </row>
    <row r="305" spans="2:3" ht="13.15" hidden="1" customHeight="1" x14ac:dyDescent="0.2">
      <c r="B305" s="593"/>
      <c r="C305" s="593"/>
    </row>
    <row r="306" spans="2:3" ht="13.15" hidden="1" customHeight="1" x14ac:dyDescent="0.2">
      <c r="B306" s="593"/>
      <c r="C306" s="593"/>
    </row>
    <row r="307" spans="2:3" ht="13.15" hidden="1" customHeight="1" x14ac:dyDescent="0.2">
      <c r="B307" s="593"/>
      <c r="C307" s="593"/>
    </row>
    <row r="308" spans="2:3" ht="13.15" hidden="1" customHeight="1" x14ac:dyDescent="0.2">
      <c r="B308" s="593"/>
      <c r="C308" s="593"/>
    </row>
    <row r="309" spans="2:3" ht="13.15" hidden="1" customHeight="1" x14ac:dyDescent="0.2">
      <c r="B309" s="593"/>
      <c r="C309" s="593"/>
    </row>
    <row r="310" spans="2:3" ht="13.15" hidden="1" customHeight="1" x14ac:dyDescent="0.2">
      <c r="B310" s="593"/>
      <c r="C310" s="593"/>
    </row>
    <row r="311" spans="2:3" ht="13.15" hidden="1" customHeight="1" x14ac:dyDescent="0.2">
      <c r="B311" s="593"/>
      <c r="C311" s="593"/>
    </row>
    <row r="312" spans="2:3" ht="13.15" hidden="1" customHeight="1" x14ac:dyDescent="0.2">
      <c r="B312" s="593"/>
      <c r="C312" s="593"/>
    </row>
    <row r="313" spans="2:3" ht="13.15" hidden="1" customHeight="1" x14ac:dyDescent="0.2">
      <c r="B313" s="593"/>
      <c r="C313" s="593"/>
    </row>
    <row r="314" spans="2:3" ht="13.15" hidden="1" customHeight="1" x14ac:dyDescent="0.2">
      <c r="B314" s="593"/>
      <c r="C314" s="593"/>
    </row>
    <row r="315" spans="2:3" ht="13.15" hidden="1" customHeight="1" x14ac:dyDescent="0.2">
      <c r="B315" s="593"/>
      <c r="C315" s="593"/>
    </row>
    <row r="316" spans="2:3" ht="13.15" hidden="1" customHeight="1" x14ac:dyDescent="0.2">
      <c r="B316" s="593"/>
      <c r="C316" s="593"/>
    </row>
    <row r="317" spans="2:3" ht="13.15" hidden="1" customHeight="1" x14ac:dyDescent="0.2">
      <c r="B317" s="593"/>
      <c r="C317" s="593"/>
    </row>
    <row r="318" spans="2:3" ht="13.15" hidden="1" customHeight="1" x14ac:dyDescent="0.2">
      <c r="B318" s="593"/>
      <c r="C318" s="593"/>
    </row>
    <row r="319" spans="2:3" ht="13.15" hidden="1" customHeight="1" x14ac:dyDescent="0.2">
      <c r="B319" s="593"/>
      <c r="C319" s="593"/>
    </row>
    <row r="320" spans="2:3" ht="13.15" hidden="1" customHeight="1" x14ac:dyDescent="0.2">
      <c r="B320" s="593"/>
      <c r="C320" s="593"/>
    </row>
    <row r="321" spans="2:3" ht="13.15" hidden="1" customHeight="1" x14ac:dyDescent="0.2">
      <c r="B321" s="593"/>
      <c r="C321" s="593"/>
    </row>
    <row r="322" spans="2:3" ht="13.15" hidden="1" customHeight="1" x14ac:dyDescent="0.2">
      <c r="B322" s="593"/>
      <c r="C322" s="593"/>
    </row>
    <row r="323" spans="2:3" ht="13.15" hidden="1" customHeight="1" x14ac:dyDescent="0.2">
      <c r="B323" s="593"/>
      <c r="C323" s="593"/>
    </row>
    <row r="324" spans="2:3" ht="13.15" hidden="1" customHeight="1" x14ac:dyDescent="0.2">
      <c r="B324" s="593"/>
      <c r="C324" s="593"/>
    </row>
    <row r="325" spans="2:3" ht="13.15" hidden="1" customHeight="1" x14ac:dyDescent="0.2">
      <c r="B325" s="593"/>
      <c r="C325" s="593"/>
    </row>
    <row r="326" spans="2:3" ht="13.15" hidden="1" customHeight="1" x14ac:dyDescent="0.2">
      <c r="B326" s="593"/>
      <c r="C326" s="593"/>
    </row>
    <row r="327" spans="2:3" ht="13.15" hidden="1" customHeight="1" x14ac:dyDescent="0.2">
      <c r="B327" s="593"/>
      <c r="C327" s="593"/>
    </row>
    <row r="328" spans="2:3" ht="13.15" hidden="1" customHeight="1" x14ac:dyDescent="0.2">
      <c r="B328" s="593"/>
      <c r="C328" s="593"/>
    </row>
    <row r="329" spans="2:3" ht="13.15" hidden="1" customHeight="1" x14ac:dyDescent="0.2">
      <c r="B329" s="593"/>
      <c r="C329" s="593"/>
    </row>
    <row r="330" spans="2:3" ht="13.15" hidden="1" customHeight="1" x14ac:dyDescent="0.2">
      <c r="B330" s="593"/>
      <c r="C330" s="593"/>
    </row>
    <row r="331" spans="2:3" ht="13.15" hidden="1" customHeight="1" x14ac:dyDescent="0.2">
      <c r="B331" s="593"/>
      <c r="C331" s="593"/>
    </row>
    <row r="332" spans="2:3" ht="13.15" hidden="1" customHeight="1" x14ac:dyDescent="0.2">
      <c r="B332" s="593"/>
      <c r="C332" s="593"/>
    </row>
    <row r="333" spans="2:3" ht="13.15" hidden="1" customHeight="1" x14ac:dyDescent="0.2">
      <c r="B333" s="593"/>
      <c r="C333" s="593"/>
    </row>
    <row r="334" spans="2:3" ht="13.15" hidden="1" customHeight="1" x14ac:dyDescent="0.2">
      <c r="B334" s="593"/>
      <c r="C334" s="593"/>
    </row>
    <row r="335" spans="2:3" ht="13.15" hidden="1" customHeight="1" x14ac:dyDescent="0.2">
      <c r="B335" s="593"/>
      <c r="C335" s="593"/>
    </row>
    <row r="336" spans="2:3" ht="13.15" hidden="1" customHeight="1" x14ac:dyDescent="0.2">
      <c r="B336" s="593"/>
      <c r="C336" s="593"/>
    </row>
    <row r="337" spans="2:3" ht="13.15" hidden="1" customHeight="1" x14ac:dyDescent="0.2">
      <c r="B337" s="593"/>
      <c r="C337" s="593"/>
    </row>
    <row r="338" spans="2:3" ht="13.15" hidden="1" customHeight="1" x14ac:dyDescent="0.2">
      <c r="B338" s="593"/>
      <c r="C338" s="593"/>
    </row>
    <row r="339" spans="2:3" ht="13.15" hidden="1" customHeight="1" x14ac:dyDescent="0.2">
      <c r="B339" s="593"/>
      <c r="C339" s="593"/>
    </row>
    <row r="340" spans="2:3" ht="13.15" hidden="1" customHeight="1" x14ac:dyDescent="0.2">
      <c r="B340" s="593"/>
      <c r="C340" s="593"/>
    </row>
    <row r="341" spans="2:3" ht="13.15" hidden="1" customHeight="1" x14ac:dyDescent="0.2">
      <c r="B341" s="593"/>
      <c r="C341" s="593"/>
    </row>
    <row r="342" spans="2:3" ht="13.15" hidden="1" customHeight="1" x14ac:dyDescent="0.2">
      <c r="B342" s="593"/>
      <c r="C342" s="593"/>
    </row>
    <row r="343" spans="2:3" ht="13.15" hidden="1" customHeight="1" x14ac:dyDescent="0.2">
      <c r="B343" s="593"/>
      <c r="C343" s="593"/>
    </row>
    <row r="344" spans="2:3" ht="13.15" hidden="1" customHeight="1" x14ac:dyDescent="0.2">
      <c r="B344" s="593"/>
      <c r="C344" s="593"/>
    </row>
    <row r="345" spans="2:3" ht="13.15" hidden="1" customHeight="1" x14ac:dyDescent="0.2">
      <c r="B345" s="593"/>
      <c r="C345" s="593"/>
    </row>
    <row r="346" spans="2:3" ht="13.15" hidden="1" customHeight="1" x14ac:dyDescent="0.2">
      <c r="B346" s="593"/>
      <c r="C346" s="593"/>
    </row>
    <row r="347" spans="2:3" ht="13.15" hidden="1" customHeight="1" x14ac:dyDescent="0.2">
      <c r="B347" s="593"/>
      <c r="C347" s="593"/>
    </row>
    <row r="348" spans="2:3" ht="13.15" hidden="1" customHeight="1" x14ac:dyDescent="0.2">
      <c r="B348" s="593"/>
      <c r="C348" s="593"/>
    </row>
    <row r="349" spans="2:3" ht="13.15" hidden="1" customHeight="1" x14ac:dyDescent="0.2">
      <c r="B349" s="593"/>
      <c r="C349" s="593"/>
    </row>
    <row r="350" spans="2:3" ht="13.15" hidden="1" customHeight="1" x14ac:dyDescent="0.2">
      <c r="B350" s="593"/>
      <c r="C350" s="593"/>
    </row>
    <row r="351" spans="2:3" ht="13.15" hidden="1" customHeight="1" x14ac:dyDescent="0.2">
      <c r="B351" s="593"/>
      <c r="C351" s="593"/>
    </row>
    <row r="352" spans="2:3" ht="13.15" hidden="1" customHeight="1" x14ac:dyDescent="0.2">
      <c r="B352" s="593"/>
      <c r="C352" s="593"/>
    </row>
    <row r="353" spans="2:3" ht="13.15" hidden="1" customHeight="1" x14ac:dyDescent="0.2">
      <c r="B353" s="593"/>
      <c r="C353" s="593"/>
    </row>
    <row r="354" spans="2:3" ht="13.15" hidden="1" customHeight="1" x14ac:dyDescent="0.2">
      <c r="B354" s="593"/>
      <c r="C354" s="593"/>
    </row>
    <row r="355" spans="2:3" ht="13.15" hidden="1" customHeight="1" x14ac:dyDescent="0.2">
      <c r="B355" s="593"/>
      <c r="C355" s="593"/>
    </row>
    <row r="356" spans="2:3" ht="13.15" hidden="1" customHeight="1" x14ac:dyDescent="0.2">
      <c r="B356" s="593"/>
      <c r="C356" s="593"/>
    </row>
    <row r="357" spans="2:3" ht="13.15" hidden="1" customHeight="1" x14ac:dyDescent="0.2">
      <c r="B357" s="593"/>
      <c r="C357" s="593"/>
    </row>
    <row r="358" spans="2:3" ht="13.15" hidden="1" customHeight="1" x14ac:dyDescent="0.2">
      <c r="B358" s="593"/>
      <c r="C358" s="593"/>
    </row>
    <row r="359" spans="2:3" ht="13.15" hidden="1" customHeight="1" x14ac:dyDescent="0.2">
      <c r="B359" s="593"/>
      <c r="C359" s="593"/>
    </row>
    <row r="360" spans="2:3" ht="13.15" hidden="1" customHeight="1" x14ac:dyDescent="0.2">
      <c r="B360" s="593"/>
      <c r="C360" s="593"/>
    </row>
    <row r="361" spans="2:3" ht="13.15" hidden="1" customHeight="1" x14ac:dyDescent="0.2">
      <c r="B361" s="593"/>
      <c r="C361" s="593"/>
    </row>
    <row r="362" spans="2:3" ht="13.15" hidden="1" customHeight="1" x14ac:dyDescent="0.2"/>
    <row r="363" spans="2:3" ht="13.15" hidden="1" customHeight="1" x14ac:dyDescent="0.2"/>
    <row r="364" spans="2:3" ht="13.15" hidden="1" customHeight="1" x14ac:dyDescent="0.2"/>
    <row r="365" spans="2:3" ht="13.15" hidden="1" customHeight="1" x14ac:dyDescent="0.2"/>
    <row r="366" spans="2:3" ht="13.15" hidden="1" customHeight="1" x14ac:dyDescent="0.2"/>
    <row r="367" spans="2:3" ht="13.15" hidden="1" customHeight="1" x14ac:dyDescent="0.2"/>
    <row r="368" spans="2:3" ht="13.15" hidden="1" customHeight="1" x14ac:dyDescent="0.2"/>
    <row r="369" ht="13.15" hidden="1" customHeight="1" x14ac:dyDescent="0.2"/>
    <row r="370" ht="13.15" hidden="1" customHeight="1" x14ac:dyDescent="0.2"/>
    <row r="371" ht="13.15" hidden="1" customHeight="1" x14ac:dyDescent="0.2"/>
    <row r="372" ht="13.15" hidden="1" customHeight="1" x14ac:dyDescent="0.2"/>
    <row r="373" ht="13.15" hidden="1" customHeight="1" x14ac:dyDescent="0.2"/>
    <row r="374" ht="13.15" hidden="1" customHeight="1" x14ac:dyDescent="0.2"/>
    <row r="375" ht="13.15" hidden="1" customHeight="1" x14ac:dyDescent="0.2"/>
    <row r="376" ht="13.15" hidden="1" customHeight="1" x14ac:dyDescent="0.2"/>
    <row r="377" ht="13.15" hidden="1" customHeight="1" x14ac:dyDescent="0.2"/>
    <row r="378" ht="13.15" hidden="1" customHeight="1" x14ac:dyDescent="0.2"/>
    <row r="379" ht="13.15" hidden="1" customHeight="1" x14ac:dyDescent="0.2"/>
    <row r="380" ht="13.15" hidden="1" customHeight="1" x14ac:dyDescent="0.2"/>
    <row r="381" ht="13.15" hidden="1" customHeight="1" x14ac:dyDescent="0.2"/>
    <row r="382" ht="13.15" hidden="1" customHeight="1" x14ac:dyDescent="0.2"/>
    <row r="383" ht="13.15" hidden="1" customHeight="1" x14ac:dyDescent="0.2"/>
    <row r="384" ht="13.15" hidden="1" customHeight="1" x14ac:dyDescent="0.2"/>
    <row r="385" ht="13.15" hidden="1" customHeight="1" x14ac:dyDescent="0.2"/>
    <row r="386" ht="13.15" hidden="1" customHeight="1" x14ac:dyDescent="0.2"/>
    <row r="387" ht="13.15" hidden="1" customHeight="1" x14ac:dyDescent="0.2"/>
    <row r="388" ht="13.15" hidden="1" customHeight="1" x14ac:dyDescent="0.2"/>
    <row r="389" ht="13.15" hidden="1" customHeight="1" x14ac:dyDescent="0.2"/>
    <row r="390" ht="13.15" hidden="1" customHeight="1" x14ac:dyDescent="0.2"/>
    <row r="391" ht="13.15" hidden="1" customHeight="1" x14ac:dyDescent="0.2"/>
    <row r="392" ht="13.15" hidden="1" customHeight="1" x14ac:dyDescent="0.2"/>
    <row r="393" ht="13.15" hidden="1" customHeight="1" x14ac:dyDescent="0.2"/>
    <row r="394" ht="13.15" hidden="1" customHeight="1" x14ac:dyDescent="0.2"/>
    <row r="395" ht="13.15" hidden="1" customHeight="1" x14ac:dyDescent="0.2"/>
    <row r="396" ht="13.15" hidden="1" customHeight="1" x14ac:dyDescent="0.2"/>
    <row r="397" ht="13.15" hidden="1" customHeight="1" x14ac:dyDescent="0.2"/>
    <row r="398" ht="13.15" hidden="1" customHeight="1" x14ac:dyDescent="0.2"/>
    <row r="399" ht="13.15" hidden="1" customHeight="1" x14ac:dyDescent="0.2"/>
    <row r="400" ht="13.15" hidden="1" customHeight="1" x14ac:dyDescent="0.2"/>
    <row r="401" ht="13.15" hidden="1" customHeight="1" x14ac:dyDescent="0.2"/>
    <row r="402" ht="13.15" hidden="1" customHeight="1" x14ac:dyDescent="0.2"/>
    <row r="403" ht="13.15" hidden="1" customHeight="1" x14ac:dyDescent="0.2"/>
    <row r="404" ht="13.15" hidden="1" customHeight="1" x14ac:dyDescent="0.2"/>
    <row r="405" ht="13.15" hidden="1" customHeight="1" x14ac:dyDescent="0.2"/>
    <row r="406" ht="13.15" hidden="1" customHeight="1" x14ac:dyDescent="0.2"/>
    <row r="407" ht="13.15" hidden="1" customHeight="1" x14ac:dyDescent="0.2"/>
    <row r="408" ht="13.15" hidden="1" customHeight="1" x14ac:dyDescent="0.2"/>
    <row r="409" ht="13.15" hidden="1" customHeight="1" x14ac:dyDescent="0.2"/>
    <row r="410" ht="13.15" hidden="1" customHeight="1" x14ac:dyDescent="0.2"/>
    <row r="411" ht="13.15" hidden="1" customHeight="1" x14ac:dyDescent="0.2"/>
    <row r="412" ht="13.15" hidden="1" customHeight="1" x14ac:dyDescent="0.2"/>
    <row r="413" ht="13.15" hidden="1" customHeight="1" x14ac:dyDescent="0.2"/>
    <row r="414" ht="13.15" hidden="1" customHeight="1" x14ac:dyDescent="0.2"/>
    <row r="415" ht="13.15" hidden="1" customHeight="1" x14ac:dyDescent="0.2"/>
    <row r="416" ht="13.15" hidden="1" customHeight="1" x14ac:dyDescent="0.2"/>
    <row r="417" ht="13.15" hidden="1" customHeight="1" x14ac:dyDescent="0.2"/>
    <row r="418" ht="13.15" hidden="1" customHeight="1" x14ac:dyDescent="0.2"/>
    <row r="419" ht="13.15" hidden="1" customHeight="1" x14ac:dyDescent="0.2"/>
    <row r="420" ht="13.15" hidden="1" customHeight="1" x14ac:dyDescent="0.2"/>
    <row r="421" ht="13.15" hidden="1" customHeight="1" x14ac:dyDescent="0.2"/>
    <row r="422" ht="13.15" hidden="1" customHeight="1" x14ac:dyDescent="0.2"/>
    <row r="423" ht="13.15" hidden="1" customHeight="1" x14ac:dyDescent="0.2"/>
    <row r="424" ht="13.15" hidden="1" customHeight="1" x14ac:dyDescent="0.2"/>
    <row r="425" ht="13.15" hidden="1" customHeight="1" x14ac:dyDescent="0.2"/>
    <row r="426" ht="13.15" hidden="1" customHeight="1" x14ac:dyDescent="0.2"/>
    <row r="427" ht="13.15" hidden="1" customHeight="1" x14ac:dyDescent="0.2"/>
    <row r="428" ht="13.15" hidden="1" customHeight="1" x14ac:dyDescent="0.2"/>
    <row r="429" ht="13.15" hidden="1" customHeight="1" x14ac:dyDescent="0.2"/>
    <row r="430" ht="13.15" hidden="1" customHeight="1" x14ac:dyDescent="0.2"/>
    <row r="431" ht="13.15" hidden="1" customHeight="1" x14ac:dyDescent="0.2"/>
    <row r="432" ht="13.15" hidden="1" customHeight="1" x14ac:dyDescent="0.2"/>
    <row r="433" ht="13.15" hidden="1" customHeight="1" x14ac:dyDescent="0.2"/>
  </sheetData>
  <sheetProtection algorithmName="SHA-512" hashValue="tK7L9F5Dh5znkaKAfkBB7k+bG3zZ5idluMYemgxZDVrmVRYweAF0RnAmQOxzsE5gSPaQJe3Lo25oG21bzevLGA==" saltValue="iLxr36hOw4nRGSXyUHVbag==" spinCount="100000" sheet="1" objects="1" scenarios="1"/>
  <mergeCells count="2">
    <mergeCell ref="A1:U3"/>
    <mergeCell ref="A4:Y4"/>
  </mergeCells>
  <dataValidations count="6">
    <dataValidation type="decimal" allowBlank="1" showInputMessage="1" showErrorMessage="1" errorTitle="VREF" error="Enter a valid voltage between 0.8V and 5.5V" promptTitle="VREF" prompt="Enter a valid voltage between 0.8V and 5.5V" sqref="B45 B64" xr:uid="{00000000-0002-0000-0B00-000000000000}">
      <formula1>0.8</formula1>
      <formula2>5.5</formula2>
    </dataValidation>
    <dataValidation type="decimal" allowBlank="1" showInputMessage="1" showErrorMessage="1" errorTitle="Minimum operating temperature" error="Select a value between -40C and 0C" promptTitle="Minimum operating temperature" prompt="Select a value between -40C and 0C" sqref="G73" xr:uid="{00000000-0002-0000-0B00-000001000000}">
      <formula1>-40</formula1>
      <formula2>0</formula2>
    </dataValidation>
    <dataValidation allowBlank="1" showInputMessage="1" showErrorMessage="1" errorTitle="Resistance" error="Enter a value between min and max resistance for your device." promptTitle="Resistance" prompt="Enter a value between min and max resistance for your device." sqref="B74:B75 G74:G75" xr:uid="{00000000-0002-0000-0B00-000002000000}"/>
    <dataValidation allowBlank="1" errorTitle="Divider Voltage" error="Enter a value betwen the minimum and maximum Vdc values in column F of the &quot;NTC Thermistor Comparison&quot; sheet_x000a_" promptTitle="Divider Voltage" prompt="Enter a value betwen the minimum and maximum Vdc values in column F of the &quot;NTC Thermistor Comparison&quot; sheet_x000a_" sqref="B60" xr:uid="{00000000-0002-0000-0B00-000003000000}"/>
    <dataValidation allowBlank="1" errorTitle="VREF" error="Enter a valid voltage between 0.8V and 5.5V" promptTitle="VREF" prompt="Enter a valid voltage between 0.8V and 5.5V" sqref="B54" xr:uid="{00000000-0002-0000-0B00-000004000000}"/>
    <dataValidation type="decimal" allowBlank="1" showInputMessage="1" showErrorMessage="1" errorTitle="Alpha" error="Input filter value between 0.001 - 1" promptTitle="Alpha" prompt="Input filter value between 0.001 - 1" sqref="B53" xr:uid="{00000000-0002-0000-0B00-000005000000}">
      <formula1>0.001</formula1>
      <formula2>1</formula2>
    </dataValidation>
  </dataValidations>
  <hyperlinks>
    <hyperlink ref="A5" location="Main!K50" display="Return to Menu" xr:uid="{00000000-0004-0000-0B00-000000000000}"/>
    <hyperlink ref="A47" location="'Low Pass Filter'!E110" display="Example Code" xr:uid="{58A6874D-BF69-44B5-AF43-580DDDE5AA3C}"/>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decimal" allowBlank="1" showInputMessage="1" showErrorMessage="1" errorTitle="Maximum operating temperature" error="Select a value between 1C and the maximum temperature of the selected device. " promptTitle="Maximum operating temperature" prompt="Select a value between 1C and the maximum temperature of the selected device. " xr:uid="{00000000-0002-0000-0B00-000006000000}">
          <x14:formula1>
            <xm:f>1</xm:f>
          </x14:formula1>
          <x14:formula2>
            <xm:f>VLOOKUP(Main!$N$22,Coefficients!$E$2:$H$28,4,FALSE)</xm:f>
          </x14:formula2>
          <xm:sqref>B73</xm:sqref>
        </x14:dataValidation>
        <x14:dataValidation type="whole" allowBlank="1" showInputMessage="1" showErrorMessage="1" errorTitle="Resistance" error="Enter a value between min and max resistance for your device." promptTitle="Resistance" prompt="Enter a value between min and max resistance for your device." xr:uid="{00000000-0002-0000-0B00-000007000000}">
          <x14:formula1>
            <xm:f>VLOOKUP(-40,'Device Resistance Tables'!$B$20:$F$20,2,FALSE)</xm:f>
          </x14:formula1>
          <x14:formula2>
            <xm:f>VLOOKUP(VLOOKUP(Main!$N$22,Coefficients!$E$2:$H$28,4,FALSE),'Device Resistance Tables'!B68:F193,4,FALSE)</xm:f>
          </x14:formula2>
          <xm:sqref>B41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J105"/>
  <sheetViews>
    <sheetView showGridLines="0" zoomScale="80" zoomScaleNormal="80" workbookViewId="0">
      <selection activeCell="B54" sqref="B54"/>
    </sheetView>
  </sheetViews>
  <sheetFormatPr defaultColWidth="0" defaultRowHeight="12.75" zeroHeight="1" x14ac:dyDescent="0.2"/>
  <cols>
    <col min="1" max="1" width="26.5703125" style="6" customWidth="1"/>
    <col min="2" max="2" width="23.7109375" style="6" customWidth="1"/>
    <col min="3" max="3" width="12.7109375" style="6" customWidth="1"/>
    <col min="4" max="4" width="17.5703125" style="6" customWidth="1"/>
    <col min="5" max="5" width="20.42578125" style="6" customWidth="1"/>
    <col min="6" max="6" width="25.28515625" style="6" customWidth="1"/>
    <col min="7" max="7" width="30.28515625" style="6" customWidth="1"/>
    <col min="8" max="9" width="12.7109375" style="6" customWidth="1"/>
    <col min="10" max="10" width="19" style="6" customWidth="1"/>
    <col min="11" max="11" width="12.7109375" style="6" customWidth="1"/>
    <col min="12" max="25" width="10.7109375" style="6" customWidth="1"/>
    <col min="26" max="36" width="0" style="6" hidden="1" customWidth="1"/>
    <col min="37" max="16384" width="9.140625" style="6" hidden="1"/>
  </cols>
  <sheetData>
    <row r="1" spans="1:36" s="2" customFormat="1" x14ac:dyDescent="0.2">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ht="15" x14ac:dyDescent="0.2">
      <c r="A5" s="421" t="s">
        <v>75</v>
      </c>
    </row>
    <row r="6" spans="1:36" s="244" customFormat="1" ht="15.75" x14ac:dyDescent="0.25">
      <c r="A6" s="256"/>
      <c r="B6" s="245"/>
      <c r="C6" s="245"/>
      <c r="D6" s="245"/>
    </row>
    <row r="7" spans="1:36" s="244" customFormat="1" x14ac:dyDescent="0.2"/>
    <row r="8" spans="1:36" s="244" customFormat="1" x14ac:dyDescent="0.2">
      <c r="A8" s="245"/>
    </row>
    <row r="9" spans="1:36" s="244" customFormat="1" x14ac:dyDescent="0.2"/>
    <row r="10" spans="1:36" s="244" customFormat="1" x14ac:dyDescent="0.2"/>
    <row r="11" spans="1:36" s="244" customFormat="1" x14ac:dyDescent="0.2">
      <c r="A11" s="221"/>
      <c r="B11" s="221"/>
      <c r="C11" s="221"/>
    </row>
    <row r="12" spans="1:36" s="244" customFormat="1" x14ac:dyDescent="0.2"/>
    <row r="13" spans="1:36" s="244" customFormat="1" x14ac:dyDescent="0.2"/>
    <row r="14" spans="1:36" s="244" customFormat="1" x14ac:dyDescent="0.2"/>
    <row r="15" spans="1:36" s="244" customFormat="1" x14ac:dyDescent="0.2"/>
    <row r="16" spans="1:36" s="244" customFormat="1" x14ac:dyDescent="0.2"/>
    <row r="17" spans="1:17" s="244" customFormat="1" x14ac:dyDescent="0.2"/>
    <row r="18" spans="1:17" ht="15.75" x14ac:dyDescent="0.25">
      <c r="A18" s="433" t="s">
        <v>300</v>
      </c>
      <c r="B18" s="254" t="str">
        <f>Main!$N$22</f>
        <v>TMP6131DECR</v>
      </c>
      <c r="C18" s="594"/>
      <c r="D18" s="594"/>
      <c r="E18" s="594"/>
      <c r="F18" s="594"/>
      <c r="G18" s="594"/>
      <c r="H18" s="594"/>
      <c r="I18" s="594"/>
      <c r="J18" s="594"/>
      <c r="K18" s="594"/>
      <c r="L18" s="594"/>
      <c r="M18" s="594"/>
    </row>
    <row r="19" spans="1:17" ht="15" x14ac:dyDescent="0.2">
      <c r="A19" s="595"/>
      <c r="B19" s="595"/>
      <c r="C19" s="595"/>
      <c r="D19" s="595"/>
      <c r="E19" s="595"/>
      <c r="F19" s="595"/>
      <c r="G19" s="595"/>
      <c r="H19" s="595"/>
      <c r="I19" s="595"/>
      <c r="J19" s="595"/>
      <c r="K19" s="595"/>
      <c r="L19" s="595"/>
      <c r="M19" s="595"/>
      <c r="N19" s="7"/>
      <c r="O19" s="7"/>
      <c r="P19" s="7"/>
      <c r="Q19" s="7"/>
    </row>
    <row r="20" spans="1:17" ht="15.75" x14ac:dyDescent="0.25">
      <c r="A20" s="596" t="s">
        <v>317</v>
      </c>
      <c r="B20" s="597"/>
      <c r="C20" s="597"/>
      <c r="D20" s="597"/>
      <c r="E20" s="597"/>
      <c r="F20" s="595"/>
      <c r="G20" s="595"/>
      <c r="H20" s="595"/>
      <c r="I20" s="595"/>
      <c r="J20" s="595"/>
      <c r="K20" s="595"/>
      <c r="L20" s="595"/>
      <c r="M20" s="595"/>
      <c r="N20" s="7"/>
      <c r="O20" s="7"/>
      <c r="P20" s="7"/>
      <c r="Q20" s="7"/>
    </row>
    <row r="21" spans="1:17" ht="15.75" thickBot="1" x14ac:dyDescent="0.25">
      <c r="A21" s="595"/>
      <c r="B21" s="595"/>
      <c r="C21" s="595"/>
      <c r="D21" s="595"/>
      <c r="E21" s="595"/>
      <c r="F21" s="595"/>
      <c r="G21" s="595"/>
      <c r="H21" s="595"/>
      <c r="I21" s="595"/>
      <c r="J21" s="595"/>
      <c r="K21" s="595"/>
      <c r="L21" s="598"/>
      <c r="M21" s="595"/>
      <c r="N21" s="7"/>
      <c r="O21" s="7"/>
      <c r="P21" s="7"/>
      <c r="Q21" s="7"/>
    </row>
    <row r="22" spans="1:17" ht="15.75" thickBot="1" x14ac:dyDescent="0.25">
      <c r="A22" s="595" t="s">
        <v>319</v>
      </c>
      <c r="B22" s="496">
        <v>9762</v>
      </c>
      <c r="C22" s="441" t="s">
        <v>48</v>
      </c>
      <c r="D22" s="441" t="s">
        <v>324</v>
      </c>
      <c r="E22" s="441"/>
      <c r="F22" s="441" t="s">
        <v>651</v>
      </c>
      <c r="G22" s="548">
        <f>B23*(B22/(B22+B24))</f>
        <v>2.4698917113652463</v>
      </c>
      <c r="H22" s="441" t="s">
        <v>2</v>
      </c>
      <c r="I22" s="441"/>
      <c r="J22" s="595"/>
      <c r="K22" s="595"/>
      <c r="L22" s="595"/>
      <c r="M22" s="595"/>
      <c r="N22" s="7"/>
      <c r="O22" s="7"/>
      <c r="P22" s="7"/>
      <c r="Q22" s="7"/>
    </row>
    <row r="23" spans="1:17" ht="15.75" thickBot="1" x14ac:dyDescent="0.25">
      <c r="A23" s="595" t="s">
        <v>206</v>
      </c>
      <c r="B23" s="599">
        <f>Main!$N$25</f>
        <v>5</v>
      </c>
      <c r="C23" s="441" t="s">
        <v>2</v>
      </c>
      <c r="D23" s="441" t="s">
        <v>47</v>
      </c>
      <c r="E23" s="441"/>
      <c r="F23" s="441" t="s">
        <v>46</v>
      </c>
      <c r="G23" s="551">
        <f>(G22/B26)*2^B25</f>
        <v>49050.552483646301</v>
      </c>
      <c r="H23" s="441" t="s">
        <v>45</v>
      </c>
      <c r="I23" s="441"/>
      <c r="J23" s="595"/>
      <c r="K23" s="595"/>
      <c r="L23" s="595"/>
      <c r="M23" s="595"/>
      <c r="N23" s="7"/>
      <c r="O23" s="7"/>
      <c r="P23" s="7"/>
      <c r="Q23" s="7"/>
    </row>
    <row r="24" spans="1:17" ht="15" x14ac:dyDescent="0.2">
      <c r="A24" s="595" t="s">
        <v>251</v>
      </c>
      <c r="B24" s="553">
        <f>Main!$N$31</f>
        <v>10000</v>
      </c>
      <c r="C24" s="441" t="s">
        <v>1</v>
      </c>
      <c r="D24" s="441" t="s">
        <v>325</v>
      </c>
      <c r="E24" s="441"/>
      <c r="F24" s="441"/>
      <c r="G24" s="441"/>
      <c r="H24" s="441"/>
      <c r="I24" s="441"/>
      <c r="J24" s="595"/>
      <c r="K24" s="595"/>
      <c r="L24" s="595"/>
      <c r="M24" s="595"/>
      <c r="N24" s="7"/>
      <c r="O24" s="7"/>
      <c r="P24" s="7"/>
      <c r="Q24" s="7"/>
    </row>
    <row r="25" spans="1:17" ht="15.75" thickBot="1" x14ac:dyDescent="0.25">
      <c r="A25" s="595" t="s">
        <v>46</v>
      </c>
      <c r="B25" s="556">
        <f>Main!$N$28</f>
        <v>16</v>
      </c>
      <c r="C25" s="441" t="s">
        <v>17</v>
      </c>
      <c r="D25" s="441" t="s">
        <v>41</v>
      </c>
      <c r="E25" s="441"/>
      <c r="F25" s="441"/>
      <c r="G25" s="441"/>
      <c r="H25" s="441"/>
      <c r="I25" s="441"/>
      <c r="J25" s="595"/>
      <c r="K25" s="595"/>
      <c r="L25" s="595"/>
      <c r="M25" s="595"/>
      <c r="N25" s="7"/>
      <c r="O25" s="7"/>
      <c r="P25" s="7"/>
      <c r="Q25" s="7"/>
    </row>
    <row r="26" spans="1:17" ht="15.75" thickBot="1" x14ac:dyDescent="0.25">
      <c r="A26" s="595" t="s">
        <v>316</v>
      </c>
      <c r="B26" s="600">
        <v>3.3</v>
      </c>
      <c r="C26" s="441" t="s">
        <v>2</v>
      </c>
      <c r="D26" s="441" t="s">
        <v>39</v>
      </c>
      <c r="E26" s="441" t="s">
        <v>318</v>
      </c>
      <c r="F26" s="441"/>
      <c r="G26" s="441"/>
      <c r="H26" s="441"/>
      <c r="I26" s="441"/>
      <c r="J26" s="595"/>
      <c r="K26" s="595"/>
      <c r="L26" s="595"/>
      <c r="M26" s="595"/>
      <c r="N26" s="7"/>
      <c r="O26" s="7"/>
      <c r="P26" s="7"/>
      <c r="Q26" s="7"/>
    </row>
    <row r="27" spans="1:17" ht="15" x14ac:dyDescent="0.2">
      <c r="A27" s="595"/>
      <c r="B27" s="595"/>
      <c r="C27" s="441"/>
      <c r="D27" s="441"/>
      <c r="E27" s="441"/>
      <c r="F27" s="441"/>
      <c r="G27" s="441"/>
      <c r="H27" s="441"/>
      <c r="I27" s="441"/>
      <c r="J27" s="595"/>
      <c r="K27" s="595"/>
      <c r="L27" s="595"/>
      <c r="M27" s="595"/>
      <c r="N27" s="7"/>
      <c r="O27" s="7"/>
      <c r="P27" s="7"/>
      <c r="Q27" s="7"/>
    </row>
    <row r="28" spans="1:17" ht="15" x14ac:dyDescent="0.2">
      <c r="A28" s="597"/>
      <c r="B28" s="597"/>
      <c r="C28" s="493"/>
      <c r="D28" s="493"/>
      <c r="E28" s="493"/>
      <c r="F28" s="441"/>
      <c r="G28" s="441"/>
      <c r="H28" s="441"/>
      <c r="I28" s="441"/>
      <c r="J28" s="595"/>
      <c r="K28" s="595"/>
      <c r="L28" s="595"/>
      <c r="M28" s="595"/>
      <c r="N28" s="7"/>
      <c r="O28" s="7"/>
      <c r="P28" s="7"/>
      <c r="Q28" s="7"/>
    </row>
    <row r="29" spans="1:17" ht="15.75" x14ac:dyDescent="0.25">
      <c r="A29" s="596" t="s">
        <v>320</v>
      </c>
      <c r="B29" s="597"/>
      <c r="C29" s="493"/>
      <c r="D29" s="493"/>
      <c r="E29" s="493"/>
      <c r="F29" s="441"/>
      <c r="G29" s="441"/>
      <c r="H29" s="441"/>
      <c r="I29" s="441"/>
      <c r="J29" s="595"/>
      <c r="K29" s="595"/>
      <c r="L29" s="595"/>
      <c r="M29" s="595"/>
      <c r="N29" s="7"/>
      <c r="O29" s="7"/>
      <c r="P29" s="7"/>
      <c r="Q29" s="7"/>
    </row>
    <row r="30" spans="1:17" ht="15.75" thickBot="1" x14ac:dyDescent="0.25">
      <c r="A30" s="595"/>
      <c r="B30" s="595"/>
      <c r="C30" s="441"/>
      <c r="D30" s="441"/>
      <c r="E30" s="441"/>
      <c r="F30" s="441"/>
      <c r="G30" s="441"/>
      <c r="H30" s="441"/>
      <c r="I30" s="441"/>
      <c r="J30" s="595"/>
      <c r="K30" s="595"/>
      <c r="L30" s="595"/>
      <c r="M30" s="595"/>
      <c r="N30" s="7"/>
      <c r="O30" s="7"/>
      <c r="P30" s="7"/>
      <c r="Q30" s="7"/>
    </row>
    <row r="31" spans="1:17" ht="15.75" thickBot="1" x14ac:dyDescent="0.25">
      <c r="A31" s="595" t="s">
        <v>16</v>
      </c>
      <c r="B31" s="600">
        <v>2034</v>
      </c>
      <c r="C31" s="441" t="s">
        <v>17</v>
      </c>
      <c r="D31" s="441" t="s">
        <v>324</v>
      </c>
      <c r="E31" s="441"/>
      <c r="F31" s="441" t="s">
        <v>651</v>
      </c>
      <c r="G31" s="548">
        <f>(B35/(2^B34))*B31</f>
        <v>0.1024200439453125</v>
      </c>
      <c r="H31" s="441" t="s">
        <v>2</v>
      </c>
      <c r="I31" s="441"/>
      <c r="J31" s="595"/>
      <c r="K31" s="595"/>
      <c r="L31" s="595"/>
      <c r="M31" s="595"/>
      <c r="N31" s="7"/>
      <c r="O31" s="7"/>
      <c r="P31" s="7"/>
      <c r="Q31" s="7"/>
    </row>
    <row r="32" spans="1:17" ht="15.75" thickBot="1" x14ac:dyDescent="0.25">
      <c r="A32" s="595" t="s">
        <v>206</v>
      </c>
      <c r="B32" s="599">
        <f>B23</f>
        <v>5</v>
      </c>
      <c r="C32" s="441" t="s">
        <v>2</v>
      </c>
      <c r="D32" s="441" t="s">
        <v>47</v>
      </c>
      <c r="E32" s="441"/>
      <c r="F32" s="441" t="s">
        <v>319</v>
      </c>
      <c r="G32" s="551">
        <f>G31/((B32-G31)/B33)</f>
        <v>209.12378126403959</v>
      </c>
      <c r="H32" s="441" t="s">
        <v>1</v>
      </c>
      <c r="I32" s="441"/>
      <c r="J32" s="595"/>
      <c r="K32" s="595"/>
      <c r="L32" s="595"/>
      <c r="M32" s="595"/>
      <c r="N32" s="7"/>
      <c r="O32" s="7"/>
      <c r="P32" s="7"/>
      <c r="Q32" s="7"/>
    </row>
    <row r="33" spans="1:17" ht="15" x14ac:dyDescent="0.2">
      <c r="A33" s="595" t="s">
        <v>251</v>
      </c>
      <c r="B33" s="553">
        <f>B24</f>
        <v>10000</v>
      </c>
      <c r="C33" s="441" t="s">
        <v>1</v>
      </c>
      <c r="D33" s="441" t="s">
        <v>325</v>
      </c>
      <c r="E33" s="441"/>
      <c r="F33" s="441"/>
      <c r="G33" s="441"/>
      <c r="H33" s="441"/>
      <c r="I33" s="441"/>
      <c r="J33" s="595"/>
      <c r="K33" s="595"/>
      <c r="L33" s="595"/>
      <c r="M33" s="595"/>
      <c r="N33" s="7"/>
      <c r="O33" s="7"/>
      <c r="P33" s="7"/>
      <c r="Q33" s="7"/>
    </row>
    <row r="34" spans="1:17" ht="15.75" thickBot="1" x14ac:dyDescent="0.25">
      <c r="A34" s="595" t="s">
        <v>46</v>
      </c>
      <c r="B34" s="556">
        <f>B25</f>
        <v>16</v>
      </c>
      <c r="C34" s="441" t="s">
        <v>17</v>
      </c>
      <c r="D34" s="441" t="s">
        <v>41</v>
      </c>
      <c r="E34" s="441"/>
      <c r="F34" s="441"/>
      <c r="G34" s="441"/>
      <c r="H34" s="441"/>
      <c r="I34" s="441"/>
      <c r="J34" s="595"/>
      <c r="K34" s="595"/>
      <c r="L34" s="595"/>
      <c r="M34" s="595"/>
      <c r="N34" s="7"/>
      <c r="O34" s="7"/>
      <c r="P34" s="7"/>
      <c r="Q34" s="7"/>
    </row>
    <row r="35" spans="1:17" ht="15.75" thickBot="1" x14ac:dyDescent="0.25">
      <c r="A35" s="595" t="s">
        <v>316</v>
      </c>
      <c r="B35" s="600">
        <v>3.3</v>
      </c>
      <c r="C35" s="441" t="s">
        <v>2</v>
      </c>
      <c r="D35" s="441" t="s">
        <v>39</v>
      </c>
      <c r="E35" s="441" t="s">
        <v>318</v>
      </c>
      <c r="F35" s="441"/>
      <c r="G35" s="441"/>
      <c r="H35" s="441"/>
      <c r="I35" s="441"/>
      <c r="J35" s="595"/>
      <c r="K35" s="595"/>
      <c r="L35" s="595"/>
      <c r="M35" s="595"/>
      <c r="N35" s="7"/>
      <c r="O35" s="7"/>
      <c r="P35" s="7"/>
      <c r="Q35" s="7"/>
    </row>
    <row r="36" spans="1:17" ht="15" x14ac:dyDescent="0.2">
      <c r="A36" s="597"/>
      <c r="B36" s="597"/>
      <c r="C36" s="493"/>
      <c r="D36" s="493"/>
      <c r="E36" s="493"/>
      <c r="F36" s="441"/>
      <c r="G36" s="441"/>
      <c r="H36" s="441"/>
      <c r="I36" s="441"/>
      <c r="J36" s="595"/>
      <c r="K36" s="595"/>
      <c r="L36" s="595"/>
      <c r="M36" s="595"/>
      <c r="N36" s="7"/>
      <c r="O36" s="7"/>
      <c r="P36" s="7"/>
      <c r="Q36" s="7"/>
    </row>
    <row r="37" spans="1:17" ht="15" x14ac:dyDescent="0.2">
      <c r="A37" s="597"/>
      <c r="B37" s="597"/>
      <c r="C37" s="493"/>
      <c r="D37" s="493"/>
      <c r="E37" s="493"/>
      <c r="F37" s="441"/>
      <c r="G37" s="441"/>
      <c r="H37" s="441"/>
      <c r="I37" s="441"/>
      <c r="J37" s="595"/>
      <c r="K37" s="595"/>
      <c r="L37" s="595"/>
      <c r="M37" s="595"/>
      <c r="N37" s="7"/>
      <c r="O37" s="7"/>
      <c r="P37" s="7"/>
      <c r="Q37" s="7"/>
    </row>
    <row r="38" spans="1:17" ht="15.75" x14ac:dyDescent="0.25">
      <c r="A38" s="596" t="s">
        <v>321</v>
      </c>
      <c r="B38" s="597"/>
      <c r="C38" s="493"/>
      <c r="D38" s="493"/>
      <c r="E38" s="493"/>
      <c r="F38" s="441"/>
      <c r="G38" s="441"/>
      <c r="H38" s="441"/>
      <c r="I38" s="441"/>
      <c r="J38" s="595"/>
      <c r="K38" s="595"/>
      <c r="L38" s="595"/>
      <c r="M38" s="595"/>
      <c r="N38" s="7"/>
      <c r="O38" s="7"/>
      <c r="P38" s="7"/>
      <c r="Q38" s="7"/>
    </row>
    <row r="39" spans="1:17" ht="15.75" thickBot="1" x14ac:dyDescent="0.25">
      <c r="A39" s="595"/>
      <c r="B39" s="595"/>
      <c r="C39" s="441"/>
      <c r="D39" s="441"/>
      <c r="E39" s="441"/>
      <c r="F39" s="441"/>
      <c r="G39" s="441"/>
      <c r="H39" s="441"/>
      <c r="I39" s="441"/>
      <c r="J39" s="595"/>
      <c r="K39" s="595"/>
      <c r="L39" s="595"/>
      <c r="M39" s="595"/>
      <c r="N39" s="7"/>
      <c r="O39" s="7"/>
      <c r="P39" s="7"/>
      <c r="Q39" s="7"/>
    </row>
    <row r="40" spans="1:17" ht="15.75" thickBot="1" x14ac:dyDescent="0.25">
      <c r="A40" s="595" t="s">
        <v>44</v>
      </c>
      <c r="B40" s="600">
        <v>1.45</v>
      </c>
      <c r="C40" s="441" t="s">
        <v>2</v>
      </c>
      <c r="D40" s="441" t="s">
        <v>651</v>
      </c>
      <c r="E40" s="441"/>
      <c r="F40" s="441" t="s">
        <v>43</v>
      </c>
      <c r="G40" s="551">
        <f>(B40/B44)*2^B43</f>
        <v>28796.121212121212</v>
      </c>
      <c r="H40" s="441" t="s">
        <v>17</v>
      </c>
      <c r="I40" s="441"/>
      <c r="J40" s="595"/>
      <c r="K40" s="595"/>
      <c r="L40" s="595"/>
      <c r="M40" s="595"/>
      <c r="N40" s="7"/>
      <c r="O40" s="7"/>
      <c r="P40" s="7"/>
      <c r="Q40" s="7"/>
    </row>
    <row r="41" spans="1:17" ht="15.75" thickBot="1" x14ac:dyDescent="0.25">
      <c r="A41" s="595" t="s">
        <v>206</v>
      </c>
      <c r="B41" s="599">
        <f>B23</f>
        <v>5</v>
      </c>
      <c r="C41" s="441" t="s">
        <v>2</v>
      </c>
      <c r="D41" s="441" t="s">
        <v>47</v>
      </c>
      <c r="E41" s="441"/>
      <c r="F41" s="441" t="s">
        <v>319</v>
      </c>
      <c r="G41" s="551">
        <f>B40/((B41-B40)/B42)</f>
        <v>4084.5070422535214</v>
      </c>
      <c r="H41" s="441" t="s">
        <v>1</v>
      </c>
      <c r="I41" s="441"/>
      <c r="J41" s="595"/>
      <c r="K41" s="595"/>
      <c r="L41" s="595"/>
      <c r="M41" s="595"/>
      <c r="N41" s="7"/>
      <c r="O41" s="7"/>
      <c r="P41" s="7"/>
      <c r="Q41" s="7"/>
    </row>
    <row r="42" spans="1:17" ht="15" x14ac:dyDescent="0.2">
      <c r="A42" s="595" t="s">
        <v>251</v>
      </c>
      <c r="B42" s="553">
        <f>B24</f>
        <v>10000</v>
      </c>
      <c r="C42" s="441" t="s">
        <v>1</v>
      </c>
      <c r="D42" s="441" t="s">
        <v>325</v>
      </c>
      <c r="E42" s="441"/>
      <c r="F42" s="441"/>
      <c r="G42" s="441"/>
      <c r="H42" s="441"/>
      <c r="I42" s="441"/>
      <c r="J42" s="595"/>
      <c r="K42" s="595"/>
      <c r="L42" s="595"/>
      <c r="M42" s="595"/>
      <c r="N42" s="7"/>
      <c r="O42" s="7"/>
      <c r="P42" s="7"/>
      <c r="Q42" s="7"/>
    </row>
    <row r="43" spans="1:17" ht="15.75" thickBot="1" x14ac:dyDescent="0.25">
      <c r="A43" s="595" t="s">
        <v>46</v>
      </c>
      <c r="B43" s="556">
        <f>B25</f>
        <v>16</v>
      </c>
      <c r="C43" s="441" t="s">
        <v>17</v>
      </c>
      <c r="D43" s="441" t="s">
        <v>41</v>
      </c>
      <c r="E43" s="441"/>
      <c r="F43" s="441"/>
      <c r="G43" s="441"/>
      <c r="H43" s="441"/>
      <c r="I43" s="441"/>
      <c r="J43" s="595"/>
      <c r="K43" s="595"/>
      <c r="L43" s="595"/>
      <c r="M43" s="595"/>
      <c r="N43" s="7"/>
      <c r="O43" s="7"/>
      <c r="P43" s="7"/>
      <c r="Q43" s="7"/>
    </row>
    <row r="44" spans="1:17" ht="15.75" thickBot="1" x14ac:dyDescent="0.25">
      <c r="A44" s="595" t="s">
        <v>316</v>
      </c>
      <c r="B44" s="600">
        <v>3.3</v>
      </c>
      <c r="C44" s="441" t="s">
        <v>2</v>
      </c>
      <c r="D44" s="441" t="s">
        <v>39</v>
      </c>
      <c r="E44" s="441" t="s">
        <v>318</v>
      </c>
      <c r="F44" s="441"/>
      <c r="G44" s="441"/>
      <c r="H44" s="441"/>
      <c r="I44" s="441"/>
      <c r="J44" s="595"/>
      <c r="K44" s="595"/>
      <c r="L44" s="595"/>
      <c r="M44" s="595"/>
      <c r="N44" s="7"/>
      <c r="O44" s="7"/>
      <c r="P44" s="7"/>
      <c r="Q44" s="7"/>
    </row>
    <row r="45" spans="1:17" ht="15" x14ac:dyDescent="0.2">
      <c r="A45" s="597"/>
      <c r="B45" s="597"/>
      <c r="C45" s="493"/>
      <c r="D45" s="493"/>
      <c r="E45" s="493"/>
      <c r="F45" s="441"/>
      <c r="G45" s="441"/>
      <c r="H45" s="441"/>
      <c r="I45" s="441"/>
      <c r="J45" s="595"/>
      <c r="K45" s="595"/>
      <c r="L45" s="595"/>
      <c r="M45" s="595"/>
      <c r="N45" s="7"/>
      <c r="O45" s="7"/>
      <c r="P45" s="7"/>
      <c r="Q45" s="7"/>
    </row>
    <row r="46" spans="1:17" ht="15" x14ac:dyDescent="0.2">
      <c r="A46" s="595"/>
      <c r="B46" s="595"/>
      <c r="C46" s="441"/>
      <c r="D46" s="441"/>
      <c r="E46" s="441"/>
      <c r="F46" s="441"/>
      <c r="G46" s="441"/>
      <c r="H46" s="441"/>
      <c r="I46" s="441"/>
      <c r="J46" s="595"/>
      <c r="K46" s="595"/>
      <c r="L46" s="595"/>
      <c r="M46" s="595"/>
      <c r="N46" s="7"/>
      <c r="O46" s="7"/>
      <c r="P46" s="7"/>
      <c r="Q46" s="7"/>
    </row>
    <row r="47" spans="1:17" ht="15.75" x14ac:dyDescent="0.25">
      <c r="A47" s="596" t="s">
        <v>322</v>
      </c>
      <c r="B47" s="601"/>
      <c r="C47" s="602"/>
      <c r="D47" s="597"/>
      <c r="E47" s="603"/>
      <c r="F47" s="603"/>
      <c r="G47" s="604"/>
      <c r="H47" s="604"/>
      <c r="I47" s="595"/>
      <c r="J47" s="595"/>
      <c r="K47" s="595"/>
      <c r="L47" s="595"/>
      <c r="M47" s="595"/>
      <c r="N47" s="7"/>
      <c r="O47" s="7"/>
      <c r="P47" s="7"/>
      <c r="Q47" s="7"/>
    </row>
    <row r="48" spans="1:17" ht="15.75" x14ac:dyDescent="0.25">
      <c r="A48" s="596"/>
      <c r="B48" s="601"/>
      <c r="C48" s="602"/>
      <c r="D48" s="595"/>
      <c r="E48" s="604"/>
      <c r="F48" s="604"/>
      <c r="G48" s="604"/>
      <c r="H48" s="604"/>
      <c r="I48" s="595"/>
      <c r="J48" s="595"/>
      <c r="K48" s="595"/>
      <c r="L48" s="595"/>
      <c r="M48" s="595"/>
      <c r="N48" s="7"/>
      <c r="O48" s="7"/>
      <c r="P48" s="7"/>
      <c r="Q48" s="7"/>
    </row>
    <row r="49" spans="1:17" ht="15" x14ac:dyDescent="0.2">
      <c r="A49" s="605" t="s">
        <v>251</v>
      </c>
      <c r="B49" s="606">
        <f>B24</f>
        <v>10000</v>
      </c>
      <c r="C49" s="607" t="s">
        <v>1</v>
      </c>
      <c r="D49" s="607"/>
      <c r="E49" s="607"/>
      <c r="F49" s="435"/>
      <c r="G49" s="435"/>
      <c r="H49" s="604"/>
      <c r="I49" s="595"/>
      <c r="J49" s="595"/>
      <c r="K49" s="595"/>
      <c r="L49" s="595"/>
      <c r="M49" s="595"/>
      <c r="N49" s="7"/>
      <c r="O49" s="7"/>
      <c r="P49" s="7"/>
      <c r="Q49" s="7"/>
    </row>
    <row r="50" spans="1:17" ht="15.75" thickBot="1" x14ac:dyDescent="0.25">
      <c r="A50" s="605" t="s">
        <v>206</v>
      </c>
      <c r="B50" s="608">
        <f>B23</f>
        <v>5</v>
      </c>
      <c r="C50" s="607" t="s">
        <v>2</v>
      </c>
      <c r="D50" s="607"/>
      <c r="E50" s="607"/>
      <c r="F50" s="435"/>
      <c r="G50" s="435"/>
      <c r="H50" s="604"/>
      <c r="I50" s="595"/>
      <c r="J50" s="595"/>
      <c r="K50" s="595"/>
      <c r="L50" s="595"/>
      <c r="M50" s="595"/>
      <c r="N50" s="7"/>
      <c r="O50" s="7"/>
      <c r="P50" s="7"/>
      <c r="Q50" s="7"/>
    </row>
    <row r="51" spans="1:17" ht="15.75" thickBot="1" x14ac:dyDescent="0.25">
      <c r="A51" s="609" t="s">
        <v>46</v>
      </c>
      <c r="B51" s="610">
        <v>16</v>
      </c>
      <c r="C51" s="611">
        <f>2^B51</f>
        <v>65536</v>
      </c>
      <c r="D51" s="612" t="s">
        <v>17</v>
      </c>
      <c r="E51" s="613">
        <f>B50/C51</f>
        <v>7.62939453125E-5</v>
      </c>
      <c r="F51" s="549" t="s">
        <v>2</v>
      </c>
      <c r="G51" s="614" t="s">
        <v>18</v>
      </c>
      <c r="H51" s="604"/>
      <c r="I51" s="594"/>
      <c r="J51" s="594"/>
      <c r="K51" s="594"/>
      <c r="L51" s="594"/>
      <c r="M51" s="594"/>
      <c r="Q51" s="7"/>
    </row>
    <row r="52" spans="1:17" ht="15.75" thickBot="1" x14ac:dyDescent="0.25">
      <c r="A52" s="594"/>
      <c r="B52" s="594"/>
      <c r="C52" s="594"/>
      <c r="D52" s="594"/>
      <c r="E52" s="594"/>
      <c r="F52" s="594"/>
      <c r="G52" s="594"/>
      <c r="H52" s="594"/>
      <c r="I52" s="594"/>
      <c r="J52" s="594"/>
      <c r="K52" s="594"/>
      <c r="L52" s="594"/>
      <c r="M52" s="594"/>
      <c r="Q52" s="7"/>
    </row>
    <row r="53" spans="1:17" ht="16.5" thickBot="1" x14ac:dyDescent="0.3">
      <c r="A53" s="615" t="s">
        <v>331</v>
      </c>
      <c r="B53" s="616">
        <v>125</v>
      </c>
      <c r="C53" s="617"/>
      <c r="D53" s="530"/>
      <c r="E53" s="618"/>
      <c r="F53" s="619" t="s">
        <v>330</v>
      </c>
      <c r="G53" s="543">
        <v>-40</v>
      </c>
      <c r="H53" s="594"/>
      <c r="I53" s="594"/>
      <c r="J53" s="594"/>
      <c r="K53" s="594"/>
      <c r="L53" s="594"/>
      <c r="M53" s="594"/>
      <c r="Q53" s="7"/>
    </row>
    <row r="54" spans="1:17" ht="15.75" thickBot="1" x14ac:dyDescent="0.25">
      <c r="A54" s="609" t="s">
        <v>177</v>
      </c>
      <c r="B54" s="620">
        <f>VLOOKUP(B53,'Device Resistance Tables'!B60:D210,2,FALSE)</f>
        <v>17809.842316354505</v>
      </c>
      <c r="C54" s="621" t="s">
        <v>1</v>
      </c>
      <c r="D54" s="441" t="s">
        <v>232</v>
      </c>
      <c r="E54" s="594"/>
      <c r="F54" s="609" t="s">
        <v>184</v>
      </c>
      <c r="G54" s="622">
        <f>VLOOKUP(G53,'Device Resistance Tables'!B20:D60,3,FALSE)</f>
        <v>6603.4333582991267</v>
      </c>
      <c r="H54" s="623" t="s">
        <v>1</v>
      </c>
      <c r="I54" s="441" t="s">
        <v>230</v>
      </c>
      <c r="J54" s="594"/>
      <c r="K54" s="594"/>
      <c r="L54" s="594"/>
      <c r="M54" s="594"/>
      <c r="Q54" s="7"/>
    </row>
    <row r="55" spans="1:17" ht="15.75" thickBot="1" x14ac:dyDescent="0.25">
      <c r="A55" s="609" t="s">
        <v>178</v>
      </c>
      <c r="B55" s="624">
        <f>VLOOKUP(B53-1,'Device Resistance Tables'!B60:D210,2,FALSE)</f>
        <v>17712.723153785595</v>
      </c>
      <c r="C55" s="623" t="s">
        <v>1</v>
      </c>
      <c r="D55" s="441" t="s">
        <v>231</v>
      </c>
      <c r="E55" s="594"/>
      <c r="F55" s="609" t="s">
        <v>185</v>
      </c>
      <c r="G55" s="624">
        <f>VLOOKUP(G53+1,'Device Resistance Tables'!B20:D60,3,FALSE)</f>
        <v>6646.8933815461605</v>
      </c>
      <c r="H55" s="623" t="s">
        <v>1</v>
      </c>
      <c r="I55" s="441" t="s">
        <v>229</v>
      </c>
      <c r="J55" s="594"/>
      <c r="K55" s="594"/>
      <c r="L55" s="594"/>
      <c r="M55" s="594"/>
      <c r="Q55" s="7"/>
    </row>
    <row r="56" spans="1:17" ht="15.75" thickBot="1" x14ac:dyDescent="0.25">
      <c r="A56" s="447" t="s">
        <v>179</v>
      </c>
      <c r="B56" s="625">
        <f>B50/(B49+B54)</f>
        <v>1.7979246135673281E-4</v>
      </c>
      <c r="C56" s="623" t="s">
        <v>4</v>
      </c>
      <c r="D56" s="441"/>
      <c r="E56" s="435"/>
      <c r="F56" s="447" t="s">
        <v>186</v>
      </c>
      <c r="G56" s="625">
        <f>B50/(B49+G54)</f>
        <v>3.0114253432412998E-4</v>
      </c>
      <c r="H56" s="623" t="s">
        <v>4</v>
      </c>
      <c r="I56" s="441"/>
      <c r="J56" s="435"/>
      <c r="K56" s="594"/>
      <c r="L56" s="594"/>
      <c r="M56" s="594"/>
      <c r="N56" s="19"/>
      <c r="O56" s="152"/>
      <c r="P56" s="152"/>
      <c r="Q56" s="7"/>
    </row>
    <row r="57" spans="1:17" ht="15.75" thickBot="1" x14ac:dyDescent="0.25">
      <c r="A57" s="447" t="s">
        <v>181</v>
      </c>
      <c r="B57" s="626">
        <f>B50/(B49+B55)</f>
        <v>1.804225435462842E-4</v>
      </c>
      <c r="C57" s="623" t="s">
        <v>4</v>
      </c>
      <c r="D57" s="441"/>
      <c r="E57" s="435"/>
      <c r="F57" s="447" t="s">
        <v>189</v>
      </c>
      <c r="G57" s="626">
        <f>B50/(B49+G55)</f>
        <v>3.0035634189516273E-4</v>
      </c>
      <c r="H57" s="623" t="s">
        <v>4</v>
      </c>
      <c r="I57" s="441"/>
      <c r="J57" s="435"/>
      <c r="K57" s="594"/>
      <c r="L57" s="594"/>
      <c r="M57" s="594"/>
      <c r="N57" s="19"/>
      <c r="O57" s="152"/>
      <c r="P57" s="152"/>
      <c r="Q57" s="7"/>
    </row>
    <row r="58" spans="1:17" ht="15.75" thickBot="1" x14ac:dyDescent="0.25">
      <c r="A58" s="447" t="s">
        <v>180</v>
      </c>
      <c r="B58" s="626">
        <f>B54*B56</f>
        <v>3.2020753864326719</v>
      </c>
      <c r="C58" s="627" t="s">
        <v>19</v>
      </c>
      <c r="D58" s="441"/>
      <c r="E58" s="435"/>
      <c r="F58" s="447" t="s">
        <v>187</v>
      </c>
      <c r="G58" s="626">
        <f>G54*G56</f>
        <v>1.9885746567586997</v>
      </c>
      <c r="H58" s="627" t="s">
        <v>19</v>
      </c>
      <c r="I58" s="441"/>
      <c r="J58" s="435"/>
      <c r="K58" s="594"/>
      <c r="L58" s="594"/>
      <c r="M58" s="594"/>
      <c r="N58" s="19"/>
      <c r="O58" s="152"/>
      <c r="P58" s="152"/>
      <c r="Q58" s="7"/>
    </row>
    <row r="59" spans="1:17" ht="15.75" thickBot="1" x14ac:dyDescent="0.25">
      <c r="A59" s="447" t="s">
        <v>182</v>
      </c>
      <c r="B59" s="626">
        <f>B55*B57</f>
        <v>3.195774564537158</v>
      </c>
      <c r="C59" s="623" t="s">
        <v>19</v>
      </c>
      <c r="D59" s="441"/>
      <c r="E59" s="435"/>
      <c r="F59" s="447" t="s">
        <v>190</v>
      </c>
      <c r="G59" s="626">
        <f>G55*G57</f>
        <v>1.9964365810483728</v>
      </c>
      <c r="H59" s="623" t="s">
        <v>19</v>
      </c>
      <c r="I59" s="441"/>
      <c r="J59" s="594"/>
      <c r="K59" s="594"/>
      <c r="L59" s="594"/>
      <c r="M59" s="594"/>
      <c r="P59" s="152"/>
      <c r="Q59" s="7"/>
    </row>
    <row r="60" spans="1:17" ht="15.75" thickBot="1" x14ac:dyDescent="0.25">
      <c r="A60" s="447" t="s">
        <v>183</v>
      </c>
      <c r="B60" s="626">
        <f>B58-B59</f>
        <v>6.3008218955138418E-3</v>
      </c>
      <c r="C60" s="628" t="s">
        <v>20</v>
      </c>
      <c r="D60" s="441"/>
      <c r="E60" s="594"/>
      <c r="F60" s="447" t="s">
        <v>188</v>
      </c>
      <c r="G60" s="626">
        <f>G59-G58</f>
        <v>7.8619242896731389E-3</v>
      </c>
      <c r="H60" s="628" t="s">
        <v>20</v>
      </c>
      <c r="I60" s="441"/>
      <c r="J60" s="594"/>
      <c r="K60" s="594"/>
      <c r="L60" s="594"/>
      <c r="M60" s="594"/>
      <c r="P60" s="152"/>
      <c r="Q60" s="7"/>
    </row>
    <row r="61" spans="1:17" ht="15.75" thickBot="1" x14ac:dyDescent="0.25">
      <c r="A61" s="447"/>
      <c r="B61" s="629"/>
      <c r="C61" s="630"/>
      <c r="D61" s="441"/>
      <c r="E61" s="594"/>
      <c r="F61" s="594"/>
      <c r="G61" s="595"/>
      <c r="H61" s="595"/>
      <c r="I61" s="595"/>
      <c r="J61" s="631"/>
      <c r="K61" s="594"/>
      <c r="L61" s="594"/>
      <c r="M61" s="594"/>
      <c r="N61" s="7"/>
      <c r="O61" s="7"/>
      <c r="P61" s="7"/>
      <c r="Q61" s="7"/>
    </row>
    <row r="62" spans="1:17" ht="15.75" thickBot="1" x14ac:dyDescent="0.25">
      <c r="A62" s="632" t="s">
        <v>223</v>
      </c>
      <c r="B62" s="633">
        <f>B60/E51</f>
        <v>82.586132748879024</v>
      </c>
      <c r="C62" s="549" t="s">
        <v>652</v>
      </c>
      <c r="D62" s="594"/>
      <c r="E62" s="594"/>
      <c r="F62" s="632" t="s">
        <v>223</v>
      </c>
      <c r="G62" s="633">
        <f>G60/E51</f>
        <v>103.04781404960377</v>
      </c>
      <c r="H62" s="549" t="s">
        <v>652</v>
      </c>
      <c r="I62" s="594"/>
      <c r="J62" s="451"/>
      <c r="K62" s="594"/>
      <c r="L62" s="594"/>
      <c r="M62" s="594"/>
      <c r="N62" s="7"/>
      <c r="O62" s="7"/>
      <c r="P62" s="7"/>
      <c r="Q62" s="7"/>
    </row>
    <row r="63" spans="1:17" ht="15.75" thickBot="1" x14ac:dyDescent="0.25">
      <c r="A63" s="632" t="s">
        <v>38</v>
      </c>
      <c r="B63" s="634">
        <f>1/B62</f>
        <v>1.2108570370291052E-2</v>
      </c>
      <c r="C63" s="549" t="s">
        <v>218</v>
      </c>
      <c r="D63" s="594"/>
      <c r="E63" s="594"/>
      <c r="F63" s="632" t="s">
        <v>38</v>
      </c>
      <c r="G63" s="634">
        <f>1/G62</f>
        <v>9.7042330225329525E-3</v>
      </c>
      <c r="H63" s="549" t="s">
        <v>221</v>
      </c>
      <c r="I63" s="594"/>
      <c r="J63" s="451"/>
      <c r="K63" s="594"/>
      <c r="L63" s="594"/>
      <c r="M63" s="594"/>
      <c r="N63" s="7"/>
      <c r="O63" s="7"/>
      <c r="P63" s="7"/>
      <c r="Q63" s="7"/>
    </row>
    <row r="64" spans="1:17" ht="15" x14ac:dyDescent="0.2">
      <c r="A64" s="594"/>
      <c r="B64" s="594"/>
      <c r="C64" s="594"/>
      <c r="D64" s="594"/>
      <c r="E64" s="594"/>
      <c r="F64" s="595"/>
      <c r="G64" s="595"/>
      <c r="H64" s="595"/>
      <c r="I64" s="595"/>
      <c r="J64" s="631"/>
      <c r="K64" s="594"/>
      <c r="L64" s="594"/>
      <c r="M64" s="594"/>
      <c r="N64" s="7"/>
      <c r="O64" s="7"/>
      <c r="P64" s="7"/>
      <c r="Q64" s="7"/>
    </row>
    <row r="65" spans="1:17" ht="15" x14ac:dyDescent="0.2">
      <c r="A65" s="594"/>
      <c r="B65" s="594"/>
      <c r="C65" s="594"/>
      <c r="D65" s="594"/>
      <c r="E65" s="594"/>
      <c r="F65" s="594"/>
      <c r="G65" s="594"/>
      <c r="H65" s="594"/>
      <c r="I65" s="595"/>
      <c r="J65" s="595"/>
      <c r="K65" s="595"/>
      <c r="L65" s="595"/>
      <c r="M65" s="595"/>
      <c r="N65" s="7"/>
      <c r="O65" s="7"/>
      <c r="P65" s="7"/>
      <c r="Q65" s="7"/>
    </row>
    <row r="66" spans="1:17" ht="15" x14ac:dyDescent="0.2">
      <c r="A66" s="594"/>
      <c r="B66" s="594"/>
      <c r="C66" s="594"/>
      <c r="D66" s="594"/>
      <c r="E66" s="594"/>
      <c r="F66" s="594"/>
      <c r="G66" s="594"/>
      <c r="H66" s="594"/>
      <c r="I66" s="595"/>
      <c r="J66" s="595"/>
      <c r="K66" s="595"/>
      <c r="L66" s="595"/>
      <c r="M66" s="595"/>
      <c r="N66" s="7"/>
      <c r="O66" s="7"/>
      <c r="P66" s="7"/>
      <c r="Q66" s="7"/>
    </row>
    <row r="67" spans="1:17" ht="15.75" x14ac:dyDescent="0.25">
      <c r="A67" s="476"/>
      <c r="B67" s="490"/>
      <c r="C67" s="491"/>
      <c r="D67" s="493"/>
      <c r="E67" s="441"/>
      <c r="F67" s="441"/>
      <c r="G67" s="441"/>
      <c r="H67" s="483"/>
      <c r="I67" s="595"/>
      <c r="J67" s="595"/>
      <c r="K67" s="595"/>
      <c r="L67" s="595"/>
      <c r="M67" s="595"/>
      <c r="N67" s="7"/>
      <c r="O67" s="7"/>
      <c r="P67" s="7"/>
      <c r="Q67" s="7"/>
    </row>
    <row r="68" spans="1:17" ht="15" x14ac:dyDescent="0.2">
      <c r="A68" s="441"/>
      <c r="B68" s="441"/>
      <c r="C68" s="441"/>
      <c r="D68" s="441"/>
      <c r="E68" s="441"/>
      <c r="F68" s="441"/>
      <c r="G68" s="441"/>
      <c r="H68" s="441"/>
      <c r="I68" s="595"/>
      <c r="J68" s="595"/>
      <c r="K68" s="595"/>
      <c r="L68" s="595"/>
      <c r="M68" s="595"/>
      <c r="N68" s="7"/>
      <c r="O68" s="7"/>
      <c r="P68" s="7"/>
      <c r="Q68" s="7"/>
    </row>
    <row r="69" spans="1:17" ht="15" x14ac:dyDescent="0.2">
      <c r="A69" s="441"/>
      <c r="B69" s="441"/>
      <c r="C69" s="441"/>
      <c r="D69" s="441"/>
      <c r="E69" s="441"/>
      <c r="F69" s="441"/>
      <c r="G69" s="441"/>
      <c r="H69" s="441"/>
      <c r="I69" s="595"/>
      <c r="J69" s="595"/>
      <c r="K69" s="595"/>
      <c r="L69" s="595"/>
      <c r="M69" s="595"/>
      <c r="N69" s="7"/>
      <c r="O69" s="7"/>
      <c r="P69" s="7"/>
      <c r="Q69" s="7"/>
    </row>
    <row r="70" spans="1:17" ht="15" x14ac:dyDescent="0.2">
      <c r="A70" s="441"/>
      <c r="B70" s="441"/>
      <c r="C70" s="441"/>
      <c r="D70" s="441"/>
      <c r="E70" s="441"/>
      <c r="F70" s="441"/>
      <c r="G70" s="441"/>
      <c r="H70" s="441"/>
      <c r="I70" s="595"/>
      <c r="J70" s="595"/>
      <c r="K70" s="595"/>
      <c r="L70" s="595"/>
      <c r="M70" s="595"/>
      <c r="N70" s="7"/>
      <c r="O70" s="7"/>
      <c r="P70" s="7"/>
      <c r="Q70" s="7"/>
    </row>
    <row r="71" spans="1:17" ht="15" x14ac:dyDescent="0.2">
      <c r="A71" s="441"/>
      <c r="B71" s="441"/>
      <c r="C71" s="441"/>
      <c r="D71" s="441"/>
      <c r="E71" s="441"/>
      <c r="F71" s="441"/>
      <c r="G71" s="441"/>
      <c r="H71" s="441"/>
      <c r="I71" s="595"/>
      <c r="J71" s="595"/>
      <c r="K71" s="595"/>
      <c r="L71" s="595"/>
      <c r="M71" s="595"/>
      <c r="N71" s="7"/>
      <c r="O71" s="7"/>
      <c r="P71" s="7"/>
      <c r="Q71" s="7"/>
    </row>
    <row r="72" spans="1:17" ht="15" x14ac:dyDescent="0.2">
      <c r="A72" s="441"/>
      <c r="B72" s="441"/>
      <c r="C72" s="441"/>
      <c r="D72" s="441"/>
      <c r="E72" s="436"/>
      <c r="F72" s="436"/>
      <c r="G72" s="436"/>
      <c r="H72" s="441"/>
      <c r="I72" s="595"/>
      <c r="J72" s="595"/>
      <c r="K72" s="595"/>
      <c r="L72" s="595"/>
      <c r="M72" s="595"/>
      <c r="N72" s="7"/>
      <c r="O72" s="7"/>
      <c r="P72" s="7"/>
      <c r="Q72" s="7"/>
    </row>
    <row r="73" spans="1:17" ht="15" x14ac:dyDescent="0.2">
      <c r="A73" s="436"/>
      <c r="B73" s="436"/>
      <c r="C73" s="436"/>
      <c r="D73" s="436"/>
      <c r="E73" s="436"/>
      <c r="F73" s="436"/>
      <c r="G73" s="436"/>
      <c r="H73" s="436"/>
      <c r="I73" s="594"/>
      <c r="J73" s="594"/>
      <c r="K73" s="594"/>
      <c r="L73" s="594"/>
      <c r="M73" s="594"/>
    </row>
    <row r="74" spans="1:17" ht="15" x14ac:dyDescent="0.2">
      <c r="A74" s="436"/>
      <c r="B74" s="436"/>
      <c r="C74" s="436"/>
      <c r="D74" s="436"/>
      <c r="E74" s="594"/>
      <c r="F74" s="594"/>
      <c r="G74" s="594"/>
      <c r="H74" s="594"/>
      <c r="I74" s="594"/>
      <c r="J74" s="594"/>
      <c r="K74" s="594"/>
      <c r="L74" s="594"/>
      <c r="M74" s="594"/>
    </row>
    <row r="75" spans="1:17" ht="15" x14ac:dyDescent="0.2">
      <c r="A75" s="594"/>
      <c r="B75" s="594"/>
      <c r="C75" s="594"/>
      <c r="D75" s="594"/>
      <c r="E75" s="594"/>
      <c r="F75" s="594"/>
      <c r="G75" s="594"/>
      <c r="H75" s="594"/>
      <c r="I75" s="594"/>
      <c r="J75" s="594"/>
      <c r="K75" s="594"/>
      <c r="L75" s="594"/>
      <c r="M75" s="594"/>
    </row>
    <row r="76" spans="1:17" ht="15" x14ac:dyDescent="0.2">
      <c r="A76" s="594"/>
      <c r="B76" s="594"/>
      <c r="C76" s="594"/>
      <c r="D76" s="594"/>
      <c r="E76" s="594"/>
      <c r="F76" s="594"/>
      <c r="G76" s="594"/>
      <c r="H76" s="594"/>
      <c r="I76" s="594"/>
      <c r="J76" s="594"/>
      <c r="K76" s="594"/>
      <c r="L76" s="594"/>
      <c r="M76" s="594"/>
    </row>
    <row r="77" spans="1:17" ht="15" x14ac:dyDescent="0.2">
      <c r="A77" s="594"/>
      <c r="B77" s="594"/>
      <c r="C77" s="594"/>
      <c r="D77" s="594"/>
      <c r="E77" s="594"/>
      <c r="F77" s="594"/>
      <c r="G77" s="594"/>
      <c r="H77" s="594"/>
      <c r="I77" s="594"/>
      <c r="J77" s="594"/>
      <c r="K77" s="594"/>
      <c r="L77" s="594"/>
      <c r="M77" s="594"/>
    </row>
    <row r="78" spans="1:17" ht="15" x14ac:dyDescent="0.2">
      <c r="A78" s="594"/>
      <c r="B78" s="594"/>
      <c r="C78" s="594"/>
      <c r="D78" s="594"/>
      <c r="E78" s="594"/>
      <c r="F78" s="594"/>
      <c r="G78" s="594"/>
      <c r="H78" s="594"/>
      <c r="I78" s="594"/>
      <c r="J78" s="594"/>
      <c r="K78" s="594"/>
      <c r="L78" s="594"/>
      <c r="M78" s="594"/>
    </row>
    <row r="79" spans="1:17" ht="15" x14ac:dyDescent="0.2">
      <c r="A79" s="594"/>
      <c r="B79" s="594"/>
      <c r="C79" s="594"/>
      <c r="D79" s="594"/>
      <c r="E79" s="594"/>
      <c r="F79" s="594"/>
      <c r="G79" s="594"/>
      <c r="H79" s="594"/>
      <c r="I79" s="594"/>
      <c r="J79" s="594"/>
      <c r="K79" s="594"/>
      <c r="L79" s="594"/>
      <c r="M79" s="594"/>
    </row>
    <row r="80" spans="1:17" ht="15" x14ac:dyDescent="0.2">
      <c r="A80" s="594"/>
      <c r="B80" s="594"/>
      <c r="C80" s="594"/>
      <c r="D80" s="594"/>
      <c r="E80" s="594"/>
      <c r="F80" s="594"/>
      <c r="G80" s="594"/>
      <c r="H80" s="594"/>
      <c r="I80" s="594"/>
      <c r="J80" s="594"/>
      <c r="K80" s="594"/>
      <c r="L80" s="594"/>
      <c r="M80" s="594"/>
    </row>
    <row r="81" spans="1:13" ht="15" x14ac:dyDescent="0.2">
      <c r="A81" s="594"/>
      <c r="B81" s="594"/>
      <c r="C81" s="594"/>
      <c r="D81" s="594"/>
      <c r="E81" s="594"/>
      <c r="F81" s="594"/>
      <c r="G81" s="594"/>
      <c r="H81" s="594"/>
      <c r="I81" s="594"/>
      <c r="J81" s="594"/>
      <c r="K81" s="594"/>
      <c r="L81" s="594"/>
      <c r="M81" s="594"/>
    </row>
    <row r="82" spans="1:13" x14ac:dyDescent="0.2"/>
    <row r="83" spans="1:13" x14ac:dyDescent="0.2"/>
    <row r="84" spans="1:13" x14ac:dyDescent="0.2"/>
    <row r="85" spans="1:13" x14ac:dyDescent="0.2"/>
    <row r="86" spans="1:13" x14ac:dyDescent="0.2"/>
    <row r="87" spans="1:13" x14ac:dyDescent="0.2"/>
    <row r="88" spans="1:13" x14ac:dyDescent="0.2"/>
    <row r="89" spans="1:13" x14ac:dyDescent="0.2"/>
    <row r="90" spans="1:13" x14ac:dyDescent="0.2"/>
    <row r="91" spans="1:13" x14ac:dyDescent="0.2"/>
    <row r="92" spans="1:13" x14ac:dyDescent="0.2"/>
    <row r="93" spans="1:13" x14ac:dyDescent="0.2"/>
    <row r="94" spans="1:13" x14ac:dyDescent="0.2"/>
    <row r="95" spans="1:13" x14ac:dyDescent="0.2"/>
    <row r="96" spans="1:13" x14ac:dyDescent="0.2"/>
    <row r="97" x14ac:dyDescent="0.2"/>
    <row r="98" x14ac:dyDescent="0.2"/>
    <row r="99" x14ac:dyDescent="0.2"/>
    <row r="100" x14ac:dyDescent="0.2"/>
    <row r="101" x14ac:dyDescent="0.2"/>
    <row r="102" x14ac:dyDescent="0.2"/>
    <row r="103" x14ac:dyDescent="0.2"/>
    <row r="104" x14ac:dyDescent="0.2"/>
    <row r="105" x14ac:dyDescent="0.2"/>
  </sheetData>
  <sheetProtection algorithmName="SHA-512" hashValue="LUfnVtt83eICAdbg2pJZG6pvNj8LcyZBwFw4IdHyII8pbKcYdw7mlRGWsl5PE8hRNx9ehNDjLsHputB0D6KTEA==" saltValue="fT+ZJOjeyzwYUhiMd4ZTEQ==" spinCount="100000" sheet="1" objects="1" scenarios="1"/>
  <mergeCells count="2">
    <mergeCell ref="A1:U3"/>
    <mergeCell ref="A4:Y4"/>
  </mergeCells>
  <dataValidations count="4">
    <dataValidation type="whole" allowBlank="1" showInputMessage="1" showErrorMessage="1" errorTitle="ADC" error="Input a valid ADC value for your ADC range" promptTitle="ADC" prompt="Input a valid ADC value for your ADC range" sqref="B31" xr:uid="{00000000-0002-0000-0C00-000000000000}">
      <formula1>0</formula1>
      <formula2>430000000000</formula2>
    </dataValidation>
    <dataValidation type="decimal" allowBlank="1" showInputMessage="1" showErrorMessage="1" errorTitle="VREF" error="Enter a valid voltage between 0.8V and 5.5V" promptTitle="VREF" prompt="Enter a valid voltage between 0.8V and 5.5V" sqref="B44 B26 B35" xr:uid="{00000000-0002-0000-0C00-000001000000}">
      <formula1>0.8</formula1>
      <formula2>5.5</formula2>
    </dataValidation>
    <dataValidation allowBlank="1" showInputMessage="1" showErrorMessage="1" errorTitle="Resistance" error="Enter a value between min and max resistance for your device." promptTitle="Resistance" prompt="Enter a value between min and max resistance for your device." sqref="B54:B55 G54:G55" xr:uid="{00000000-0002-0000-0C00-000002000000}"/>
    <dataValidation type="decimal" allowBlank="1" showInputMessage="1" showErrorMessage="1" errorTitle="Minimum operating temperature" error="Select a value between -40C and 0C" promptTitle="Minimum operating temperature" prompt="Select a value between -40C and 0C" sqref="G53" xr:uid="{00000000-0002-0000-0C00-000004000000}">
      <formula1>-40</formula1>
      <formula2>0</formula2>
    </dataValidation>
  </dataValidations>
  <hyperlinks>
    <hyperlink ref="A5" location="Main!K51" display="Return to Menu" xr:uid="{00000000-0004-0000-0C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decimal" allowBlank="1" showInputMessage="1" showErrorMessage="1" errorTitle="Maximum operating temperature" error="Select a value between 1C and the maximum temperature of the selected device. " promptTitle="Maximum operating temperature" prompt="Select a value between 1C and the maximum temperature of the selected device. " xr:uid="{00000000-0002-0000-0C00-000006000000}">
          <x14:formula1>
            <xm:f>1</xm:f>
          </x14:formula1>
          <x14:formula2>
            <xm:f>VLOOKUP(Main!$N$22,Coefficients!$E$2:$H$28,4,FALSE)</xm:f>
          </x14:formula2>
          <xm:sqref>B53</xm:sqref>
        </x14:dataValidation>
        <x14:dataValidation type="decimal" allowBlank="1" showInputMessage="1" showErrorMessage="1" errorTitle="Divider Voltage" error="Enter a value betwen the minimum and maximum Vdc values in column F of the &quot;NTC Thermistor Comparison&quot; sheet_x000a_" promptTitle="Divider Voltage" prompt="Enter a value betwen the minimum and maximum Vdc values in column F of the &quot;NTC Thermistor Comparison&quot; sheet_x000a_" xr:uid="{00000000-0002-0000-0C00-000007000000}">
          <x14:formula1>
            <xm:f>('NTC Thermistor Comparison'!F33)-0.01</xm:f>
          </x14:formula1>
          <x14:formula2>
            <xm:f>IF((VLOOKUP(Main!$N$22,Coefficients!$E$2:$H$28,4,FALSE)) = 125,'NTC Thermistor Comparison'!F198+0.01,'NTC Thermistor Comparison'!F223+0.01)</xm:f>
          </x14:formula2>
          <xm:sqref>B40</xm:sqref>
        </x14:dataValidation>
        <x14:dataValidation type="whole" allowBlank="1" showInputMessage="1" showErrorMessage="1" errorTitle="Resistance" error="Enter a value between min and max resistance for your device." promptTitle="Resistance" prompt="Enter a value between min and max resistance for your device." xr:uid="{00000000-0002-0000-0C00-000008000000}">
          <x14:formula1>
            <xm:f>VLOOKUP(-40,'Device Resistance Tables'!$B$20:$F$20,2,FALSE)</xm:f>
          </x14:formula1>
          <x14:formula2>
            <xm:f>VLOOKUP(VLOOKUP(Main!$N$22,Coefficients!$E$2:$H$28,4,FALSE),'Device Resistance Tables'!B68:F193,4,FALSE)</xm:f>
          </x14:formula2>
          <xm:sqref>B22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J75"/>
  <sheetViews>
    <sheetView showGridLines="0" zoomScale="80" zoomScaleNormal="80" workbookViewId="0">
      <selection activeCell="A5" sqref="A5"/>
    </sheetView>
  </sheetViews>
  <sheetFormatPr defaultColWidth="0" defaultRowHeight="12.75" zeroHeight="1" x14ac:dyDescent="0.2"/>
  <cols>
    <col min="1" max="1" width="16.140625" style="3" customWidth="1"/>
    <col min="2" max="2" width="24.7109375" style="3" customWidth="1"/>
    <col min="3" max="25" width="13.7109375" style="3" customWidth="1"/>
    <col min="26" max="36" width="0" style="3" hidden="1" customWidth="1"/>
    <col min="37" max="16384" width="9.140625" style="3" hidden="1"/>
  </cols>
  <sheetData>
    <row r="1" spans="1:36" s="2" customFormat="1" x14ac:dyDescent="0.2">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ht="15" x14ac:dyDescent="0.2">
      <c r="A5" s="420" t="s">
        <v>75</v>
      </c>
    </row>
    <row r="6" spans="1:36" s="220" customFormat="1" ht="15.75" x14ac:dyDescent="0.25">
      <c r="A6" s="257"/>
      <c r="B6" s="258"/>
      <c r="C6" s="259"/>
      <c r="D6" s="259"/>
      <c r="F6" s="243"/>
    </row>
    <row r="7" spans="1:36" s="220" customFormat="1" ht="15.75" x14ac:dyDescent="0.25">
      <c r="A7" s="257"/>
      <c r="B7" s="258"/>
      <c r="C7" s="259"/>
      <c r="D7" s="259"/>
      <c r="F7" s="243"/>
    </row>
    <row r="8" spans="1:36" s="220" customFormat="1" ht="15.75" x14ac:dyDescent="0.25">
      <c r="A8" s="257"/>
      <c r="B8" s="258"/>
      <c r="C8" s="259"/>
      <c r="D8" s="259"/>
      <c r="F8" s="243"/>
    </row>
    <row r="9" spans="1:36" s="220" customFormat="1" ht="15.75" x14ac:dyDescent="0.25">
      <c r="A9" s="257"/>
      <c r="B9" s="258"/>
      <c r="C9" s="259"/>
      <c r="D9" s="259"/>
      <c r="F9" s="243"/>
    </row>
    <row r="10" spans="1:36" s="220" customFormat="1" ht="15.75" x14ac:dyDescent="0.25">
      <c r="A10" s="257"/>
      <c r="B10" s="258"/>
      <c r="C10" s="259"/>
      <c r="D10" s="259"/>
      <c r="F10" s="243"/>
    </row>
    <row r="11" spans="1:36" s="220" customFormat="1" ht="15.75" x14ac:dyDescent="0.25">
      <c r="A11" s="257"/>
      <c r="B11" s="258"/>
      <c r="C11" s="259"/>
      <c r="D11" s="259"/>
      <c r="F11" s="243"/>
    </row>
    <row r="12" spans="1:36" s="220" customFormat="1" ht="15.75" x14ac:dyDescent="0.25">
      <c r="A12" s="257"/>
      <c r="B12" s="258"/>
      <c r="C12" s="259"/>
      <c r="D12" s="259"/>
      <c r="F12" s="243"/>
    </row>
    <row r="13" spans="1:36" s="220" customFormat="1" ht="15.75" x14ac:dyDescent="0.25">
      <c r="A13" s="257"/>
      <c r="B13" s="258"/>
      <c r="C13" s="259"/>
      <c r="D13" s="259"/>
      <c r="F13" s="243"/>
    </row>
    <row r="14" spans="1:36" s="220" customFormat="1" ht="15.75" x14ac:dyDescent="0.25">
      <c r="A14" s="257"/>
      <c r="B14" s="258"/>
      <c r="C14" s="259"/>
      <c r="D14" s="259"/>
      <c r="F14" s="243"/>
    </row>
    <row r="15" spans="1:36" s="220" customFormat="1" ht="15.75" x14ac:dyDescent="0.25">
      <c r="A15" s="257"/>
      <c r="B15" s="258"/>
      <c r="C15" s="259"/>
      <c r="D15" s="259"/>
      <c r="F15" s="243"/>
    </row>
    <row r="16" spans="1:36" s="220" customFormat="1" ht="15.75" x14ac:dyDescent="0.25">
      <c r="A16" s="257"/>
      <c r="B16" s="258"/>
      <c r="C16" s="259"/>
      <c r="D16" s="259"/>
      <c r="F16" s="243"/>
    </row>
    <row r="17" spans="1:15" s="220" customFormat="1" ht="15.75" x14ac:dyDescent="0.25">
      <c r="A17" s="257"/>
      <c r="B17" s="258"/>
      <c r="C17" s="259"/>
      <c r="D17" s="259"/>
      <c r="F17" s="243"/>
    </row>
    <row r="18" spans="1:15" s="220" customFormat="1" ht="15.75" x14ac:dyDescent="0.25">
      <c r="A18" s="257"/>
      <c r="B18" s="258"/>
      <c r="C18" s="259"/>
      <c r="D18" s="259"/>
      <c r="F18" s="243"/>
    </row>
    <row r="19" spans="1:15" s="220" customFormat="1" ht="15.75" x14ac:dyDescent="0.25">
      <c r="A19" s="257"/>
      <c r="B19" s="258"/>
      <c r="C19" s="259"/>
      <c r="D19" s="259"/>
      <c r="F19" s="243"/>
    </row>
    <row r="20" spans="1:15" s="220" customFormat="1" ht="15.75" x14ac:dyDescent="0.25">
      <c r="A20" s="257"/>
      <c r="B20" s="258"/>
      <c r="C20" s="259"/>
      <c r="D20" s="259"/>
      <c r="F20" s="243"/>
    </row>
    <row r="21" spans="1:15" s="220" customFormat="1" x14ac:dyDescent="0.2">
      <c r="F21" s="243"/>
    </row>
    <row r="22" spans="1:15" s="220" customFormat="1" x14ac:dyDescent="0.2">
      <c r="A22" s="248"/>
      <c r="B22" s="243"/>
      <c r="C22" s="243"/>
      <c r="D22" s="243"/>
      <c r="F22" s="243"/>
    </row>
    <row r="23" spans="1:15" s="220" customFormat="1" x14ac:dyDescent="0.2">
      <c r="D23" s="243"/>
      <c r="F23" s="243"/>
    </row>
    <row r="24" spans="1:15" s="220" customFormat="1" ht="15.75" x14ac:dyDescent="0.25">
      <c r="A24" s="433" t="s">
        <v>300</v>
      </c>
      <c r="B24" s="254" t="str">
        <f>Main!$N$22</f>
        <v>TMP6131DECR</v>
      </c>
      <c r="C24" s="125"/>
      <c r="D24" s="259"/>
      <c r="E24" s="125"/>
      <c r="F24" s="259"/>
      <c r="G24" s="125"/>
      <c r="H24" s="125"/>
      <c r="I24" s="125"/>
      <c r="J24" s="125"/>
      <c r="K24" s="125"/>
      <c r="L24" s="125"/>
      <c r="M24" s="125"/>
      <c r="N24" s="125"/>
      <c r="O24" s="125"/>
    </row>
    <row r="25" spans="1:15" s="220" customFormat="1" ht="15.75" x14ac:dyDescent="0.25">
      <c r="A25" s="437" t="s">
        <v>206</v>
      </c>
      <c r="B25" s="282">
        <f>Main!$N$25</f>
        <v>5</v>
      </c>
      <c r="C25" s="242" t="s">
        <v>2</v>
      </c>
      <c r="D25" s="259"/>
      <c r="E25" s="125"/>
      <c r="F25" s="259"/>
      <c r="G25" s="125"/>
      <c r="H25" s="125"/>
      <c r="I25" s="125"/>
      <c r="J25" s="125"/>
      <c r="K25" s="125"/>
      <c r="L25" s="125"/>
      <c r="M25" s="125"/>
      <c r="N25" s="125"/>
      <c r="O25" s="125"/>
    </row>
    <row r="26" spans="1:15" s="220" customFormat="1" ht="15.75" x14ac:dyDescent="0.25">
      <c r="A26" s="635"/>
      <c r="B26" s="511"/>
      <c r="C26" s="467"/>
      <c r="D26" s="125"/>
      <c r="E26" s="125"/>
      <c r="F26" s="259"/>
      <c r="G26" s="125"/>
      <c r="H26" s="125"/>
      <c r="I26" s="125"/>
      <c r="J26" s="125"/>
      <c r="K26" s="125"/>
      <c r="L26" s="125"/>
      <c r="M26" s="125"/>
      <c r="N26" s="125"/>
      <c r="O26" s="125"/>
    </row>
    <row r="27" spans="1:15" ht="15" x14ac:dyDescent="0.2">
      <c r="A27" s="103"/>
      <c r="B27" s="636"/>
      <c r="C27" s="636"/>
      <c r="D27" s="636"/>
      <c r="E27" s="103"/>
      <c r="F27" s="636"/>
      <c r="G27" s="103"/>
      <c r="H27" s="103"/>
      <c r="I27" s="103"/>
      <c r="J27" s="103"/>
      <c r="K27" s="103"/>
      <c r="L27" s="103"/>
      <c r="M27" s="103"/>
      <c r="N27" s="103"/>
      <c r="O27" s="103"/>
    </row>
    <row r="28" spans="1:15" ht="15.75" x14ac:dyDescent="0.25">
      <c r="A28" s="103"/>
      <c r="B28" s="637" t="s">
        <v>88</v>
      </c>
      <c r="C28" s="636"/>
      <c r="D28" s="636"/>
      <c r="E28" s="103"/>
      <c r="F28" s="636"/>
      <c r="G28" s="103"/>
      <c r="H28" s="103"/>
      <c r="I28" s="103"/>
      <c r="J28" s="103"/>
      <c r="K28" s="103"/>
      <c r="L28" s="103"/>
      <c r="M28" s="103"/>
      <c r="N28" s="103"/>
      <c r="O28" s="103"/>
    </row>
    <row r="29" spans="1:15" ht="16.5" thickBot="1" x14ac:dyDescent="0.3">
      <c r="A29" s="413" t="s">
        <v>251</v>
      </c>
      <c r="B29" s="638">
        <v>10000</v>
      </c>
      <c r="C29" s="639" t="s">
        <v>1</v>
      </c>
      <c r="D29" s="636" t="s">
        <v>323</v>
      </c>
      <c r="E29" s="103"/>
      <c r="F29" s="636"/>
      <c r="G29" s="103"/>
      <c r="H29" s="103"/>
      <c r="I29" s="103"/>
      <c r="J29" s="103"/>
      <c r="K29" s="103"/>
      <c r="L29" s="103"/>
      <c r="M29" s="103"/>
      <c r="N29" s="103"/>
      <c r="O29" s="103"/>
    </row>
    <row r="30" spans="1:15" ht="16.5" thickBot="1" x14ac:dyDescent="0.3">
      <c r="A30" s="413" t="s">
        <v>89</v>
      </c>
      <c r="B30" s="640">
        <v>1E-3</v>
      </c>
      <c r="C30" s="641"/>
      <c r="D30" s="103" t="s">
        <v>90</v>
      </c>
      <c r="E30" s="103"/>
      <c r="F30" s="103"/>
      <c r="G30" s="103" t="s">
        <v>286</v>
      </c>
      <c r="H30" s="103"/>
      <c r="I30" s="103"/>
      <c r="J30" s="103"/>
      <c r="K30" s="103"/>
      <c r="L30" s="103"/>
      <c r="M30" s="103"/>
      <c r="N30" s="103"/>
      <c r="O30" s="103"/>
    </row>
    <row r="31" spans="1:15" ht="16.5" thickBot="1" x14ac:dyDescent="0.3">
      <c r="A31" s="413" t="s">
        <v>91</v>
      </c>
      <c r="B31" s="642">
        <v>10</v>
      </c>
      <c r="C31" s="641" t="s">
        <v>92</v>
      </c>
      <c r="D31" s="103" t="s">
        <v>514</v>
      </c>
      <c r="E31" s="103"/>
      <c r="F31" s="103"/>
      <c r="G31" s="103"/>
      <c r="H31" s="103"/>
      <c r="I31" s="103"/>
      <c r="J31" s="103"/>
      <c r="K31" s="103"/>
      <c r="L31" s="103"/>
      <c r="M31" s="103"/>
      <c r="N31" s="103"/>
      <c r="O31" s="103"/>
    </row>
    <row r="32" spans="1:15" ht="16.5" thickBot="1" x14ac:dyDescent="0.3">
      <c r="A32" s="413" t="s">
        <v>93</v>
      </c>
      <c r="B32" s="642">
        <v>125</v>
      </c>
      <c r="C32" s="639" t="s">
        <v>221</v>
      </c>
      <c r="D32" s="636" t="s">
        <v>94</v>
      </c>
      <c r="E32" s="103"/>
      <c r="F32" s="103"/>
      <c r="G32" s="103"/>
      <c r="H32" s="103"/>
      <c r="I32" s="103"/>
      <c r="J32" s="103"/>
      <c r="K32" s="103"/>
      <c r="L32" s="103"/>
      <c r="M32" s="103"/>
      <c r="N32" s="103"/>
      <c r="O32" s="103"/>
    </row>
    <row r="33" spans="1:15" ht="16.5" thickBot="1" x14ac:dyDescent="0.3">
      <c r="A33" s="413" t="s">
        <v>95</v>
      </c>
      <c r="B33" s="642">
        <v>6.3E-2</v>
      </c>
      <c r="C33" s="639" t="s">
        <v>96</v>
      </c>
      <c r="D33" s="636" t="s">
        <v>97</v>
      </c>
      <c r="E33" s="103"/>
      <c r="F33" s="103"/>
      <c r="G33" s="103"/>
      <c r="H33" s="103"/>
      <c r="I33" s="103"/>
      <c r="J33" s="103"/>
      <c r="K33" s="103"/>
      <c r="L33" s="103"/>
      <c r="M33" s="103"/>
      <c r="N33" s="103"/>
      <c r="O33" s="103"/>
    </row>
    <row r="34" spans="1:15" ht="16.5" thickBot="1" x14ac:dyDescent="0.3">
      <c r="A34" s="413" t="s">
        <v>98</v>
      </c>
      <c r="B34" s="642">
        <v>130</v>
      </c>
      <c r="C34" s="639" t="s">
        <v>221</v>
      </c>
      <c r="D34" s="636" t="s">
        <v>114</v>
      </c>
      <c r="E34" s="103"/>
      <c r="F34" s="103"/>
      <c r="G34" s="103"/>
      <c r="H34" s="103"/>
      <c r="I34" s="103"/>
      <c r="J34" s="103"/>
      <c r="K34" s="103"/>
      <c r="L34" s="103"/>
      <c r="M34" s="103"/>
      <c r="N34" s="103"/>
      <c r="O34" s="103"/>
    </row>
    <row r="35" spans="1:15" ht="15" x14ac:dyDescent="0.2">
      <c r="A35" s="103"/>
      <c r="B35" s="103"/>
      <c r="C35" s="103"/>
      <c r="D35" s="103"/>
      <c r="E35" s="103"/>
      <c r="F35" s="103"/>
      <c r="G35" s="103"/>
      <c r="H35" s="103"/>
      <c r="I35" s="103"/>
      <c r="J35" s="103"/>
      <c r="K35" s="103"/>
      <c r="L35" s="103"/>
      <c r="M35" s="103"/>
      <c r="N35" s="103"/>
      <c r="O35" s="103"/>
    </row>
    <row r="36" spans="1:15" ht="15" x14ac:dyDescent="0.2">
      <c r="A36" s="103"/>
      <c r="B36" s="103"/>
      <c r="C36" s="103"/>
      <c r="D36" s="103"/>
      <c r="E36" s="103"/>
      <c r="F36" s="103"/>
      <c r="G36" s="103"/>
      <c r="H36" s="103"/>
      <c r="I36" s="103"/>
      <c r="J36" s="103"/>
      <c r="K36" s="103"/>
      <c r="L36" s="103"/>
      <c r="M36" s="103"/>
      <c r="N36" s="103"/>
      <c r="O36" s="103"/>
    </row>
    <row r="37" spans="1:15" ht="15.75" x14ac:dyDescent="0.25">
      <c r="A37" s="103"/>
      <c r="B37" s="643"/>
      <c r="C37" s="644" t="s">
        <v>233</v>
      </c>
      <c r="D37" s="643"/>
      <c r="E37" s="645" t="s">
        <v>224</v>
      </c>
      <c r="F37" s="643"/>
      <c r="G37" s="645" t="s">
        <v>233</v>
      </c>
      <c r="H37" s="103"/>
      <c r="I37" s="103"/>
      <c r="J37" s="103"/>
      <c r="K37" s="103"/>
      <c r="L37" s="103"/>
      <c r="M37" s="103"/>
      <c r="N37" s="103"/>
      <c r="O37" s="103"/>
    </row>
    <row r="38" spans="1:15" ht="15.75" x14ac:dyDescent="0.25">
      <c r="A38" s="103"/>
      <c r="B38" s="646" t="s">
        <v>99</v>
      </c>
      <c r="C38" s="647" t="s">
        <v>100</v>
      </c>
      <c r="D38" s="647" t="s">
        <v>101</v>
      </c>
      <c r="E38" s="647" t="s">
        <v>102</v>
      </c>
      <c r="F38" s="647" t="s">
        <v>103</v>
      </c>
      <c r="G38" s="647" t="s">
        <v>104</v>
      </c>
      <c r="H38" s="103"/>
      <c r="I38" s="103"/>
      <c r="J38" s="103"/>
      <c r="K38" s="103"/>
      <c r="L38" s="103"/>
      <c r="M38" s="103"/>
      <c r="N38" s="103"/>
      <c r="O38" s="103"/>
    </row>
    <row r="39" spans="1:15" ht="15" x14ac:dyDescent="0.2">
      <c r="A39" s="103"/>
      <c r="B39" s="648">
        <f>B29*B30</f>
        <v>10</v>
      </c>
      <c r="C39" s="649">
        <f>D39-B44</f>
        <v>9980</v>
      </c>
      <c r="D39" s="649">
        <f>E39-B39</f>
        <v>9990</v>
      </c>
      <c r="E39" s="649">
        <f>B29</f>
        <v>10000</v>
      </c>
      <c r="F39" s="649">
        <f>E39+B39</f>
        <v>10010</v>
      </c>
      <c r="G39" s="649">
        <f>F39+B44</f>
        <v>10020</v>
      </c>
      <c r="H39" s="103"/>
      <c r="I39" s="103"/>
      <c r="J39" s="103"/>
      <c r="K39" s="103"/>
      <c r="L39" s="103"/>
      <c r="M39" s="103"/>
      <c r="N39" s="103"/>
      <c r="O39" s="103"/>
    </row>
    <row r="40" spans="1:15" ht="15.75" x14ac:dyDescent="0.25">
      <c r="A40" s="413" t="s">
        <v>515</v>
      </c>
      <c r="B40" s="125"/>
      <c r="C40" s="650">
        <f>1-(C39/E39)</f>
        <v>2.0000000000000018E-3</v>
      </c>
      <c r="D40" s="125"/>
      <c r="E40" s="125"/>
      <c r="F40" s="125"/>
      <c r="G40" s="650">
        <f>1-(E39/G39)</f>
        <v>1.9960079840319889E-3</v>
      </c>
      <c r="H40" s="103"/>
      <c r="I40" s="103"/>
      <c r="J40" s="103"/>
      <c r="K40" s="103"/>
      <c r="L40" s="103"/>
      <c r="M40" s="103"/>
      <c r="N40" s="103"/>
      <c r="O40" s="103"/>
    </row>
    <row r="41" spans="1:15" ht="15" x14ac:dyDescent="0.2">
      <c r="A41" s="103"/>
      <c r="B41" s="125"/>
      <c r="C41" s="125"/>
      <c r="D41" s="125"/>
      <c r="E41" s="125"/>
      <c r="F41" s="125"/>
      <c r="G41" s="125"/>
      <c r="H41" s="103"/>
      <c r="I41" s="103"/>
      <c r="J41" s="103"/>
      <c r="K41" s="103"/>
      <c r="L41" s="103"/>
      <c r="M41" s="103"/>
      <c r="N41" s="103"/>
      <c r="O41" s="103"/>
    </row>
    <row r="42" spans="1:15" ht="31.15" customHeight="1" x14ac:dyDescent="0.25">
      <c r="A42" s="103"/>
      <c r="B42" s="144" t="s">
        <v>92</v>
      </c>
      <c r="C42" s="125"/>
      <c r="D42" s="125"/>
      <c r="E42" s="125"/>
      <c r="F42" s="125"/>
      <c r="G42" s="125"/>
      <c r="H42" s="103"/>
      <c r="I42" s="651" t="s">
        <v>512</v>
      </c>
      <c r="J42" s="651" t="s">
        <v>513</v>
      </c>
      <c r="K42" s="103"/>
      <c r="L42" s="103"/>
      <c r="M42" s="103"/>
      <c r="N42" s="103"/>
      <c r="O42" s="103"/>
    </row>
    <row r="43" spans="1:15" ht="15" x14ac:dyDescent="0.2">
      <c r="A43" s="103"/>
      <c r="B43" s="648">
        <f>B29/1000000*B31</f>
        <v>0.1</v>
      </c>
      <c r="C43" s="652" t="s">
        <v>1</v>
      </c>
      <c r="D43" s="125" t="s">
        <v>105</v>
      </c>
      <c r="E43" s="125"/>
      <c r="F43" s="125"/>
      <c r="G43" s="125"/>
      <c r="H43" s="103"/>
      <c r="I43" s="653">
        <f>C39/1000000*B31/-1</f>
        <v>-9.98E-2</v>
      </c>
      <c r="J43" s="653">
        <f>G39/1000000*B31</f>
        <v>0.1002</v>
      </c>
      <c r="K43" s="652" t="s">
        <v>1</v>
      </c>
      <c r="L43" s="103"/>
      <c r="M43" s="103"/>
      <c r="N43" s="103"/>
      <c r="O43" s="103"/>
    </row>
    <row r="44" spans="1:15" ht="15" x14ac:dyDescent="0.2">
      <c r="A44" s="103"/>
      <c r="B44" s="648">
        <f>(B32-25)*B43</f>
        <v>10</v>
      </c>
      <c r="C44" s="652" t="s">
        <v>1</v>
      </c>
      <c r="D44" s="125" t="s">
        <v>106</v>
      </c>
      <c r="E44" s="125"/>
      <c r="F44" s="125"/>
      <c r="G44" s="125"/>
      <c r="H44" s="103"/>
      <c r="I44" s="649">
        <f>((B32-25)*I43)</f>
        <v>-9.98</v>
      </c>
      <c r="J44" s="649">
        <f>(B32-25)*J43</f>
        <v>10.02</v>
      </c>
      <c r="K44" s="652" t="s">
        <v>1</v>
      </c>
      <c r="L44" s="103"/>
      <c r="M44" s="103"/>
      <c r="N44" s="103"/>
      <c r="O44" s="103"/>
    </row>
    <row r="45" spans="1:15" ht="15" x14ac:dyDescent="0.2">
      <c r="A45" s="103"/>
      <c r="B45" s="125"/>
      <c r="C45" s="125"/>
      <c r="D45" s="125"/>
      <c r="E45" s="125"/>
      <c r="F45" s="125"/>
      <c r="G45" s="125"/>
      <c r="H45" s="103"/>
      <c r="I45" s="103"/>
      <c r="J45" s="103"/>
      <c r="K45" s="103"/>
      <c r="L45" s="103"/>
      <c r="M45" s="103"/>
      <c r="N45" s="103"/>
      <c r="O45" s="103"/>
    </row>
    <row r="46" spans="1:15" ht="15" x14ac:dyDescent="0.2">
      <c r="A46" s="103"/>
      <c r="B46" s="125"/>
      <c r="C46" s="125"/>
      <c r="D46" s="125"/>
      <c r="E46" s="125"/>
      <c r="F46" s="125"/>
      <c r="G46" s="125"/>
      <c r="H46" s="103"/>
      <c r="I46" s="103"/>
      <c r="J46" s="103"/>
      <c r="K46" s="103"/>
      <c r="L46" s="103"/>
      <c r="M46" s="103"/>
      <c r="N46" s="103"/>
      <c r="O46" s="103"/>
    </row>
    <row r="47" spans="1:15" ht="15" x14ac:dyDescent="0.2">
      <c r="A47" s="103"/>
      <c r="B47" s="125"/>
      <c r="C47" s="125"/>
      <c r="D47" s="125"/>
      <c r="E47" s="125"/>
      <c r="F47" s="125"/>
      <c r="G47" s="125"/>
      <c r="H47" s="103"/>
      <c r="I47" s="103"/>
      <c r="J47" s="103"/>
      <c r="K47" s="103"/>
      <c r="L47" s="103"/>
      <c r="M47" s="103"/>
      <c r="N47" s="103"/>
      <c r="O47" s="103"/>
    </row>
    <row r="48" spans="1:15" ht="15.75" x14ac:dyDescent="0.25">
      <c r="A48" s="413" t="s">
        <v>107</v>
      </c>
      <c r="B48" s="648">
        <f>B25*(B25/B29)</f>
        <v>2.5000000000000001E-3</v>
      </c>
      <c r="C48" s="654" t="s">
        <v>96</v>
      </c>
      <c r="D48" s="259" t="s">
        <v>108</v>
      </c>
      <c r="E48" s="125"/>
      <c r="F48" s="125"/>
      <c r="G48" s="125"/>
      <c r="H48" s="103"/>
      <c r="I48" s="103"/>
      <c r="J48" s="103"/>
      <c r="K48" s="103"/>
      <c r="L48" s="103"/>
      <c r="M48" s="103"/>
      <c r="N48" s="103"/>
      <c r="O48" s="103"/>
    </row>
    <row r="49" spans="1:15" ht="15.75" x14ac:dyDescent="0.25">
      <c r="A49" s="413" t="s">
        <v>109</v>
      </c>
      <c r="B49" s="655">
        <f>(B34*B33)*B48</f>
        <v>2.0475E-2</v>
      </c>
      <c r="C49" s="652" t="s">
        <v>221</v>
      </c>
      <c r="D49" s="125" t="s">
        <v>110</v>
      </c>
      <c r="E49" s="125"/>
      <c r="F49" s="125"/>
      <c r="G49" s="125"/>
      <c r="H49" s="103"/>
      <c r="I49" s="103"/>
      <c r="J49" s="103"/>
      <c r="K49" s="103"/>
      <c r="L49" s="103"/>
      <c r="M49" s="103"/>
      <c r="N49" s="103"/>
      <c r="O49" s="103"/>
    </row>
    <row r="50" spans="1:15" ht="15.75" x14ac:dyDescent="0.25">
      <c r="A50" s="413" t="s">
        <v>111</v>
      </c>
      <c r="B50" s="648">
        <f>B43*B49</f>
        <v>2.0475000000000003E-3</v>
      </c>
      <c r="C50" s="652" t="s">
        <v>1</v>
      </c>
      <c r="D50" s="125" t="s">
        <v>112</v>
      </c>
      <c r="E50" s="125"/>
      <c r="F50" s="125"/>
      <c r="G50" s="125"/>
      <c r="H50" s="103"/>
      <c r="I50" s="103"/>
      <c r="J50" s="103"/>
      <c r="K50" s="103"/>
      <c r="L50" s="103"/>
      <c r="M50" s="103"/>
      <c r="N50" s="103"/>
      <c r="O50" s="103"/>
    </row>
    <row r="51" spans="1:15" ht="15" x14ac:dyDescent="0.2">
      <c r="A51" s="103"/>
      <c r="B51" s="103"/>
      <c r="C51" s="103"/>
      <c r="D51" s="103"/>
      <c r="E51" s="103"/>
      <c r="F51" s="103"/>
      <c r="G51" s="103"/>
      <c r="H51" s="103"/>
      <c r="I51" s="103"/>
      <c r="J51" s="103"/>
      <c r="K51" s="103"/>
      <c r="L51" s="103"/>
      <c r="M51" s="103"/>
      <c r="N51" s="103"/>
      <c r="O51" s="103"/>
    </row>
    <row r="52" spans="1:15" ht="15" x14ac:dyDescent="0.2">
      <c r="A52" s="103"/>
      <c r="B52" s="103"/>
      <c r="C52" s="103"/>
      <c r="D52" s="103"/>
      <c r="E52" s="103"/>
      <c r="F52" s="103"/>
      <c r="G52" s="103"/>
      <c r="H52" s="103"/>
      <c r="I52" s="103"/>
      <c r="J52" s="103"/>
      <c r="K52" s="103"/>
      <c r="L52" s="103"/>
      <c r="M52" s="103"/>
      <c r="N52" s="103"/>
      <c r="O52" s="103"/>
    </row>
    <row r="53" spans="1:15" ht="15" x14ac:dyDescent="0.2">
      <c r="A53" s="103"/>
      <c r="B53" s="103"/>
      <c r="C53" s="103"/>
      <c r="D53" s="103"/>
      <c r="E53" s="103"/>
      <c r="F53" s="103"/>
      <c r="G53" s="103"/>
      <c r="H53" s="103"/>
      <c r="I53" s="103"/>
      <c r="J53" s="103"/>
      <c r="K53" s="103"/>
      <c r="L53" s="103"/>
      <c r="M53" s="103"/>
      <c r="N53" s="103"/>
      <c r="O53" s="103"/>
    </row>
    <row r="54" spans="1:15" ht="15" x14ac:dyDescent="0.2">
      <c r="A54" s="103"/>
      <c r="B54" s="103"/>
      <c r="C54" s="103"/>
      <c r="D54" s="103"/>
      <c r="E54" s="103"/>
      <c r="F54" s="103"/>
      <c r="G54" s="103"/>
      <c r="H54" s="103"/>
      <c r="I54" s="103"/>
      <c r="J54" s="103"/>
      <c r="K54" s="103"/>
      <c r="L54" s="103"/>
      <c r="M54" s="103"/>
      <c r="N54" s="103"/>
      <c r="O54" s="103"/>
    </row>
    <row r="55" spans="1:15" ht="15" x14ac:dyDescent="0.2">
      <c r="A55" s="103"/>
      <c r="B55" s="103"/>
      <c r="C55" s="103"/>
      <c r="D55" s="103"/>
      <c r="E55" s="103"/>
      <c r="F55" s="103"/>
      <c r="G55" s="103"/>
      <c r="H55" s="103"/>
      <c r="I55" s="103"/>
      <c r="J55" s="103"/>
      <c r="K55" s="103"/>
      <c r="L55" s="103"/>
      <c r="M55" s="103"/>
      <c r="N55" s="103"/>
      <c r="O55" s="103"/>
    </row>
    <row r="56" spans="1:15" ht="15" x14ac:dyDescent="0.2">
      <c r="A56" s="103"/>
      <c r="B56" s="103"/>
      <c r="C56" s="103"/>
      <c r="D56" s="103"/>
      <c r="E56" s="103"/>
      <c r="F56" s="103"/>
      <c r="G56" s="103"/>
      <c r="H56" s="103"/>
      <c r="I56" s="103"/>
      <c r="J56" s="103"/>
      <c r="K56" s="103"/>
      <c r="L56" s="103"/>
      <c r="M56" s="103"/>
      <c r="N56" s="103"/>
      <c r="O56" s="103"/>
    </row>
    <row r="57" spans="1:15" ht="15" x14ac:dyDescent="0.2">
      <c r="A57" s="103"/>
      <c r="B57" s="103"/>
      <c r="C57" s="103"/>
      <c r="D57" s="103"/>
      <c r="E57" s="103"/>
      <c r="F57" s="103"/>
      <c r="G57" s="103"/>
      <c r="H57" s="103"/>
      <c r="I57" s="103"/>
      <c r="J57" s="103"/>
      <c r="K57" s="103"/>
      <c r="L57" s="103"/>
      <c r="M57" s="103"/>
      <c r="N57" s="103"/>
      <c r="O57" s="103"/>
    </row>
    <row r="58" spans="1:15" ht="15" x14ac:dyDescent="0.2">
      <c r="A58" s="103"/>
      <c r="B58" s="103"/>
      <c r="C58" s="103"/>
      <c r="D58" s="103"/>
      <c r="E58" s="103"/>
      <c r="F58" s="103"/>
      <c r="G58" s="103"/>
      <c r="H58" s="103"/>
      <c r="I58" s="103"/>
      <c r="J58" s="103"/>
      <c r="K58" s="103"/>
      <c r="L58" s="103"/>
      <c r="M58" s="103"/>
      <c r="N58" s="103"/>
      <c r="O58" s="103"/>
    </row>
    <row r="59" spans="1:15" ht="15" x14ac:dyDescent="0.2">
      <c r="A59" s="103"/>
      <c r="B59" s="103"/>
      <c r="C59" s="103"/>
      <c r="D59" s="103"/>
      <c r="E59" s="103"/>
      <c r="F59" s="103"/>
      <c r="G59" s="103"/>
      <c r="H59" s="103"/>
      <c r="I59" s="103"/>
      <c r="J59" s="103"/>
      <c r="K59" s="103"/>
      <c r="L59" s="103"/>
      <c r="M59" s="103"/>
      <c r="N59" s="103"/>
      <c r="O59" s="103"/>
    </row>
    <row r="60" spans="1:15" ht="15" x14ac:dyDescent="0.2">
      <c r="A60" s="103"/>
      <c r="B60" s="103"/>
      <c r="C60" s="103"/>
      <c r="D60" s="103"/>
      <c r="E60" s="103"/>
      <c r="F60" s="103"/>
      <c r="G60" s="103"/>
      <c r="H60" s="103"/>
      <c r="I60" s="103"/>
      <c r="J60" s="103"/>
      <c r="K60" s="103"/>
      <c r="L60" s="103"/>
      <c r="M60" s="103"/>
      <c r="N60" s="103"/>
      <c r="O60" s="103"/>
    </row>
    <row r="61" spans="1:15" ht="15" x14ac:dyDescent="0.2">
      <c r="A61" s="103"/>
      <c r="B61" s="103"/>
      <c r="C61" s="103"/>
      <c r="D61" s="103"/>
      <c r="E61" s="103"/>
      <c r="F61" s="103"/>
      <c r="G61" s="103"/>
      <c r="H61" s="103"/>
      <c r="I61" s="103"/>
      <c r="J61" s="103"/>
      <c r="K61" s="103"/>
      <c r="L61" s="103"/>
      <c r="M61" s="103"/>
      <c r="N61" s="103"/>
      <c r="O61" s="103"/>
    </row>
    <row r="62" spans="1:15" x14ac:dyDescent="0.2"/>
    <row r="63" spans="1:15" x14ac:dyDescent="0.2"/>
    <row r="64" spans="1:15"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sheetData>
  <sheetProtection algorithmName="SHA-512" hashValue="8QdHW7gcv9itlmElsxSefeBuehyopyWCe5ODyqFgGjNZElf0rqHUQSR7pwKvDI+5PKdFzsfeXyhcuXhGLv1Pzg==" saltValue="tkUzkQkMJmKVSQQfVOa4mw==" spinCount="100000" sheet="1" objects="1" scenarios="1"/>
  <mergeCells count="2">
    <mergeCell ref="A1:U3"/>
    <mergeCell ref="A4:Y4"/>
  </mergeCells>
  <hyperlinks>
    <hyperlink ref="A5" location="Main!K52" display="Return to Menu" xr:uid="{00000000-0004-0000-0D00-000000000000}"/>
  </hyperlink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Main</vt:lpstr>
      <vt:lpstr>Coefficients</vt:lpstr>
      <vt:lpstr>Device Resistance Tables</vt:lpstr>
      <vt:lpstr>NTC Thermistor Comparison</vt:lpstr>
      <vt:lpstr>4th Order Polynomial TMP vs Res</vt:lpstr>
      <vt:lpstr>4th Order Polynomial TMP vs Vdc</vt:lpstr>
      <vt:lpstr>Steinhart-Hart</vt:lpstr>
      <vt:lpstr>Lookup Table</vt:lpstr>
      <vt:lpstr>Interpolation from Lookup Table</vt:lpstr>
      <vt:lpstr>Threshold Detection</vt:lpstr>
      <vt:lpstr>Averaging</vt:lpstr>
      <vt:lpstr>Low Pass Filter</vt:lpstr>
      <vt:lpstr>Basic Formulas</vt:lpstr>
      <vt:lpstr>RBias TCR_PPM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2021-03-01T14:31:51Z</dcterms:created>
  <dcterms:modified xsi:type="dcterms:W3CDTF">2022-05-12T09:53:22Z</dcterms:modified>
</cp:coreProperties>
</file>