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fe\OneDrive\Ambiente de Trabalho\ERASMUS UNITS\Physics of interfaces\Report\"/>
    </mc:Choice>
  </mc:AlternateContent>
  <xr:revisionPtr revIDLastSave="0" documentId="13_ncr:1_{6306AA5A-0D0B-4CD6-8343-4882A3EE42E3}" xr6:coauthVersionLast="47" xr6:coauthVersionMax="47" xr10:uidLastSave="{00000000-0000-0000-0000-000000000000}"/>
  <bookViews>
    <workbookView xWindow="-108" yWindow="-108" windowWidth="23256" windowHeight="12456" xr2:uid="{456E9735-E322-411F-B317-E06A40398E09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K3" i="1"/>
  <c r="N5" i="1"/>
  <c r="K11" i="3"/>
  <c r="F3" i="3"/>
  <c r="F1" i="3"/>
  <c r="F5" i="3"/>
  <c r="F7" i="3"/>
  <c r="F9" i="3"/>
  <c r="F11" i="3"/>
  <c r="K10" i="3"/>
  <c r="B19" i="3"/>
  <c r="C19" i="3" s="1"/>
  <c r="D19" i="3" s="1"/>
  <c r="F33" i="3" s="1"/>
  <c r="B29" i="3"/>
  <c r="B27" i="3"/>
  <c r="B25" i="3"/>
  <c r="C25" i="3" s="1"/>
  <c r="D25" i="3" s="1"/>
  <c r="B23" i="3"/>
  <c r="B21" i="3"/>
  <c r="I9" i="3"/>
  <c r="C29" i="3"/>
  <c r="D29" i="3" s="1"/>
  <c r="C23" i="3"/>
  <c r="D23" i="3" s="1"/>
  <c r="C27" i="3"/>
  <c r="D27" i="3" s="1"/>
  <c r="C21" i="3"/>
  <c r="D21" i="3" s="1"/>
  <c r="H13" i="2"/>
  <c r="A11" i="3"/>
  <c r="A9" i="3"/>
  <c r="A7" i="3"/>
  <c r="A5" i="3"/>
  <c r="A3" i="3"/>
  <c r="C11" i="3"/>
  <c r="D11" i="3" s="1"/>
  <c r="C7" i="3"/>
  <c r="D7" i="3" s="1"/>
  <c r="A1" i="3"/>
  <c r="C9" i="3"/>
  <c r="D9" i="3" s="1"/>
  <c r="J1" i="3"/>
  <c r="H1" i="3"/>
  <c r="B13" i="2"/>
  <c r="E13" i="2"/>
  <c r="H8" i="2"/>
  <c r="G8" i="2"/>
  <c r="F8" i="2"/>
  <c r="C8" i="2"/>
  <c r="B8" i="2"/>
  <c r="B4" i="2"/>
  <c r="B3" i="2"/>
  <c r="H14" i="2"/>
  <c r="G14" i="2"/>
  <c r="G9" i="2"/>
  <c r="I9" i="2" s="1"/>
  <c r="F9" i="2"/>
  <c r="H9" i="2" s="1"/>
  <c r="I8" i="2"/>
  <c r="F31" i="3" l="1"/>
  <c r="C3" i="3"/>
  <c r="D3" i="3" s="1"/>
  <c r="C5" i="3"/>
  <c r="D5" i="3" s="1"/>
  <c r="C1" i="3"/>
  <c r="D1" i="3" s="1"/>
  <c r="G13" i="2"/>
  <c r="C13" i="2"/>
  <c r="C14" i="2"/>
  <c r="B14" i="2"/>
  <c r="F13" i="3" l="1"/>
  <c r="E14" i="2"/>
  <c r="D13" i="2"/>
  <c r="F29" i="1"/>
  <c r="G29" i="1" s="1"/>
  <c r="N29" i="1" s="1"/>
  <c r="O29" i="1" s="1"/>
  <c r="F4" i="1"/>
  <c r="F5" i="1"/>
  <c r="F6" i="1"/>
  <c r="F7" i="1"/>
  <c r="F8" i="1"/>
  <c r="G8" i="1" s="1"/>
  <c r="N8" i="1" s="1"/>
  <c r="O8" i="1" s="1"/>
  <c r="F9" i="1"/>
  <c r="G9" i="1" s="1"/>
  <c r="N9" i="1" s="1"/>
  <c r="O9" i="1" s="1"/>
  <c r="F10" i="1"/>
  <c r="G10" i="1" s="1"/>
  <c r="N10" i="1" s="1"/>
  <c r="O10" i="1" s="1"/>
  <c r="F11" i="1"/>
  <c r="G11" i="1" s="1"/>
  <c r="N11" i="1" s="1"/>
  <c r="O11" i="1" s="1"/>
  <c r="F12" i="1"/>
  <c r="G12" i="1" s="1"/>
  <c r="N12" i="1" s="1"/>
  <c r="O12" i="1" s="1"/>
  <c r="F13" i="1"/>
  <c r="G13" i="1" s="1"/>
  <c r="F14" i="1"/>
  <c r="G14" i="1" s="1"/>
  <c r="F15" i="1"/>
  <c r="G15" i="1" s="1"/>
  <c r="N15" i="1" s="1"/>
  <c r="O15" i="1" s="1"/>
  <c r="F16" i="1"/>
  <c r="F17" i="1"/>
  <c r="F18" i="1"/>
  <c r="F19" i="1"/>
  <c r="F20" i="1"/>
  <c r="F21" i="1"/>
  <c r="F22" i="1"/>
  <c r="F23" i="1"/>
  <c r="F24" i="1"/>
  <c r="F25" i="1"/>
  <c r="G25" i="1" s="1"/>
  <c r="N25" i="1" s="1"/>
  <c r="F26" i="1"/>
  <c r="G26" i="1" s="1"/>
  <c r="N26" i="1" s="1"/>
  <c r="F27" i="1"/>
  <c r="F28" i="1"/>
  <c r="F3" i="1"/>
  <c r="G3" i="1" s="1"/>
  <c r="G4" i="1"/>
  <c r="G5" i="1"/>
  <c r="G27" i="1"/>
  <c r="N27" i="1" s="1"/>
  <c r="O27" i="1" s="1"/>
  <c r="K24" i="1"/>
  <c r="G20" i="1"/>
  <c r="N20" i="1" s="1"/>
  <c r="O20" i="1" s="1"/>
  <c r="G21" i="1"/>
  <c r="N21" i="1" s="1"/>
  <c r="O21" i="1" s="1"/>
  <c r="G22" i="1"/>
  <c r="N22" i="1" s="1"/>
  <c r="O22" i="1" s="1"/>
  <c r="G23" i="1"/>
  <c r="N23" i="1" s="1"/>
  <c r="G24" i="1"/>
  <c r="G28" i="1"/>
  <c r="K28" i="1"/>
  <c r="G17" i="1"/>
  <c r="N17" i="1" s="1"/>
  <c r="O17" i="1" s="1"/>
  <c r="K12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9" i="1"/>
  <c r="G19" i="1"/>
  <c r="G6" i="1"/>
  <c r="N6" i="1" s="1"/>
  <c r="O6" i="1" s="1"/>
  <c r="G7" i="1"/>
  <c r="N7" i="1" s="1"/>
  <c r="O7" i="1" s="1"/>
  <c r="G16" i="1"/>
  <c r="G18" i="1"/>
  <c r="N18" i="1" s="1"/>
  <c r="O18" i="1" s="1"/>
  <c r="A15" i="1"/>
  <c r="A14" i="1"/>
  <c r="O23" i="1" l="1"/>
  <c r="O26" i="1"/>
  <c r="N14" i="1"/>
  <c r="O14" i="1" s="1"/>
  <c r="N13" i="1"/>
  <c r="O13" i="1" s="1"/>
  <c r="N24" i="1"/>
  <c r="O24" i="1" s="1"/>
  <c r="N19" i="1"/>
  <c r="O19" i="1" s="1"/>
  <c r="O25" i="1"/>
  <c r="O3" i="1"/>
  <c r="O5" i="1"/>
  <c r="N4" i="1"/>
  <c r="O4" i="1" s="1"/>
  <c r="N28" i="1"/>
  <c r="O28" i="1" s="1"/>
  <c r="N16" i="1"/>
  <c r="O16" i="1" s="1"/>
</calcChain>
</file>

<file path=xl/sharedStrings.xml><?xml version="1.0" encoding="utf-8"?>
<sst xmlns="http://schemas.openxmlformats.org/spreadsheetml/2006/main" count="98" uniqueCount="83">
  <si>
    <t>T</t>
  </si>
  <si>
    <t>density</t>
  </si>
  <si>
    <t>speed of sound</t>
  </si>
  <si>
    <t>17:0 PC</t>
  </si>
  <si>
    <t>buffer reference</t>
  </si>
  <si>
    <t>T (°C)</t>
  </si>
  <si>
    <t>density (g/cm3)</t>
  </si>
  <si>
    <t>(m/s)</t>
  </si>
  <si>
    <t xml:space="preserve">0,003 g </t>
  </si>
  <si>
    <t>mass 17 PC</t>
  </si>
  <si>
    <t>mass of water</t>
  </si>
  <si>
    <t>1 g</t>
  </si>
  <si>
    <t xml:space="preserve">Density </t>
  </si>
  <si>
    <t>specific volume</t>
  </si>
  <si>
    <t xml:space="preserve">multilamelas in bulk </t>
  </si>
  <si>
    <t xml:space="preserve">Molecular mass </t>
  </si>
  <si>
    <t>Fração massica lip</t>
  </si>
  <si>
    <t>Fração mássica água</t>
  </si>
  <si>
    <t>HEPES</t>
  </si>
  <si>
    <t>17:0 PC + HEPES</t>
  </si>
  <si>
    <t>17:0 PC ALONE</t>
  </si>
  <si>
    <t xml:space="preserve">Molar Volume </t>
  </si>
  <si>
    <r>
      <t>y = 2,1004E-08x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- 6,0588E-06x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- 6,9712E-06x + 1,0077E+00</t>
    </r>
  </si>
  <si>
    <t>R² = 1,0000E+00</t>
  </si>
  <si>
    <t>Sample</t>
  </si>
  <si>
    <t>θ  diidomethane</t>
  </si>
  <si>
    <t>max value</t>
  </si>
  <si>
    <t>min value</t>
  </si>
  <si>
    <t>θmin (°)</t>
  </si>
  <si>
    <t>θmax (°)</t>
  </si>
  <si>
    <t>γ lv (mN/m) min</t>
  </si>
  <si>
    <t>γ lv (mN/m) max</t>
  </si>
  <si>
    <t xml:space="preserve">Wsl min </t>
  </si>
  <si>
    <t>Wsl max</t>
  </si>
  <si>
    <t>γ sv (mN/m) min</t>
  </si>
  <si>
    <t>γ sv (mN/m) max</t>
  </si>
  <si>
    <t>Water droplet</t>
  </si>
  <si>
    <t>diidomethane droplet</t>
  </si>
  <si>
    <t>du coup pour recap</t>
  </si>
  <si>
    <t>γ sv (mN/m)</t>
  </si>
  <si>
    <t>Delta Y</t>
  </si>
  <si>
    <t>γ p sv (mN/m)</t>
  </si>
  <si>
    <t>γ d sv (mN/m)</t>
  </si>
  <si>
    <t>Wsl</t>
  </si>
  <si>
    <t>delta</t>
  </si>
  <si>
    <t>water</t>
  </si>
  <si>
    <t>diidomethane</t>
  </si>
  <si>
    <t>θ (°)</t>
  </si>
  <si>
    <t>W sl (mN/m)</t>
  </si>
  <si>
    <t>20,0 ± 0,20</t>
  </si>
  <si>
    <t>θ water</t>
  </si>
  <si>
    <t>98,51 ± 1,19</t>
  </si>
  <si>
    <t>47,77 ± 1,43</t>
  </si>
  <si>
    <t>34,8± 0,21</t>
  </si>
  <si>
    <t>132,58 ± 0,33</t>
  </si>
  <si>
    <t>60,36 ± 0,39</t>
  </si>
  <si>
    <t>γ polar sv (mN/m)</t>
  </si>
  <si>
    <t>γ dispersion sv (mN/m)</t>
  </si>
  <si>
    <t>DfO</t>
  </si>
  <si>
    <t>nm</t>
  </si>
  <si>
    <t xml:space="preserve">C/p </t>
  </si>
  <si>
    <t>dfQ</t>
  </si>
  <si>
    <t>cm-nm</t>
  </si>
  <si>
    <t>dfS</t>
  </si>
  <si>
    <t>dfW</t>
  </si>
  <si>
    <t>dfY</t>
  </si>
  <si>
    <t>Average</t>
  </si>
  <si>
    <t>dfU</t>
  </si>
  <si>
    <t>T&gt;Tm</t>
  </si>
  <si>
    <t>O</t>
  </si>
  <si>
    <t>Q</t>
  </si>
  <si>
    <t xml:space="preserve">S </t>
  </si>
  <si>
    <t xml:space="preserve">U </t>
  </si>
  <si>
    <t xml:space="preserve">W </t>
  </si>
  <si>
    <t>Y</t>
  </si>
  <si>
    <t xml:space="preserve">default </t>
  </si>
  <si>
    <t>100nm</t>
  </si>
  <si>
    <t>margem</t>
  </si>
  <si>
    <t>Δd (%)</t>
  </si>
  <si>
    <t>D</t>
  </si>
  <si>
    <t>Specific volum lipid</t>
  </si>
  <si>
    <r>
      <t>δ</t>
    </r>
    <r>
      <rPr>
        <sz val="9.9"/>
        <color theme="1"/>
        <rFont val="Calibri"/>
        <family val="2"/>
      </rPr>
      <t>Δf/dT (Hz/ºC)</t>
    </r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</si>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</sst>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change with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27233320028195"/>
          <c:y val="0.17691636263116345"/>
          <c:w val="0.74004319948712616"/>
          <c:h val="0.611283379117061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Sheet1!$X$4:$X$39</c:f>
              <c:numCache>
                <c:formatCode>0.000</c:formatCode>
                <c:ptCount val="36"/>
                <c:pt idx="0">
                  <c:v>14.996</c:v>
                </c:pt>
                <c:pt idx="1">
                  <c:v>16.003</c:v>
                </c:pt>
                <c:pt idx="2">
                  <c:v>17.004000000000001</c:v>
                </c:pt>
                <c:pt idx="3">
                  <c:v>18.003</c:v>
                </c:pt>
                <c:pt idx="4">
                  <c:v>19.003</c:v>
                </c:pt>
                <c:pt idx="5">
                  <c:v>20.004000000000001</c:v>
                </c:pt>
                <c:pt idx="6">
                  <c:v>21.004000000000001</c:v>
                </c:pt>
                <c:pt idx="7">
                  <c:v>22.004000000000001</c:v>
                </c:pt>
                <c:pt idx="8">
                  <c:v>23.004000000000001</c:v>
                </c:pt>
                <c:pt idx="9">
                  <c:v>24.004000000000001</c:v>
                </c:pt>
                <c:pt idx="10">
                  <c:v>25.004000000000001</c:v>
                </c:pt>
                <c:pt idx="11">
                  <c:v>26.003</c:v>
                </c:pt>
                <c:pt idx="12">
                  <c:v>27.004000000000001</c:v>
                </c:pt>
                <c:pt idx="13">
                  <c:v>28.004000000000001</c:v>
                </c:pt>
                <c:pt idx="14">
                  <c:v>29.003</c:v>
                </c:pt>
                <c:pt idx="15">
                  <c:v>30.004000000000001</c:v>
                </c:pt>
                <c:pt idx="16">
                  <c:v>31.004000000000001</c:v>
                </c:pt>
                <c:pt idx="17">
                  <c:v>32.003999999999998</c:v>
                </c:pt>
                <c:pt idx="18">
                  <c:v>33.003999999999998</c:v>
                </c:pt>
                <c:pt idx="19">
                  <c:v>34.003</c:v>
                </c:pt>
                <c:pt idx="20">
                  <c:v>35.003999999999998</c:v>
                </c:pt>
                <c:pt idx="21">
                  <c:v>36.003999999999998</c:v>
                </c:pt>
                <c:pt idx="22">
                  <c:v>37.003999999999998</c:v>
                </c:pt>
                <c:pt idx="23">
                  <c:v>38.003</c:v>
                </c:pt>
                <c:pt idx="24">
                  <c:v>39.003999999999998</c:v>
                </c:pt>
                <c:pt idx="25">
                  <c:v>40.003999999999998</c:v>
                </c:pt>
                <c:pt idx="26">
                  <c:v>41.003999999999998</c:v>
                </c:pt>
                <c:pt idx="27">
                  <c:v>42.003999999999998</c:v>
                </c:pt>
                <c:pt idx="28">
                  <c:v>43.003999999999998</c:v>
                </c:pt>
                <c:pt idx="29">
                  <c:v>44.003999999999998</c:v>
                </c:pt>
                <c:pt idx="30">
                  <c:v>45.003</c:v>
                </c:pt>
                <c:pt idx="31">
                  <c:v>46.003999999999998</c:v>
                </c:pt>
                <c:pt idx="32">
                  <c:v>47.003</c:v>
                </c:pt>
                <c:pt idx="33">
                  <c:v>48.003999999999998</c:v>
                </c:pt>
                <c:pt idx="34">
                  <c:v>49.003999999999998</c:v>
                </c:pt>
                <c:pt idx="35">
                  <c:v>50.003999999999998</c:v>
                </c:pt>
              </c:numCache>
            </c:numRef>
          </c:xVal>
          <c:yVal>
            <c:numRef>
              <c:f>Sheet1!$Y$4:$Y$39</c:f>
              <c:numCache>
                <c:formatCode>0.000000</c:formatCode>
                <c:ptCount val="36"/>
                <c:pt idx="0">
                  <c:v>1.0063219999999999</c:v>
                </c:pt>
                <c:pt idx="1">
                  <c:v>1.0061450000000001</c:v>
                </c:pt>
                <c:pt idx="2">
                  <c:v>1.005957</c:v>
                </c:pt>
                <c:pt idx="3">
                  <c:v>1.0057579999999999</c:v>
                </c:pt>
                <c:pt idx="4">
                  <c:v>1.0055480000000001</c:v>
                </c:pt>
                <c:pt idx="5">
                  <c:v>1.0053319999999999</c:v>
                </c:pt>
                <c:pt idx="6">
                  <c:v>1.0051030000000001</c:v>
                </c:pt>
                <c:pt idx="7">
                  <c:v>1.004861</c:v>
                </c:pt>
                <c:pt idx="8">
                  <c:v>1.004616</c:v>
                </c:pt>
                <c:pt idx="9">
                  <c:v>1.004359</c:v>
                </c:pt>
                <c:pt idx="10">
                  <c:v>1.0040880000000001</c:v>
                </c:pt>
                <c:pt idx="11">
                  <c:v>1.003814</c:v>
                </c:pt>
                <c:pt idx="12">
                  <c:v>1.003528</c:v>
                </c:pt>
                <c:pt idx="13">
                  <c:v>1.0032380000000001</c:v>
                </c:pt>
                <c:pt idx="14">
                  <c:v>1.002934</c:v>
                </c:pt>
                <c:pt idx="15">
                  <c:v>1.002626</c:v>
                </c:pt>
                <c:pt idx="16">
                  <c:v>1.0023070000000001</c:v>
                </c:pt>
                <c:pt idx="17">
                  <c:v>1.0019819999999999</c:v>
                </c:pt>
                <c:pt idx="18">
                  <c:v>1.001647</c:v>
                </c:pt>
                <c:pt idx="19">
                  <c:v>1.0013069999999999</c:v>
                </c:pt>
                <c:pt idx="20">
                  <c:v>1.0009539999999999</c:v>
                </c:pt>
                <c:pt idx="21">
                  <c:v>1.000597</c:v>
                </c:pt>
                <c:pt idx="22">
                  <c:v>1.0002329999999999</c:v>
                </c:pt>
                <c:pt idx="23">
                  <c:v>0.999861</c:v>
                </c:pt>
                <c:pt idx="24">
                  <c:v>0.99948199999999998</c:v>
                </c:pt>
                <c:pt idx="25">
                  <c:v>0.99909400000000004</c:v>
                </c:pt>
                <c:pt idx="26">
                  <c:v>0.99870099999999995</c:v>
                </c:pt>
                <c:pt idx="27">
                  <c:v>0.99829999999999997</c:v>
                </c:pt>
                <c:pt idx="28">
                  <c:v>0.997892</c:v>
                </c:pt>
                <c:pt idx="29">
                  <c:v>0.99747600000000003</c:v>
                </c:pt>
                <c:pt idx="30">
                  <c:v>0.99705500000000002</c:v>
                </c:pt>
                <c:pt idx="31">
                  <c:v>0.99662600000000001</c:v>
                </c:pt>
                <c:pt idx="32">
                  <c:v>0.99619100000000005</c:v>
                </c:pt>
                <c:pt idx="33">
                  <c:v>0.995749</c:v>
                </c:pt>
                <c:pt idx="34">
                  <c:v>0.99530300000000005</c:v>
                </c:pt>
                <c:pt idx="35">
                  <c:v>0.99484899999999998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1-4A0A-83B6-2B70491C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48303"/>
        <c:axId val="994617887"/>
      </c:scatterChart>
      <c:valAx>
        <c:axId val="103524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17887"/>
        <c:crosses val="autoZero"/>
        <c:crossBetween val="midCat"/>
      </c:valAx>
      <c:valAx>
        <c:axId val="9946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(g/cm^3)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4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Sheet1!$M$3:$M$29</c:f>
              <c:numCache>
                <c:formatCode>0.000</c:formatCode>
                <c:ptCount val="27"/>
                <c:pt idx="0">
                  <c:v>40.003999999999998</c:v>
                </c:pt>
                <c:pt idx="1">
                  <c:v>40.753999999999998</c:v>
                </c:pt>
                <c:pt idx="2">
                  <c:v>41.503999999999998</c:v>
                </c:pt>
                <c:pt idx="3">
                  <c:v>42.253</c:v>
                </c:pt>
                <c:pt idx="4">
                  <c:v>43.003999999999998</c:v>
                </c:pt>
                <c:pt idx="5">
                  <c:v>43.753999999999998</c:v>
                </c:pt>
                <c:pt idx="6">
                  <c:v>44.503999999999998</c:v>
                </c:pt>
                <c:pt idx="7">
                  <c:v>45.253999999999998</c:v>
                </c:pt>
                <c:pt idx="8">
                  <c:v>46.003999999999998</c:v>
                </c:pt>
                <c:pt idx="9">
                  <c:v>46.755000000000003</c:v>
                </c:pt>
                <c:pt idx="10">
                  <c:v>47.503999999999998</c:v>
                </c:pt>
                <c:pt idx="11">
                  <c:v>48.253999999999998</c:v>
                </c:pt>
                <c:pt idx="12">
                  <c:v>49.003999999999998</c:v>
                </c:pt>
                <c:pt idx="13">
                  <c:v>49.753999999999998</c:v>
                </c:pt>
                <c:pt idx="14">
                  <c:v>50.503999999999998</c:v>
                </c:pt>
                <c:pt idx="15">
                  <c:v>51.253999999999998</c:v>
                </c:pt>
                <c:pt idx="16">
                  <c:v>52.003999999999998</c:v>
                </c:pt>
                <c:pt idx="17">
                  <c:v>52.753999999999998</c:v>
                </c:pt>
                <c:pt idx="18">
                  <c:v>53.503999999999998</c:v>
                </c:pt>
                <c:pt idx="19">
                  <c:v>54.253</c:v>
                </c:pt>
                <c:pt idx="20">
                  <c:v>55.003999999999998</c:v>
                </c:pt>
                <c:pt idx="21">
                  <c:v>55.753999999999998</c:v>
                </c:pt>
                <c:pt idx="22">
                  <c:v>56.503999999999998</c:v>
                </c:pt>
                <c:pt idx="23">
                  <c:v>57.253999999999998</c:v>
                </c:pt>
                <c:pt idx="24">
                  <c:v>58.003999999999998</c:v>
                </c:pt>
                <c:pt idx="25">
                  <c:v>58.753999999999998</c:v>
                </c:pt>
                <c:pt idx="26">
                  <c:v>59.503999999999998</c:v>
                </c:pt>
              </c:numCache>
            </c:numRef>
          </c:xVal>
          <c:yVal>
            <c:numRef>
              <c:f>Sheet1!$N$3:$N$29</c:f>
              <c:numCache>
                <c:formatCode>General</c:formatCode>
                <c:ptCount val="27"/>
                <c:pt idx="0">
                  <c:v>0.92610697165516542</c:v>
                </c:pt>
                <c:pt idx="1">
                  <c:v>0.92662486258247589</c:v>
                </c:pt>
                <c:pt idx="2">
                  <c:v>0.92778064088695578</c:v>
                </c:pt>
                <c:pt idx="3">
                  <c:v>0.92905356001053618</c:v>
                </c:pt>
                <c:pt idx="4">
                  <c:v>0.9303831606907228</c:v>
                </c:pt>
                <c:pt idx="5">
                  <c:v>0.93118397482830106</c:v>
                </c:pt>
                <c:pt idx="6">
                  <c:v>0.93200321137373265</c:v>
                </c:pt>
                <c:pt idx="7">
                  <c:v>0.93285356767891026</c:v>
                </c:pt>
                <c:pt idx="8">
                  <c:v>0.93341132482649614</c:v>
                </c:pt>
                <c:pt idx="9">
                  <c:v>0.93320463914913565</c:v>
                </c:pt>
                <c:pt idx="10">
                  <c:v>0.93437125550976852</c:v>
                </c:pt>
                <c:pt idx="11">
                  <c:v>0.93580996550656614</c:v>
                </c:pt>
                <c:pt idx="12">
                  <c:v>0.96467226359357117</c:v>
                </c:pt>
                <c:pt idx="13">
                  <c:v>0.96498349945154882</c:v>
                </c:pt>
                <c:pt idx="14">
                  <c:v>0.96507668150860526</c:v>
                </c:pt>
                <c:pt idx="15">
                  <c:v>0.96530218230564058</c:v>
                </c:pt>
                <c:pt idx="16">
                  <c:v>0.96499629963292421</c:v>
                </c:pt>
                <c:pt idx="17">
                  <c:v>0.96450922312392606</c:v>
                </c:pt>
                <c:pt idx="18">
                  <c:v>0.96453096926227866</c:v>
                </c:pt>
                <c:pt idx="19">
                  <c:v>0.96422275237226607</c:v>
                </c:pt>
                <c:pt idx="20">
                  <c:v>0.96378105133194436</c:v>
                </c:pt>
                <c:pt idx="21">
                  <c:v>0.96371291641777934</c:v>
                </c:pt>
                <c:pt idx="22">
                  <c:v>0.96352712915335792</c:v>
                </c:pt>
                <c:pt idx="23">
                  <c:v>0.96323620740702354</c:v>
                </c:pt>
                <c:pt idx="24">
                  <c:v>0.96285270309973991</c:v>
                </c:pt>
                <c:pt idx="25">
                  <c:v>0.96238920314255494</c:v>
                </c:pt>
                <c:pt idx="26">
                  <c:v>0.96458542461659402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4AD5-B785-44CBF71D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10351"/>
        <c:axId val="1038700399"/>
      </c:scatterChart>
      <c:valAx>
        <c:axId val="1043910351"/>
        <c:scaling>
          <c:orientation val="minMax"/>
          <c:min val="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00399"/>
        <c:crosses val="autoZero"/>
        <c:crossBetween val="midCat"/>
      </c:valAx>
      <c:valAx>
        <c:axId val="10387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Sheet1!$M$3:$M$29</c:f>
              <c:numCache>
                <c:formatCode>0.000</c:formatCode>
                <c:ptCount val="27"/>
                <c:pt idx="0">
                  <c:v>40.003999999999998</c:v>
                </c:pt>
                <c:pt idx="1">
                  <c:v>40.753999999999998</c:v>
                </c:pt>
                <c:pt idx="2">
                  <c:v>41.503999999999998</c:v>
                </c:pt>
                <c:pt idx="3">
                  <c:v>42.253</c:v>
                </c:pt>
                <c:pt idx="4">
                  <c:v>43.003999999999998</c:v>
                </c:pt>
                <c:pt idx="5">
                  <c:v>43.753999999999998</c:v>
                </c:pt>
                <c:pt idx="6">
                  <c:v>44.503999999999998</c:v>
                </c:pt>
                <c:pt idx="7">
                  <c:v>45.253999999999998</c:v>
                </c:pt>
                <c:pt idx="8">
                  <c:v>46.003999999999998</c:v>
                </c:pt>
                <c:pt idx="9">
                  <c:v>46.755000000000003</c:v>
                </c:pt>
                <c:pt idx="10">
                  <c:v>47.503999999999998</c:v>
                </c:pt>
                <c:pt idx="11">
                  <c:v>48.253999999999998</c:v>
                </c:pt>
                <c:pt idx="12">
                  <c:v>49.003999999999998</c:v>
                </c:pt>
                <c:pt idx="13">
                  <c:v>49.753999999999998</c:v>
                </c:pt>
                <c:pt idx="14">
                  <c:v>50.503999999999998</c:v>
                </c:pt>
                <c:pt idx="15">
                  <c:v>51.253999999999998</c:v>
                </c:pt>
                <c:pt idx="16">
                  <c:v>52.003999999999998</c:v>
                </c:pt>
                <c:pt idx="17">
                  <c:v>52.753999999999998</c:v>
                </c:pt>
                <c:pt idx="18">
                  <c:v>53.503999999999998</c:v>
                </c:pt>
                <c:pt idx="19">
                  <c:v>54.253</c:v>
                </c:pt>
                <c:pt idx="20">
                  <c:v>55.003999999999998</c:v>
                </c:pt>
                <c:pt idx="21">
                  <c:v>55.753999999999998</c:v>
                </c:pt>
                <c:pt idx="22">
                  <c:v>56.503999999999998</c:v>
                </c:pt>
                <c:pt idx="23">
                  <c:v>57.253999999999998</c:v>
                </c:pt>
                <c:pt idx="24">
                  <c:v>58.003999999999998</c:v>
                </c:pt>
                <c:pt idx="25">
                  <c:v>58.753999999999998</c:v>
                </c:pt>
                <c:pt idx="26">
                  <c:v>59.503999999999998</c:v>
                </c:pt>
              </c:numCache>
            </c:numRef>
          </c:xVal>
          <c:yVal>
            <c:numRef>
              <c:f>Sheet1!$N$3:$N$29</c:f>
              <c:numCache>
                <c:formatCode>General</c:formatCode>
                <c:ptCount val="27"/>
                <c:pt idx="0">
                  <c:v>0.92610697165516542</c:v>
                </c:pt>
                <c:pt idx="1">
                  <c:v>0.92662486258247589</c:v>
                </c:pt>
                <c:pt idx="2">
                  <c:v>0.92778064088695578</c:v>
                </c:pt>
                <c:pt idx="3">
                  <c:v>0.92905356001053618</c:v>
                </c:pt>
                <c:pt idx="4">
                  <c:v>0.9303831606907228</c:v>
                </c:pt>
                <c:pt idx="5">
                  <c:v>0.93118397482830106</c:v>
                </c:pt>
                <c:pt idx="6">
                  <c:v>0.93200321137373265</c:v>
                </c:pt>
                <c:pt idx="7">
                  <c:v>0.93285356767891026</c:v>
                </c:pt>
                <c:pt idx="8">
                  <c:v>0.93341132482649614</c:v>
                </c:pt>
                <c:pt idx="9">
                  <c:v>0.93320463914913565</c:v>
                </c:pt>
                <c:pt idx="10">
                  <c:v>0.93437125550976852</c:v>
                </c:pt>
                <c:pt idx="11">
                  <c:v>0.93580996550656614</c:v>
                </c:pt>
                <c:pt idx="12">
                  <c:v>0.96467226359357117</c:v>
                </c:pt>
                <c:pt idx="13">
                  <c:v>0.96498349945154882</c:v>
                </c:pt>
                <c:pt idx="14">
                  <c:v>0.96507668150860526</c:v>
                </c:pt>
                <c:pt idx="15">
                  <c:v>0.96530218230564058</c:v>
                </c:pt>
                <c:pt idx="16">
                  <c:v>0.96499629963292421</c:v>
                </c:pt>
                <c:pt idx="17">
                  <c:v>0.96450922312392606</c:v>
                </c:pt>
                <c:pt idx="18">
                  <c:v>0.96453096926227866</c:v>
                </c:pt>
                <c:pt idx="19">
                  <c:v>0.96422275237226607</c:v>
                </c:pt>
                <c:pt idx="20">
                  <c:v>0.96378105133194436</c:v>
                </c:pt>
                <c:pt idx="21">
                  <c:v>0.96371291641777934</c:v>
                </c:pt>
                <c:pt idx="22">
                  <c:v>0.96352712915335792</c:v>
                </c:pt>
                <c:pt idx="23">
                  <c:v>0.96323620740702354</c:v>
                </c:pt>
                <c:pt idx="24">
                  <c:v>0.96285270309973991</c:v>
                </c:pt>
                <c:pt idx="25">
                  <c:v>0.96238920314255494</c:v>
                </c:pt>
                <c:pt idx="26">
                  <c:v>0.96458542461659402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6-4509-92AD-987F4BE2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51663"/>
        <c:axId val="749003119"/>
      </c:scatterChart>
      <c:valAx>
        <c:axId val="1035251663"/>
        <c:scaling>
          <c:orientation val="minMax"/>
          <c:min val="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03119"/>
        <c:crosses val="autoZero"/>
        <c:crossBetween val="midCat"/>
      </c:valAx>
      <c:valAx>
        <c:axId val="7490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volum(cm^3)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density (g/cm3)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Sheet1!$I$3:$I$29</c:f>
              <c:numCache>
                <c:formatCode>0.000</c:formatCode>
                <c:ptCount val="27"/>
                <c:pt idx="0">
                  <c:v>40.003999999999998</c:v>
                </c:pt>
                <c:pt idx="1">
                  <c:v>40.753999999999998</c:v>
                </c:pt>
                <c:pt idx="2">
                  <c:v>41.503999999999998</c:v>
                </c:pt>
                <c:pt idx="3">
                  <c:v>42.253</c:v>
                </c:pt>
                <c:pt idx="4">
                  <c:v>43.003999999999998</c:v>
                </c:pt>
                <c:pt idx="5">
                  <c:v>43.753999999999998</c:v>
                </c:pt>
                <c:pt idx="6">
                  <c:v>44.503999999999998</c:v>
                </c:pt>
                <c:pt idx="7">
                  <c:v>45.253999999999998</c:v>
                </c:pt>
                <c:pt idx="8">
                  <c:v>46.003999999999998</c:v>
                </c:pt>
                <c:pt idx="9">
                  <c:v>46.755000000000003</c:v>
                </c:pt>
                <c:pt idx="10">
                  <c:v>47.503999999999998</c:v>
                </c:pt>
                <c:pt idx="11">
                  <c:v>48.253999999999998</c:v>
                </c:pt>
                <c:pt idx="12">
                  <c:v>49.003999999999998</c:v>
                </c:pt>
                <c:pt idx="13">
                  <c:v>49.753999999999998</c:v>
                </c:pt>
                <c:pt idx="14">
                  <c:v>50.503999999999998</c:v>
                </c:pt>
                <c:pt idx="15">
                  <c:v>51.253999999999998</c:v>
                </c:pt>
                <c:pt idx="16">
                  <c:v>52.003999999999998</c:v>
                </c:pt>
                <c:pt idx="17">
                  <c:v>52.753999999999998</c:v>
                </c:pt>
                <c:pt idx="18">
                  <c:v>53.503999999999998</c:v>
                </c:pt>
                <c:pt idx="19">
                  <c:v>54.253</c:v>
                </c:pt>
                <c:pt idx="20">
                  <c:v>55.003999999999998</c:v>
                </c:pt>
                <c:pt idx="21">
                  <c:v>55.753999999999998</c:v>
                </c:pt>
                <c:pt idx="22">
                  <c:v>56.503999999999998</c:v>
                </c:pt>
                <c:pt idx="23">
                  <c:v>57.253999999999998</c:v>
                </c:pt>
                <c:pt idx="24">
                  <c:v>58.003999999999998</c:v>
                </c:pt>
                <c:pt idx="25">
                  <c:v>58.753999999999998</c:v>
                </c:pt>
                <c:pt idx="26">
                  <c:v>59.503999999999998</c:v>
                </c:pt>
              </c:numCache>
            </c:numRef>
          </c:xVal>
          <c:yVal>
            <c:numRef>
              <c:f>Sheet1!$J$3:$J$29</c:f>
              <c:numCache>
                <c:formatCode>0.000000</c:formatCode>
                <c:ptCount val="27"/>
                <c:pt idx="0">
                  <c:v>0.99934000000000001</c:v>
                </c:pt>
                <c:pt idx="1">
                  <c:v>0.99904400000000004</c:v>
                </c:pt>
                <c:pt idx="2">
                  <c:v>0.99874200000000002</c:v>
                </c:pt>
                <c:pt idx="3">
                  <c:v>0.99843599999999999</c:v>
                </c:pt>
                <c:pt idx="4">
                  <c:v>0.99812500000000004</c:v>
                </c:pt>
                <c:pt idx="5">
                  <c:v>0.99781200000000003</c:v>
                </c:pt>
                <c:pt idx="6">
                  <c:v>0.99749500000000002</c:v>
                </c:pt>
                <c:pt idx="7">
                  <c:v>0.997174</c:v>
                </c:pt>
                <c:pt idx="8">
                  <c:v>0.99685000000000001</c:v>
                </c:pt>
                <c:pt idx="9">
                  <c:v>0.99652399999999997</c:v>
                </c:pt>
                <c:pt idx="10">
                  <c:v>0.99619100000000005</c:v>
                </c:pt>
                <c:pt idx="11">
                  <c:v>0.99585299999999999</c:v>
                </c:pt>
                <c:pt idx="12">
                  <c:v>0.99543000000000004</c:v>
                </c:pt>
                <c:pt idx="13">
                  <c:v>0.99508799999999997</c:v>
                </c:pt>
                <c:pt idx="14">
                  <c:v>0.99474300000000004</c:v>
                </c:pt>
                <c:pt idx="15">
                  <c:v>0.994394</c:v>
                </c:pt>
                <c:pt idx="16">
                  <c:v>0.99404300000000001</c:v>
                </c:pt>
                <c:pt idx="17">
                  <c:v>0.99368900000000004</c:v>
                </c:pt>
                <c:pt idx="18">
                  <c:v>0.99333000000000005</c:v>
                </c:pt>
                <c:pt idx="19">
                  <c:v>0.99296899999999999</c:v>
                </c:pt>
                <c:pt idx="20">
                  <c:v>0.99260400000000004</c:v>
                </c:pt>
                <c:pt idx="21">
                  <c:v>0.99223499999999998</c:v>
                </c:pt>
                <c:pt idx="22">
                  <c:v>0.99186300000000005</c:v>
                </c:pt>
                <c:pt idx="23">
                  <c:v>0.99148800000000004</c:v>
                </c:pt>
                <c:pt idx="24">
                  <c:v>0.99111000000000005</c:v>
                </c:pt>
                <c:pt idx="25">
                  <c:v>0.99072899999999997</c:v>
                </c:pt>
                <c:pt idx="26">
                  <c:v>0.99033700000000002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5-492F-8E1A-D266E7D3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8031"/>
        <c:axId val="197783535"/>
      </c:scatterChart>
      <c:valAx>
        <c:axId val="116488031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3535"/>
        <c:crosses val="autoZero"/>
        <c:crossBetween val="midCat"/>
      </c:valAx>
      <c:valAx>
        <c:axId val="1977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Lipid</a:t>
                </a:r>
                <a:r>
                  <a:rPr lang="en-US" baseline="0"/>
                  <a:t> + HEPES density (g/cm^3)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8031"/>
        <c:crosses val="autoZero"/>
        <c:crossBetween val="midCat"/>
        <c:minorUnit val="2.0000000000000006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Dispersion</a:t>
            </a:r>
            <a:r>
              <a:rPr lang="en-US" baseline="0"/>
              <a:t> and polar components in Au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γ polar sv (mN/m)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Sheet2!$E$17</c:f>
              <c:numCache>
                <c:formatCode>General</c:formatCode>
                <c:ptCount val="1"/>
                <c:pt idx="0">
                  <c:v>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1-4FC2-98D1-C182380A345F}"/>
            </c:ext>
          </c:extLst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γ dispersion sv (mN/m)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Sheet2!$F$17</c:f>
              <c:numCache>
                <c:formatCode>General</c:formatCode>
                <c:ptCount val="1"/>
                <c:pt idx="0">
                  <c:v>47.77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1-4FC2-98D1-C182380A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671392"/>
        <c:axId val="486244448"/>
      </c:barChart>
      <c:catAx>
        <c:axId val="7426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4448"/>
        <c:crosses val="autoZero"/>
        <c:auto val="1"/>
        <c:lblAlgn val="ctr"/>
        <c:lblOffset val="100"/>
        <c:noMultiLvlLbl val="0"/>
      </c:catAx>
      <c:valAx>
        <c:axId val="486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between 15C and 17C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Sheet4!$B$2:$B$28</c:f>
              <c:numCache>
                <c:formatCode>General</c:formatCode>
                <c:ptCount val="27"/>
                <c:pt idx="0">
                  <c:v>40.003999999999998</c:v>
                </c:pt>
                <c:pt idx="1">
                  <c:v>40.753999999999998</c:v>
                </c:pt>
                <c:pt idx="2">
                  <c:v>41.503999999999998</c:v>
                </c:pt>
                <c:pt idx="3">
                  <c:v>42.253</c:v>
                </c:pt>
                <c:pt idx="4">
                  <c:v>43.003999999999998</c:v>
                </c:pt>
                <c:pt idx="5">
                  <c:v>43.753999999999998</c:v>
                </c:pt>
                <c:pt idx="6">
                  <c:v>44.503999999999998</c:v>
                </c:pt>
                <c:pt idx="7">
                  <c:v>45.253999999999998</c:v>
                </c:pt>
                <c:pt idx="8">
                  <c:v>46.003999999999998</c:v>
                </c:pt>
                <c:pt idx="9">
                  <c:v>46.755000000000003</c:v>
                </c:pt>
                <c:pt idx="10">
                  <c:v>47.503999999999998</c:v>
                </c:pt>
                <c:pt idx="11">
                  <c:v>48.253999999999998</c:v>
                </c:pt>
                <c:pt idx="12">
                  <c:v>49.003999999999998</c:v>
                </c:pt>
                <c:pt idx="13">
                  <c:v>49.753999999999998</c:v>
                </c:pt>
                <c:pt idx="14">
                  <c:v>50.503999999999998</c:v>
                </c:pt>
                <c:pt idx="15">
                  <c:v>51.253999999999998</c:v>
                </c:pt>
                <c:pt idx="16">
                  <c:v>52.003999999999998</c:v>
                </c:pt>
                <c:pt idx="17">
                  <c:v>52.753999999999998</c:v>
                </c:pt>
                <c:pt idx="18">
                  <c:v>53.503999999999998</c:v>
                </c:pt>
                <c:pt idx="19">
                  <c:v>54.253</c:v>
                </c:pt>
                <c:pt idx="20">
                  <c:v>55.003999999999998</c:v>
                </c:pt>
                <c:pt idx="21">
                  <c:v>55.753999999999998</c:v>
                </c:pt>
                <c:pt idx="22">
                  <c:v>56.503999999999998</c:v>
                </c:pt>
                <c:pt idx="23">
                  <c:v>57.253999999999998</c:v>
                </c:pt>
                <c:pt idx="24">
                  <c:v>58.003999999999998</c:v>
                </c:pt>
                <c:pt idx="25">
                  <c:v>58.753999999999998</c:v>
                </c:pt>
                <c:pt idx="26">
                  <c:v>59.503999999999998</c:v>
                </c:pt>
              </c:numCache>
            </c:numRef>
          </c:xVal>
          <c:yVal>
            <c:numRef>
              <c:f>Sheet4!$C$2:$C$28</c:f>
              <c:numCache>
                <c:formatCode>General</c:formatCode>
                <c:ptCount val="27"/>
                <c:pt idx="0">
                  <c:v>0.92610697165516542</c:v>
                </c:pt>
                <c:pt idx="1">
                  <c:v>0.92662486258247589</c:v>
                </c:pt>
                <c:pt idx="2">
                  <c:v>0.92778064088695578</c:v>
                </c:pt>
                <c:pt idx="3">
                  <c:v>0.92905356001053618</c:v>
                </c:pt>
                <c:pt idx="4">
                  <c:v>0.9303831606907228</c:v>
                </c:pt>
                <c:pt idx="5">
                  <c:v>0.93118397482830106</c:v>
                </c:pt>
                <c:pt idx="6">
                  <c:v>0.93200321137373265</c:v>
                </c:pt>
                <c:pt idx="7">
                  <c:v>0.93285356767891026</c:v>
                </c:pt>
                <c:pt idx="8">
                  <c:v>0.93341132482649614</c:v>
                </c:pt>
                <c:pt idx="9">
                  <c:v>0.93320463914913565</c:v>
                </c:pt>
                <c:pt idx="10">
                  <c:v>0.93437125550976852</c:v>
                </c:pt>
                <c:pt idx="11">
                  <c:v>0.93580996550656614</c:v>
                </c:pt>
                <c:pt idx="12">
                  <c:v>0.96467226359357117</c:v>
                </c:pt>
                <c:pt idx="13">
                  <c:v>0.96498349945154882</c:v>
                </c:pt>
                <c:pt idx="14">
                  <c:v>0.96507668150860526</c:v>
                </c:pt>
                <c:pt idx="15">
                  <c:v>0.96530218230564058</c:v>
                </c:pt>
                <c:pt idx="16">
                  <c:v>0.96499629963292421</c:v>
                </c:pt>
                <c:pt idx="17">
                  <c:v>0.96450922312392606</c:v>
                </c:pt>
                <c:pt idx="18">
                  <c:v>0.96453096926227866</c:v>
                </c:pt>
                <c:pt idx="19">
                  <c:v>0.96422275237226607</c:v>
                </c:pt>
                <c:pt idx="20">
                  <c:v>0.96378105133194436</c:v>
                </c:pt>
                <c:pt idx="21">
                  <c:v>0.96371291641777934</c:v>
                </c:pt>
                <c:pt idx="22">
                  <c:v>0.96352712915335792</c:v>
                </c:pt>
                <c:pt idx="23">
                  <c:v>0.96323620740702354</c:v>
                </c:pt>
                <c:pt idx="24">
                  <c:v>0.96285270309973991</c:v>
                </c:pt>
                <c:pt idx="25">
                  <c:v>0.96238920314255494</c:v>
                </c:pt>
                <c:pt idx="26">
                  <c:v>0.96458542461659402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8-45C5-9B23-F705A306E113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Sheet4!$F$2:$F$43</c:f>
              <c:numCache>
                <c:formatCode>0.000</c:formatCode>
                <c:ptCount val="42"/>
                <c:pt idx="0">
                  <c:v>20.003</c:v>
                </c:pt>
                <c:pt idx="1">
                  <c:v>20.504000000000001</c:v>
                </c:pt>
                <c:pt idx="2">
                  <c:v>21.004000000000001</c:v>
                </c:pt>
                <c:pt idx="3">
                  <c:v>21.504000000000001</c:v>
                </c:pt>
                <c:pt idx="4">
                  <c:v>22.004000000000001</c:v>
                </c:pt>
                <c:pt idx="5">
                  <c:v>22.504000000000001</c:v>
                </c:pt>
                <c:pt idx="6">
                  <c:v>23.004000000000001</c:v>
                </c:pt>
                <c:pt idx="7">
                  <c:v>23.504000000000001</c:v>
                </c:pt>
                <c:pt idx="8">
                  <c:v>24.004999999999999</c:v>
                </c:pt>
                <c:pt idx="9">
                  <c:v>24.504000000000001</c:v>
                </c:pt>
                <c:pt idx="10">
                  <c:v>25.004000000000001</c:v>
                </c:pt>
                <c:pt idx="11">
                  <c:v>25.504000000000001</c:v>
                </c:pt>
                <c:pt idx="12">
                  <c:v>26.004000000000001</c:v>
                </c:pt>
                <c:pt idx="13">
                  <c:v>26.504000000000001</c:v>
                </c:pt>
                <c:pt idx="14">
                  <c:v>27.003</c:v>
                </c:pt>
                <c:pt idx="15">
                  <c:v>27.504000000000001</c:v>
                </c:pt>
                <c:pt idx="16">
                  <c:v>28.003</c:v>
                </c:pt>
                <c:pt idx="17">
                  <c:v>28.504000000000001</c:v>
                </c:pt>
                <c:pt idx="18">
                  <c:v>29.004000000000001</c:v>
                </c:pt>
                <c:pt idx="19">
                  <c:v>29.504000000000001</c:v>
                </c:pt>
                <c:pt idx="20">
                  <c:v>30.004000000000001</c:v>
                </c:pt>
                <c:pt idx="21">
                  <c:v>30.504000000000001</c:v>
                </c:pt>
                <c:pt idx="22">
                  <c:v>31.004000000000001</c:v>
                </c:pt>
                <c:pt idx="23">
                  <c:v>31.504000000000001</c:v>
                </c:pt>
                <c:pt idx="24">
                  <c:v>32.003999999999998</c:v>
                </c:pt>
                <c:pt idx="25">
                  <c:v>32.503</c:v>
                </c:pt>
                <c:pt idx="26">
                  <c:v>33.003999999999998</c:v>
                </c:pt>
                <c:pt idx="27">
                  <c:v>33.503</c:v>
                </c:pt>
                <c:pt idx="28">
                  <c:v>34.003999999999998</c:v>
                </c:pt>
                <c:pt idx="29">
                  <c:v>34.503999999999998</c:v>
                </c:pt>
                <c:pt idx="30">
                  <c:v>35.003999999999998</c:v>
                </c:pt>
                <c:pt idx="31">
                  <c:v>35.503999999999998</c:v>
                </c:pt>
                <c:pt idx="32">
                  <c:v>36.003999999999998</c:v>
                </c:pt>
                <c:pt idx="33">
                  <c:v>36.503</c:v>
                </c:pt>
                <c:pt idx="34">
                  <c:v>37.003999999999998</c:v>
                </c:pt>
                <c:pt idx="35">
                  <c:v>37.503999999999998</c:v>
                </c:pt>
                <c:pt idx="36">
                  <c:v>38.003</c:v>
                </c:pt>
                <c:pt idx="37">
                  <c:v>38.503</c:v>
                </c:pt>
                <c:pt idx="38">
                  <c:v>39.003999999999998</c:v>
                </c:pt>
                <c:pt idx="39">
                  <c:v>39.503999999999998</c:v>
                </c:pt>
                <c:pt idx="40">
                  <c:v>40.003999999999998</c:v>
                </c:pt>
                <c:pt idx="41">
                  <c:v>40.505000000000003</c:v>
                </c:pt>
              </c:numCache>
            </c:numRef>
          </c:xVal>
          <c:yVal>
            <c:numRef>
              <c:f>Sheet4!$G$2:$G$43</c:f>
              <c:numCache>
                <c:formatCode>General</c:formatCode>
                <c:ptCount val="42"/>
                <c:pt idx="0">
                  <c:v>0.87347727868638592</c:v>
                </c:pt>
                <c:pt idx="1">
                  <c:v>0.87285541351522145</c:v>
                </c:pt>
                <c:pt idx="2">
                  <c:v>0.87287858658722295</c:v>
                </c:pt>
                <c:pt idx="3">
                  <c:v>0.87314572002336277</c:v>
                </c:pt>
                <c:pt idx="4">
                  <c:v>0.87399153731501866</c:v>
                </c:pt>
                <c:pt idx="5">
                  <c:v>0.87442733927543581</c:v>
                </c:pt>
                <c:pt idx="6">
                  <c:v>0.87511856490789464</c:v>
                </c:pt>
                <c:pt idx="7">
                  <c:v>0.8757379983963427</c:v>
                </c:pt>
                <c:pt idx="8">
                  <c:v>0.8762028840522833</c:v>
                </c:pt>
                <c:pt idx="9">
                  <c:v>0.87710735260892003</c:v>
                </c:pt>
                <c:pt idx="10">
                  <c:v>0.87786474735633646</c:v>
                </c:pt>
                <c:pt idx="11">
                  <c:v>0.87856512362978445</c:v>
                </c:pt>
                <c:pt idx="12">
                  <c:v>0.87954369641881791</c:v>
                </c:pt>
                <c:pt idx="13">
                  <c:v>0.88080440933976845</c:v>
                </c:pt>
                <c:pt idx="14">
                  <c:v>0.88178286631944058</c:v>
                </c:pt>
                <c:pt idx="15">
                  <c:v>0.8825288577421937</c:v>
                </c:pt>
                <c:pt idx="16">
                  <c:v>0.88342950738603643</c:v>
                </c:pt>
                <c:pt idx="17">
                  <c:v>0.88443135255301042</c:v>
                </c:pt>
                <c:pt idx="18">
                  <c:v>0.88550026990876252</c:v>
                </c:pt>
                <c:pt idx="19">
                  <c:v>0.88654193460875141</c:v>
                </c:pt>
                <c:pt idx="20">
                  <c:v>0.88722768370701255</c:v>
                </c:pt>
                <c:pt idx="21">
                  <c:v>0.88855827640029328</c:v>
                </c:pt>
                <c:pt idx="22">
                  <c:v>0.88920778064356676</c:v>
                </c:pt>
                <c:pt idx="23">
                  <c:v>0.89050995906414909</c:v>
                </c:pt>
                <c:pt idx="24">
                  <c:v>0.89147081583713472</c:v>
                </c:pt>
                <c:pt idx="25">
                  <c:v>0.89287014067256443</c:v>
                </c:pt>
                <c:pt idx="26">
                  <c:v>0.89438016386490937</c:v>
                </c:pt>
                <c:pt idx="27">
                  <c:v>0.89678325975953976</c:v>
                </c:pt>
                <c:pt idx="28">
                  <c:v>0.93096174841964419</c:v>
                </c:pt>
                <c:pt idx="29">
                  <c:v>0.93261402613078836</c:v>
                </c:pt>
                <c:pt idx="30">
                  <c:v>0.933946976553235</c:v>
                </c:pt>
                <c:pt idx="31">
                  <c:v>0.93496399001374753</c:v>
                </c:pt>
                <c:pt idx="32">
                  <c:v>0.93566845612199823</c:v>
                </c:pt>
                <c:pt idx="33">
                  <c:v>0.93718689958066115</c:v>
                </c:pt>
                <c:pt idx="34">
                  <c:v>0.93748944852364857</c:v>
                </c:pt>
                <c:pt idx="35">
                  <c:v>0.93861374560592103</c:v>
                </c:pt>
                <c:pt idx="36">
                  <c:v>0.93923110023850509</c:v>
                </c:pt>
                <c:pt idx="37">
                  <c:v>0.94009840542204937</c:v>
                </c:pt>
                <c:pt idx="38">
                  <c:v>0.94021228122933898</c:v>
                </c:pt>
                <c:pt idx="39">
                  <c:v>0.94116902102828814</c:v>
                </c:pt>
                <c:pt idx="40">
                  <c:v>0.94150733470849401</c:v>
                </c:pt>
                <c:pt idx="41">
                  <c:v>0.94176831345553136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8-45C5-9B23-F705A306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17648"/>
        <c:axId val="715949680"/>
      </c:scatterChart>
      <c:valAx>
        <c:axId val="6156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9680"/>
        <c:crosses val="autoZero"/>
        <c:crossBetween val="midCat"/>
      </c:valAx>
      <c:valAx>
        <c:axId val="7159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DLPC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277777777777777E-2"/>
                  <c:y val="6.25346310877806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DIPC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761-4D4F-A6ED-3F2B080703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Sheet4!$V$9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Sheet4!$U$9</c:f>
              <c:numCache>
                <c:formatCode>General</c:formatCode>
                <c:ptCount val="1"/>
                <c:pt idx="0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1-4D4F-A6ED-3F2B08070320}"/>
            </c:ext>
          </c:extLst>
        </c:ser>
        <c:ser>
          <c:idx val="1"/>
          <c:order val="1"/>
          <c:tx>
            <c:v>DHPC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DHPC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2C0-431D-92A9-A047E909D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Sheet4!$V$10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Sheet4!$U$10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61-4D4F-A6ED-3F2B0807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13391"/>
        <c:axId val="1223313039"/>
      </c:scatterChart>
      <c:valAx>
        <c:axId val="1076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Chain Length (nC)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13039"/>
        <c:crosses val="autoZero"/>
        <c:crossBetween val="midCat"/>
      </c:valAx>
      <c:valAx>
        <c:axId val="12233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Melting Point (ºC)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133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930409</xdr:colOff>
      <xdr:row>30</xdr:row>
      <xdr:rowOff>28814</xdr:rowOff>
    </xdr:from>
    <xdr:to>
      <xdr:col>7</xdr:col>
      <xdr:colOff>642258</xdr:colOff>
      <xdr:row>45</xdr:row>
      <xdr:rowOff>1921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121CB6-4EDB-87F0-EC6A-B700EE40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90054</xdr:colOff>
      <xdr:row>46</xdr:row>
      <xdr:rowOff>145067</xdr:rowOff>
    </xdr:from>
    <xdr:to>
      <xdr:col>19</xdr:col>
      <xdr:colOff>330472</xdr:colOff>
      <xdr:row>62</xdr:row>
      <xdr:rowOff>18746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0ACC1F-FFD6-BB22-F20C-A60B26FD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4483</xdr:colOff>
      <xdr:row>45</xdr:row>
      <xdr:rowOff>44825</xdr:rowOff>
    </xdr:from>
    <xdr:to>
      <xdr:col>12</xdr:col>
      <xdr:colOff>497542</xdr:colOff>
      <xdr:row>60</xdr:row>
      <xdr:rowOff>98613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CAAB47-A153-65B2-BA99-7B8FC607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318247</xdr:colOff>
      <xdr:row>7</xdr:row>
      <xdr:rowOff>134471</xdr:rowOff>
    </xdr:from>
    <xdr:to>
      <xdr:col>16</xdr:col>
      <xdr:colOff>560294</xdr:colOff>
      <xdr:row>23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33BB0-8EC7-598C-90A2-19BE26355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133350</xdr:rowOff>
    </xdr:from>
    <xdr:to>
      <xdr:col>17</xdr:col>
      <xdr:colOff>38100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2770D-C6BF-73D0-BBFE-3E64CFF8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42334</xdr:colOff>
      <xdr:row>3</xdr:row>
      <xdr:rowOff>59267</xdr:rowOff>
    </xdr:from>
    <xdr:to>
      <xdr:col>18</xdr:col>
      <xdr:colOff>381000</xdr:colOff>
      <xdr:row>22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9D073F-3330-4936-4FC1-876CCCD9B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389468</xdr:colOff>
      <xdr:row>24</xdr:row>
      <xdr:rowOff>84667</xdr:rowOff>
    </xdr:from>
    <xdr:to>
      <xdr:col>18</xdr:col>
      <xdr:colOff>84668</xdr:colOff>
      <xdr:row>39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061A7-0806-ADA8-C847-81CCFBCCA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BA6F-D0A7-4894-84E2-AD7BE88E9753}">
  <dimension ref="A1:Z45"/>
  <sheetViews>
    <sheetView tabSelected="1" topLeftCell="C1" zoomScale="85" zoomScaleNormal="85" workbookViewId="0">
      <selection activeCell="I2" sqref="I2:J29"/>
    </sheetView>
  </sheetViews>
  <sheetFormatPr defaultRowHeight="14.4" x14ac:dyDescent="0.3"/>
  <cols>
    <col min="1" max="1" width="17.6640625" bestFit="1" customWidth="1"/>
    <col min="8" max="8" width="13.5546875" bestFit="1" customWidth="1"/>
    <col min="9" max="9" width="13.44140625" bestFit="1" customWidth="1"/>
    <col min="10" max="10" width="14.6640625" bestFit="1" customWidth="1"/>
    <col min="13" max="13" width="14.44140625" bestFit="1" customWidth="1"/>
    <col min="14" max="14" width="8.5546875" bestFit="1" customWidth="1"/>
    <col min="15" max="15" width="13.44140625" bestFit="1" customWidth="1"/>
    <col min="19" max="19" width="14.6640625" bestFit="1" customWidth="1"/>
    <col min="25" max="25" width="9.33203125" bestFit="1" customWidth="1"/>
  </cols>
  <sheetData>
    <row r="1" spans="1:26" x14ac:dyDescent="0.3">
      <c r="E1" t="s">
        <v>18</v>
      </c>
      <c r="I1" t="s">
        <v>19</v>
      </c>
      <c r="M1" t="s">
        <v>20</v>
      </c>
      <c r="R1" t="s">
        <v>3</v>
      </c>
      <c r="X1" t="s">
        <v>4</v>
      </c>
    </row>
    <row r="2" spans="1:26" x14ac:dyDescent="0.3">
      <c r="E2" t="s">
        <v>5</v>
      </c>
      <c r="F2" t="s">
        <v>12</v>
      </c>
      <c r="G2" t="s">
        <v>13</v>
      </c>
      <c r="I2" t="s">
        <v>5</v>
      </c>
      <c r="J2" t="s">
        <v>6</v>
      </c>
      <c r="M2" t="s">
        <v>5</v>
      </c>
      <c r="N2" t="s">
        <v>80</v>
      </c>
      <c r="O2" t="s">
        <v>21</v>
      </c>
    </row>
    <row r="3" spans="1:26" x14ac:dyDescent="0.3">
      <c r="E3" s="1">
        <v>40.003999999999998</v>
      </c>
      <c r="F3">
        <f>1.0079-2.4423*10^-5*$E3-5.4741*10^-6*($E3)^2+1.4902*10^-8*($E3)^3</f>
        <v>0.99911668465542713</v>
      </c>
      <c r="G3">
        <f>1/F3</f>
        <v>1.0008840962803833</v>
      </c>
      <c r="I3" s="1">
        <v>40.003999999999998</v>
      </c>
      <c r="J3" s="2">
        <v>0.99934000000000001</v>
      </c>
      <c r="K3">
        <f>1/J3</f>
        <v>1.0006604358876858</v>
      </c>
      <c r="M3" s="1">
        <v>40.003999999999998</v>
      </c>
      <c r="N3">
        <f>(K3-((1-$A$14)*G3))/$A$14</f>
        <v>0.92610697165516542</v>
      </c>
      <c r="O3">
        <f>N3*$B$7</f>
        <v>705.77871424262833</v>
      </c>
      <c r="R3" t="s">
        <v>5</v>
      </c>
      <c r="S3" t="s">
        <v>6</v>
      </c>
      <c r="T3" t="s">
        <v>2</v>
      </c>
      <c r="U3" t="s">
        <v>7</v>
      </c>
      <c r="X3" t="s">
        <v>0</v>
      </c>
      <c r="Y3" t="s">
        <v>1</v>
      </c>
      <c r="Z3" t="s">
        <v>2</v>
      </c>
    </row>
    <row r="4" spans="1:26" x14ac:dyDescent="0.3">
      <c r="E4" s="1">
        <v>40.753999999999998</v>
      </c>
      <c r="F4">
        <f t="shared" ref="F4:F28" si="0">1.0079-2.4423*10^-5*$E4-5.4741*10^-6*($E4)^2+1.4902*10^-8*($E4)^3</f>
        <v>0.99882147958192335</v>
      </c>
      <c r="G4">
        <f>1/F4</f>
        <v>1.001179910967243</v>
      </c>
      <c r="I4" s="1">
        <v>40.753999999999998</v>
      </c>
      <c r="J4" s="2">
        <v>0.99904400000000004</v>
      </c>
      <c r="K4">
        <f t="shared" ref="K4:K29" si="1">1/J4</f>
        <v>1.0009569148105588</v>
      </c>
      <c r="M4" s="1">
        <v>40.753999999999998</v>
      </c>
      <c r="N4">
        <f t="shared" ref="N3:N29" si="2">(K4-((1-$A$14)*G4))/$A$14</f>
        <v>0.92662486258247589</v>
      </c>
      <c r="O4">
        <f t="shared" ref="O4:O29" si="3">N4*$B$7</f>
        <v>706.1733947752042</v>
      </c>
      <c r="R4" s="1">
        <v>40.003999999999998</v>
      </c>
      <c r="S4" s="2">
        <v>0.99934000000000001</v>
      </c>
      <c r="T4" s="3">
        <v>1539.1</v>
      </c>
      <c r="X4" s="1">
        <v>14.996</v>
      </c>
      <c r="Y4" s="2">
        <v>1.0063219999999999</v>
      </c>
      <c r="Z4" s="3">
        <v>1477.73</v>
      </c>
    </row>
    <row r="5" spans="1:26" x14ac:dyDescent="0.3">
      <c r="A5" t="s">
        <v>14</v>
      </c>
      <c r="E5" s="1">
        <v>41.503999999999998</v>
      </c>
      <c r="F5">
        <f t="shared" si="0"/>
        <v>0.99852216583778419</v>
      </c>
      <c r="G5">
        <f t="shared" ref="G5:G27" si="4">1/F5</f>
        <v>1.0014800213883843</v>
      </c>
      <c r="I5" s="1">
        <v>41.503999999999998</v>
      </c>
      <c r="J5" s="2">
        <v>0.99874200000000002</v>
      </c>
      <c r="K5">
        <f t="shared" si="1"/>
        <v>1.0012595845573731</v>
      </c>
      <c r="M5" s="1">
        <v>41.503999999999998</v>
      </c>
      <c r="N5">
        <f>(K5-((1-$A$14)*G5))/$A$14</f>
        <v>0.92778064088695578</v>
      </c>
      <c r="O5">
        <f t="shared" si="3"/>
        <v>707.05420417482185</v>
      </c>
      <c r="R5" s="1">
        <v>40.753999999999998</v>
      </c>
      <c r="S5" s="2">
        <v>0.99904400000000004</v>
      </c>
      <c r="T5" s="3">
        <v>1540.29</v>
      </c>
      <c r="X5" s="1">
        <v>16.003</v>
      </c>
      <c r="Y5" s="2">
        <v>1.0061450000000001</v>
      </c>
      <c r="Z5" s="3">
        <v>1481.03</v>
      </c>
    </row>
    <row r="6" spans="1:26" x14ac:dyDescent="0.3">
      <c r="E6" s="1">
        <v>42.253</v>
      </c>
      <c r="F6">
        <f t="shared" si="0"/>
        <v>0.99821918835023915</v>
      </c>
      <c r="G6">
        <f t="shared" si="4"/>
        <v>1.0017839885974382</v>
      </c>
      <c r="I6" s="1">
        <v>42.253</v>
      </c>
      <c r="J6" s="2">
        <v>0.99843599999999999</v>
      </c>
      <c r="K6">
        <f t="shared" si="1"/>
        <v>1.0015664499276868</v>
      </c>
      <c r="M6" s="1">
        <v>42.253</v>
      </c>
      <c r="N6">
        <f t="shared" si="2"/>
        <v>0.92905356001053618</v>
      </c>
      <c r="O6">
        <f t="shared" si="3"/>
        <v>708.02428565554953</v>
      </c>
      <c r="R6" s="1">
        <v>41.503999999999998</v>
      </c>
      <c r="S6" s="2">
        <v>0.99874200000000002</v>
      </c>
      <c r="T6" s="3">
        <v>1541.41</v>
      </c>
      <c r="X6" s="1">
        <v>17.004000000000001</v>
      </c>
      <c r="Y6" s="2">
        <v>1.005957</v>
      </c>
      <c r="Z6" s="3">
        <v>1484.26</v>
      </c>
    </row>
    <row r="7" spans="1:26" x14ac:dyDescent="0.3">
      <c r="A7" t="s">
        <v>15</v>
      </c>
      <c r="B7">
        <v>762.09199999999998</v>
      </c>
      <c r="E7" s="1">
        <v>43.003999999999998</v>
      </c>
      <c r="F7">
        <f t="shared" si="0"/>
        <v>0.99791136322034912</v>
      </c>
      <c r="G7">
        <f t="shared" si="4"/>
        <v>1.0020930083137951</v>
      </c>
      <c r="I7" s="1">
        <v>43.003999999999998</v>
      </c>
      <c r="J7" s="2">
        <v>0.99812500000000004</v>
      </c>
      <c r="K7">
        <f t="shared" si="1"/>
        <v>1.0018785222291797</v>
      </c>
      <c r="M7" s="1">
        <v>43.003999999999998</v>
      </c>
      <c r="N7">
        <f t="shared" si="2"/>
        <v>0.9303831606907228</v>
      </c>
      <c r="O7">
        <f t="shared" si="3"/>
        <v>709.03756369711425</v>
      </c>
      <c r="R7" s="1">
        <v>42.253</v>
      </c>
      <c r="S7" s="2">
        <v>0.99843599999999999</v>
      </c>
      <c r="T7" s="3">
        <v>1542.5</v>
      </c>
      <c r="X7" s="1">
        <v>18.003</v>
      </c>
      <c r="Y7" s="2">
        <v>1.0057579999999999</v>
      </c>
      <c r="Z7" s="3">
        <v>1487.42</v>
      </c>
    </row>
    <row r="8" spans="1:26" x14ac:dyDescent="0.3">
      <c r="E8" s="1">
        <v>43.753999999999998</v>
      </c>
      <c r="F8">
        <f t="shared" si="0"/>
        <v>0.99759994978842825</v>
      </c>
      <c r="G8">
        <f t="shared" si="4"/>
        <v>1.0024058243107177</v>
      </c>
      <c r="I8" s="1">
        <v>43.753999999999998</v>
      </c>
      <c r="J8" s="2">
        <v>0.99781200000000003</v>
      </c>
      <c r="K8">
        <f t="shared" si="1"/>
        <v>1.0021927978416776</v>
      </c>
      <c r="M8" s="1">
        <v>43.753999999999998</v>
      </c>
      <c r="N8">
        <f t="shared" si="2"/>
        <v>0.93118397482830106</v>
      </c>
      <c r="O8">
        <f t="shared" si="3"/>
        <v>709.6478577448496</v>
      </c>
      <c r="R8" s="1">
        <v>43.003999999999998</v>
      </c>
      <c r="S8" s="2">
        <v>0.99812500000000004</v>
      </c>
      <c r="T8" s="3">
        <v>1543.53</v>
      </c>
      <c r="X8" s="1">
        <v>19.003</v>
      </c>
      <c r="Y8" s="2">
        <v>1.0055480000000001</v>
      </c>
      <c r="Z8" s="3">
        <v>1490.51</v>
      </c>
    </row>
    <row r="9" spans="1:26" x14ac:dyDescent="0.3">
      <c r="A9" t="s">
        <v>9</v>
      </c>
      <c r="E9" s="1">
        <v>44.503999999999998</v>
      </c>
      <c r="F9">
        <f t="shared" si="0"/>
        <v>0.99728457856862207</v>
      </c>
      <c r="G9">
        <f t="shared" si="4"/>
        <v>1.0027228150216414</v>
      </c>
      <c r="I9" s="1">
        <v>44.503999999999998</v>
      </c>
      <c r="J9" s="2">
        <v>0.99749500000000002</v>
      </c>
      <c r="K9">
        <f t="shared" si="1"/>
        <v>1.0025112907834124</v>
      </c>
      <c r="M9" s="1">
        <v>44.503999999999998</v>
      </c>
      <c r="N9">
        <f t="shared" si="2"/>
        <v>0.93200321137373265</v>
      </c>
      <c r="O9">
        <f t="shared" si="3"/>
        <v>710.27219136223061</v>
      </c>
      <c r="R9" s="1">
        <v>43.753999999999998</v>
      </c>
      <c r="S9" s="2">
        <v>0.99781200000000003</v>
      </c>
      <c r="T9" s="3">
        <v>1544.56</v>
      </c>
      <c r="X9" s="1">
        <v>20.004000000000001</v>
      </c>
      <c r="Y9" s="2">
        <v>1.0053319999999999</v>
      </c>
      <c r="Z9" s="3">
        <v>1493.52</v>
      </c>
    </row>
    <row r="10" spans="1:26" x14ac:dyDescent="0.3">
      <c r="A10" t="s">
        <v>8</v>
      </c>
      <c r="E10" s="1">
        <v>45.253999999999998</v>
      </c>
      <c r="F10">
        <f t="shared" si="0"/>
        <v>0.99696528728161771</v>
      </c>
      <c r="G10">
        <f t="shared" si="4"/>
        <v>1.0030439502328681</v>
      </c>
      <c r="I10" s="1">
        <v>45.253999999999998</v>
      </c>
      <c r="J10" s="2">
        <v>0.997174</v>
      </c>
      <c r="K10">
        <f t="shared" si="1"/>
        <v>1.0028340089091774</v>
      </c>
      <c r="M10" s="1">
        <v>45.253999999999998</v>
      </c>
      <c r="N10">
        <f t="shared" si="2"/>
        <v>0.93285356767891026</v>
      </c>
      <c r="O10">
        <f t="shared" si="3"/>
        <v>710.92024109955605</v>
      </c>
      <c r="R10" s="1">
        <v>44.503999999999998</v>
      </c>
      <c r="S10" s="2">
        <v>0.99749500000000002</v>
      </c>
      <c r="T10" s="3">
        <v>1545.38</v>
      </c>
      <c r="X10" s="1">
        <v>21.004000000000001</v>
      </c>
      <c r="Y10" s="2">
        <v>1.0051030000000001</v>
      </c>
      <c r="Z10" s="3">
        <v>1496.42</v>
      </c>
    </row>
    <row r="11" spans="1:26" x14ac:dyDescent="0.3">
      <c r="A11" t="s">
        <v>10</v>
      </c>
      <c r="E11" s="1">
        <v>46.003999999999998</v>
      </c>
      <c r="F11">
        <f t="shared" si="0"/>
        <v>0.99664211364810307</v>
      </c>
      <c r="G11">
        <f t="shared" si="4"/>
        <v>1.0033691997417264</v>
      </c>
      <c r="I11" s="1">
        <v>46.003999999999998</v>
      </c>
      <c r="J11" s="2">
        <v>0.99685000000000001</v>
      </c>
      <c r="K11">
        <f t="shared" si="1"/>
        <v>1.0031599538546421</v>
      </c>
      <c r="M11" s="1">
        <v>46.003999999999998</v>
      </c>
      <c r="N11">
        <f t="shared" si="2"/>
        <v>0.93341132482649614</v>
      </c>
      <c r="O11">
        <f>N11*$B$7</f>
        <v>711.34530335967406</v>
      </c>
      <c r="R11" s="1">
        <v>45.253999999999998</v>
      </c>
      <c r="S11" s="2">
        <v>0.997174</v>
      </c>
      <c r="T11" s="3">
        <v>1546.36</v>
      </c>
      <c r="X11" s="1">
        <v>22.004000000000001</v>
      </c>
      <c r="Y11" s="2">
        <v>1.004861</v>
      </c>
      <c r="Z11" s="3">
        <v>1499.28</v>
      </c>
    </row>
    <row r="12" spans="1:26" x14ac:dyDescent="0.3">
      <c r="A12" t="s">
        <v>11</v>
      </c>
      <c r="E12" s="1">
        <v>46.755000000000003</v>
      </c>
      <c r="F12">
        <f t="shared" si="0"/>
        <v>0.99631465681471643</v>
      </c>
      <c r="G12">
        <f t="shared" si="4"/>
        <v>1.0036989751782492</v>
      </c>
      <c r="I12" s="1">
        <v>46.755000000000003</v>
      </c>
      <c r="J12" s="2">
        <v>0.99652399999999997</v>
      </c>
      <c r="K12">
        <f>1/J12</f>
        <v>1.0034881247215321</v>
      </c>
      <c r="M12" s="1">
        <v>46.755000000000003</v>
      </c>
      <c r="N12">
        <f t="shared" si="2"/>
        <v>0.93320463914913565</v>
      </c>
      <c r="O12">
        <f t="shared" si="3"/>
        <v>711.18778985844313</v>
      </c>
      <c r="R12" s="1">
        <v>46.003999999999998</v>
      </c>
      <c r="S12" s="2">
        <v>0.99685000000000001</v>
      </c>
      <c r="T12" s="3">
        <v>1547.31</v>
      </c>
      <c r="X12" s="1">
        <v>23.004000000000001</v>
      </c>
      <c r="Y12" s="2">
        <v>1.004616</v>
      </c>
      <c r="Z12" s="3">
        <v>1502.24</v>
      </c>
    </row>
    <row r="13" spans="1:26" x14ac:dyDescent="0.3">
      <c r="E13" s="1">
        <v>47.503999999999998</v>
      </c>
      <c r="F13">
        <f t="shared" si="0"/>
        <v>0.99598427022429203</v>
      </c>
      <c r="G13">
        <f t="shared" si="4"/>
        <v>1.0040319208804409</v>
      </c>
      <c r="I13" s="1">
        <v>47.503999999999998</v>
      </c>
      <c r="J13" s="2">
        <v>0.99619100000000005</v>
      </c>
      <c r="K13">
        <f t="shared" si="1"/>
        <v>1.003823563955105</v>
      </c>
      <c r="M13" s="1">
        <v>47.503999999999998</v>
      </c>
      <c r="N13">
        <f t="shared" si="2"/>
        <v>0.93437125550976852</v>
      </c>
      <c r="O13">
        <f t="shared" si="3"/>
        <v>712.07685885395051</v>
      </c>
      <c r="R13" s="1">
        <v>46.755000000000003</v>
      </c>
      <c r="S13" s="2">
        <v>0.99652399999999997</v>
      </c>
      <c r="T13" s="3">
        <v>1548.22</v>
      </c>
      <c r="X13" s="1">
        <v>24.004000000000001</v>
      </c>
      <c r="Y13" s="2">
        <v>1.004359</v>
      </c>
      <c r="Z13" s="3">
        <v>1504.93</v>
      </c>
    </row>
    <row r="14" spans="1:26" x14ac:dyDescent="0.3">
      <c r="A14">
        <f>(0.003)/(0.003+1)</f>
        <v>2.9910269192422734E-3</v>
      </c>
      <c r="B14" t="s">
        <v>16</v>
      </c>
      <c r="E14" s="1">
        <v>48.253999999999998</v>
      </c>
      <c r="F14">
        <f t="shared" si="0"/>
        <v>0.99564967587537057</v>
      </c>
      <c r="G14">
        <f t="shared" si="4"/>
        <v>1.0043693321356275</v>
      </c>
      <c r="I14" s="1">
        <v>48.253999999999998</v>
      </c>
      <c r="J14" s="2">
        <v>0.99585299999999999</v>
      </c>
      <c r="K14">
        <f t="shared" si="1"/>
        <v>1.0041642692244739</v>
      </c>
      <c r="M14" s="1">
        <v>48.253999999999998</v>
      </c>
      <c r="N14">
        <f t="shared" si="2"/>
        <v>0.93580996550656614</v>
      </c>
      <c r="O14">
        <f t="shared" si="3"/>
        <v>713.17328823283003</v>
      </c>
      <c r="R14" s="1">
        <v>47.503999999999998</v>
      </c>
      <c r="S14" s="2">
        <v>0.99619100000000005</v>
      </c>
      <c r="T14" s="3">
        <v>1549.06</v>
      </c>
      <c r="X14" s="1">
        <v>25.004000000000001</v>
      </c>
      <c r="Y14" s="2">
        <v>1.0040880000000001</v>
      </c>
      <c r="Z14" s="3">
        <v>1507.53</v>
      </c>
    </row>
    <row r="15" spans="1:26" x14ac:dyDescent="0.3">
      <c r="A15">
        <f>1-A14</f>
        <v>0.99700897308075775</v>
      </c>
      <c r="B15" t="s">
        <v>17</v>
      </c>
      <c r="E15" s="1">
        <v>49.003999999999998</v>
      </c>
      <c r="F15">
        <f t="shared" si="0"/>
        <v>0.99531135006268889</v>
      </c>
      <c r="G15">
        <f t="shared" si="4"/>
        <v>1.0047107369337402</v>
      </c>
      <c r="I15" s="1">
        <v>49.003999999999998</v>
      </c>
      <c r="J15" s="2">
        <v>0.99543000000000004</v>
      </c>
      <c r="K15">
        <f t="shared" si="1"/>
        <v>1.0045909807821745</v>
      </c>
      <c r="M15" s="1">
        <v>49.003999999999998</v>
      </c>
      <c r="N15">
        <f t="shared" si="2"/>
        <v>0.96467226359357117</v>
      </c>
      <c r="O15">
        <f t="shared" si="3"/>
        <v>735.16901470655182</v>
      </c>
      <c r="R15" s="1">
        <v>48.253999999999998</v>
      </c>
      <c r="S15" s="2">
        <v>0.99585299999999999</v>
      </c>
      <c r="T15" s="3">
        <v>1549.92</v>
      </c>
      <c r="X15" s="1">
        <v>26.003</v>
      </c>
      <c r="Y15" s="2">
        <v>1.003814</v>
      </c>
      <c r="Z15" s="3">
        <v>1510.09</v>
      </c>
    </row>
    <row r="16" spans="1:26" x14ac:dyDescent="0.3">
      <c r="E16" s="1">
        <v>49.753999999999998</v>
      </c>
      <c r="F16">
        <f t="shared" si="0"/>
        <v>0.99496933050693415</v>
      </c>
      <c r="G16">
        <f t="shared" si="4"/>
        <v>1.0050561050866791</v>
      </c>
      <c r="I16" s="1">
        <v>49.753999999999998</v>
      </c>
      <c r="J16" s="2">
        <v>0.99508799999999997</v>
      </c>
      <c r="K16">
        <f t="shared" si="1"/>
        <v>1.0049362468445002</v>
      </c>
      <c r="M16" s="1">
        <v>49.753999999999998</v>
      </c>
      <c r="N16">
        <f t="shared" si="2"/>
        <v>0.96498349945154882</v>
      </c>
      <c r="O16">
        <f t="shared" si="3"/>
        <v>735.40620506402968</v>
      </c>
      <c r="R16" s="1">
        <v>49.003999999999998</v>
      </c>
      <c r="S16" s="2">
        <v>0.99543000000000004</v>
      </c>
      <c r="T16" s="3">
        <v>1550.26</v>
      </c>
      <c r="X16" s="1">
        <v>27.004000000000001</v>
      </c>
      <c r="Y16" s="2">
        <v>1.003528</v>
      </c>
      <c r="Z16" s="3">
        <v>1512.57</v>
      </c>
    </row>
    <row r="17" spans="5:26" x14ac:dyDescent="0.3">
      <c r="E17" s="1">
        <v>50.503999999999998</v>
      </c>
      <c r="F17">
        <f t="shared" si="0"/>
        <v>0.99462365492879379</v>
      </c>
      <c r="G17">
        <f t="shared" si="4"/>
        <v>1.0054054064012696</v>
      </c>
      <c r="I17" s="1">
        <v>50.503999999999998</v>
      </c>
      <c r="J17" s="2">
        <v>0.99474300000000004</v>
      </c>
      <c r="K17">
        <f t="shared" si="1"/>
        <v>1.005284782099497</v>
      </c>
      <c r="M17" s="1">
        <v>50.503999999999998</v>
      </c>
      <c r="N17">
        <f t="shared" si="2"/>
        <v>0.96507668150860526</v>
      </c>
      <c r="O17">
        <f t="shared" si="3"/>
        <v>735.47721836425603</v>
      </c>
      <c r="R17" s="1">
        <v>49.753999999999998</v>
      </c>
      <c r="S17" s="2">
        <v>0.99508799999999997</v>
      </c>
      <c r="T17" s="3">
        <v>1551.07</v>
      </c>
      <c r="X17" s="1">
        <v>28.004000000000001</v>
      </c>
      <c r="Y17" s="2">
        <v>1.0032380000000001</v>
      </c>
      <c r="Z17" s="3">
        <v>1514.98</v>
      </c>
    </row>
    <row r="18" spans="5:26" x14ac:dyDescent="0.3">
      <c r="E18" s="1">
        <v>51.253999999999998</v>
      </c>
      <c r="F18">
        <f t="shared" si="0"/>
        <v>0.99427436104895572</v>
      </c>
      <c r="G18">
        <f t="shared" si="4"/>
        <v>1.0057586106766383</v>
      </c>
      <c r="I18" s="1">
        <v>51.253999999999998</v>
      </c>
      <c r="J18" s="2">
        <v>0.994394</v>
      </c>
      <c r="K18">
        <f t="shared" si="1"/>
        <v>1.0056376044103243</v>
      </c>
      <c r="M18" s="1">
        <v>51.253999999999998</v>
      </c>
      <c r="N18">
        <f t="shared" si="2"/>
        <v>0.96530218230564058</v>
      </c>
      <c r="O18">
        <f t="shared" si="3"/>
        <v>735.64907071767027</v>
      </c>
      <c r="R18" s="1">
        <v>50.503999999999998</v>
      </c>
      <c r="S18" s="2">
        <v>0.99474300000000004</v>
      </c>
      <c r="T18" s="3">
        <v>1551.87</v>
      </c>
      <c r="X18" s="1">
        <v>29.003</v>
      </c>
      <c r="Y18" s="2">
        <v>1.002934</v>
      </c>
      <c r="Z18" s="3">
        <v>1517.31</v>
      </c>
    </row>
    <row r="19" spans="5:26" x14ac:dyDescent="0.3">
      <c r="E19" s="1">
        <v>52.003999999999998</v>
      </c>
      <c r="F19">
        <f t="shared" si="0"/>
        <v>0.99392148658810675</v>
      </c>
      <c r="G19">
        <f t="shared" si="4"/>
        <v>1.0061156877016104</v>
      </c>
      <c r="I19" s="1">
        <v>52.003999999999998</v>
      </c>
      <c r="J19" s="2">
        <v>0.99404300000000001</v>
      </c>
      <c r="K19">
        <f t="shared" si="1"/>
        <v>1.0059926985049943</v>
      </c>
      <c r="M19" s="1">
        <v>52.003999999999998</v>
      </c>
      <c r="N19">
        <f t="shared" si="2"/>
        <v>0.96499629963292421</v>
      </c>
      <c r="O19">
        <f t="shared" si="3"/>
        <v>735.41595997985451</v>
      </c>
      <c r="R19" s="1">
        <v>51.253999999999998</v>
      </c>
      <c r="S19" s="2">
        <v>0.994394</v>
      </c>
      <c r="T19" s="3">
        <v>1552.64</v>
      </c>
      <c r="X19" s="1">
        <v>30.004000000000001</v>
      </c>
      <c r="Y19" s="2">
        <v>1.002626</v>
      </c>
      <c r="Z19" s="3">
        <v>1519.59</v>
      </c>
    </row>
    <row r="20" spans="5:26" x14ac:dyDescent="0.3">
      <c r="E20" s="1">
        <v>52.753999999999998</v>
      </c>
      <c r="F20">
        <f t="shared" si="0"/>
        <v>0.993565069266935</v>
      </c>
      <c r="G20">
        <f t="shared" si="4"/>
        <v>1.0064766072521176</v>
      </c>
      <c r="I20" s="1">
        <v>52.753999999999998</v>
      </c>
      <c r="J20" s="2">
        <v>0.99368900000000004</v>
      </c>
      <c r="K20">
        <f t="shared" si="1"/>
        <v>1.00635108167646</v>
      </c>
      <c r="M20" s="1">
        <v>52.753999999999998</v>
      </c>
      <c r="N20">
        <f t="shared" si="2"/>
        <v>0.96450922312392606</v>
      </c>
      <c r="O20">
        <f t="shared" si="3"/>
        <v>735.04476286895908</v>
      </c>
      <c r="R20" s="1">
        <v>52.003999999999998</v>
      </c>
      <c r="S20" s="2">
        <v>0.99404300000000001</v>
      </c>
      <c r="T20" s="3">
        <v>1553.38</v>
      </c>
      <c r="X20" s="1">
        <v>31.004000000000001</v>
      </c>
      <c r="Y20" s="2">
        <v>1.0023070000000001</v>
      </c>
      <c r="Z20" s="3">
        <v>1521.8</v>
      </c>
    </row>
    <row r="21" spans="5:26" x14ac:dyDescent="0.3">
      <c r="E21" s="1">
        <v>53.503999999999998</v>
      </c>
      <c r="F21">
        <f t="shared" si="0"/>
        <v>0.9932051468061277</v>
      </c>
      <c r="G21">
        <f t="shared" si="4"/>
        <v>1.0068413390886291</v>
      </c>
      <c r="I21" s="1">
        <v>53.503999999999998</v>
      </c>
      <c r="J21" s="2">
        <v>0.99333000000000005</v>
      </c>
      <c r="K21">
        <f t="shared" si="1"/>
        <v>1.0067147876335154</v>
      </c>
      <c r="M21" s="1">
        <v>53.503999999999998</v>
      </c>
      <c r="N21">
        <f t="shared" si="2"/>
        <v>0.96453096926227866</v>
      </c>
      <c r="O21">
        <f t="shared" si="3"/>
        <v>735.06133542702844</v>
      </c>
      <c r="R21" s="1">
        <v>52.753999999999998</v>
      </c>
      <c r="S21" s="2">
        <v>0.99368900000000004</v>
      </c>
      <c r="T21" s="3">
        <v>1554.09</v>
      </c>
      <c r="X21" s="1">
        <v>32.003999999999998</v>
      </c>
      <c r="Y21" s="2">
        <v>1.0019819999999999</v>
      </c>
      <c r="Z21" s="3">
        <v>1523.94</v>
      </c>
    </row>
    <row r="22" spans="5:26" x14ac:dyDescent="0.3">
      <c r="E22" s="1">
        <v>54.253</v>
      </c>
      <c r="F22">
        <f t="shared" si="0"/>
        <v>0.99284224373801144</v>
      </c>
      <c r="G22">
        <f t="shared" si="4"/>
        <v>1.0072093590972115</v>
      </c>
      <c r="I22" s="1">
        <v>54.253</v>
      </c>
      <c r="J22" s="2">
        <v>0.99296899999999999</v>
      </c>
      <c r="K22">
        <f t="shared" si="1"/>
        <v>1.0070807849993304</v>
      </c>
      <c r="M22" s="1">
        <v>54.253</v>
      </c>
      <c r="N22">
        <f t="shared" si="2"/>
        <v>0.96422275237226607</v>
      </c>
      <c r="O22">
        <f t="shared" si="3"/>
        <v>734.82644580088493</v>
      </c>
      <c r="R22" s="1">
        <v>53.503999999999998</v>
      </c>
      <c r="S22" s="2">
        <v>0.99333000000000005</v>
      </c>
      <c r="T22" s="3">
        <v>1554.76</v>
      </c>
      <c r="X22" s="1">
        <v>33.003999999999998</v>
      </c>
      <c r="Y22" s="2">
        <v>1.001647</v>
      </c>
      <c r="Z22" s="3">
        <v>1526</v>
      </c>
    </row>
    <row r="23" spans="5:26" x14ac:dyDescent="0.3">
      <c r="E23" s="1">
        <v>55.003999999999998</v>
      </c>
      <c r="F23">
        <f t="shared" si="0"/>
        <v>0.99247493734835657</v>
      </c>
      <c r="G23">
        <f t="shared" si="4"/>
        <v>1.0075821185689067</v>
      </c>
      <c r="I23" s="1">
        <v>55.003999999999998</v>
      </c>
      <c r="J23" s="2">
        <v>0.99260400000000004</v>
      </c>
      <c r="K23">
        <f t="shared" si="1"/>
        <v>1.0074511083977093</v>
      </c>
      <c r="M23" s="1">
        <v>55.003999999999998</v>
      </c>
      <c r="N23">
        <f>(K23-((1-$A$14)*G23))/$A$14</f>
        <v>0.96378105133194436</v>
      </c>
      <c r="O23">
        <f t="shared" si="3"/>
        <v>734.48982897166411</v>
      </c>
      <c r="R23" s="1">
        <v>54.253</v>
      </c>
      <c r="S23" s="2">
        <v>0.99296899999999999</v>
      </c>
      <c r="T23" s="3">
        <v>1555.4</v>
      </c>
      <c r="X23" s="1">
        <v>34.003</v>
      </c>
      <c r="Y23" s="2">
        <v>1.0013069999999999</v>
      </c>
      <c r="Z23" s="3">
        <v>1528.01</v>
      </c>
    </row>
    <row r="24" spans="5:26" x14ac:dyDescent="0.3">
      <c r="E24" s="1">
        <v>55.753999999999998</v>
      </c>
      <c r="F24">
        <f t="shared" si="0"/>
        <v>0.99210472579276787</v>
      </c>
      <c r="G24">
        <f t="shared" si="4"/>
        <v>1.0079581056333777</v>
      </c>
      <c r="I24" s="1">
        <v>55.753999999999998</v>
      </c>
      <c r="J24" s="2">
        <v>0.99223499999999998</v>
      </c>
      <c r="K24">
        <f>1/J24</f>
        <v>1.007825767081387</v>
      </c>
      <c r="M24" s="1">
        <v>55.753999999999998</v>
      </c>
      <c r="N24">
        <f t="shared" si="2"/>
        <v>0.96371291641777934</v>
      </c>
      <c r="O24">
        <f t="shared" si="3"/>
        <v>734.43790389865831</v>
      </c>
      <c r="R24" s="1">
        <v>55.003999999999998</v>
      </c>
      <c r="S24" s="2">
        <v>0.99260400000000004</v>
      </c>
      <c r="T24" s="3">
        <v>1556.01</v>
      </c>
      <c r="X24" s="1">
        <v>35.003999999999998</v>
      </c>
      <c r="Y24" s="2">
        <v>1.0009539999999999</v>
      </c>
      <c r="Z24" s="3">
        <v>1529.76</v>
      </c>
    </row>
    <row r="25" spans="5:26" x14ac:dyDescent="0.3">
      <c r="E25" s="1">
        <v>56.503999999999998</v>
      </c>
      <c r="F25">
        <f t="shared" si="0"/>
        <v>0.99173115998029349</v>
      </c>
      <c r="G25">
        <f t="shared" si="4"/>
        <v>1.008337783820235</v>
      </c>
      <c r="I25" s="1">
        <v>56.503999999999998</v>
      </c>
      <c r="J25" s="2">
        <v>0.99186300000000005</v>
      </c>
      <c r="K25">
        <f t="shared" si="1"/>
        <v>1.0082037539458575</v>
      </c>
      <c r="M25" s="1">
        <v>56.503999999999998</v>
      </c>
      <c r="N25">
        <f>(K25-((1-$A$14)*G25))/$A$14</f>
        <v>0.96352712915335792</v>
      </c>
      <c r="O25">
        <f t="shared" si="3"/>
        <v>734.29631691074087</v>
      </c>
      <c r="R25" s="1">
        <v>55.753999999999998</v>
      </c>
      <c r="S25" s="2">
        <v>0.99223499999999998</v>
      </c>
      <c r="T25" s="3">
        <v>1556.59</v>
      </c>
      <c r="X25" s="1">
        <v>36.003999999999998</v>
      </c>
      <c r="Y25" s="2">
        <v>1.000597</v>
      </c>
      <c r="Z25" s="3">
        <v>1531.66</v>
      </c>
    </row>
    <row r="26" spans="5:26" x14ac:dyDescent="0.3">
      <c r="E26" s="1">
        <v>57.253999999999998</v>
      </c>
      <c r="F26">
        <f t="shared" si="0"/>
        <v>0.99135427763162132</v>
      </c>
      <c r="G26">
        <f>1/F26</f>
        <v>1.0087211227746287</v>
      </c>
      <c r="I26" s="1">
        <v>57.253999999999998</v>
      </c>
      <c r="J26" s="2">
        <v>0.99148800000000004</v>
      </c>
      <c r="K26">
        <f t="shared" si="1"/>
        <v>1.0085850761683448</v>
      </c>
      <c r="M26" s="1">
        <v>57.253999999999998</v>
      </c>
      <c r="N26">
        <f t="shared" si="2"/>
        <v>0.96323620740702354</v>
      </c>
      <c r="O26">
        <f t="shared" si="3"/>
        <v>734.0746077752334</v>
      </c>
      <c r="R26" s="1">
        <v>56.503999999999998</v>
      </c>
      <c r="S26" s="2">
        <v>0.99186300000000005</v>
      </c>
      <c r="T26" s="3">
        <v>1556.96</v>
      </c>
      <c r="X26" s="1">
        <v>37.003999999999998</v>
      </c>
      <c r="Y26" s="2">
        <v>1.0002329999999999</v>
      </c>
      <c r="Z26" s="3">
        <v>1533.48</v>
      </c>
    </row>
    <row r="27" spans="5:26" x14ac:dyDescent="0.3">
      <c r="E27" s="1">
        <v>58.003999999999998</v>
      </c>
      <c r="F27">
        <f t="shared" si="0"/>
        <v>0.9909741164674386</v>
      </c>
      <c r="G27">
        <f t="shared" si="4"/>
        <v>1.0091080921111606</v>
      </c>
      <c r="I27" s="1">
        <v>58.003999999999998</v>
      </c>
      <c r="J27" s="2">
        <v>0.99111000000000005</v>
      </c>
      <c r="K27">
        <f t="shared" si="1"/>
        <v>1.0089697409974674</v>
      </c>
      <c r="M27" s="1">
        <v>58.003999999999998</v>
      </c>
      <c r="N27">
        <f t="shared" si="2"/>
        <v>0.96285270309973991</v>
      </c>
      <c r="O27">
        <f t="shared" si="3"/>
        <v>733.78234221068692</v>
      </c>
      <c r="R27" s="1">
        <v>57.253999999999998</v>
      </c>
      <c r="S27" s="2">
        <v>0.99148800000000004</v>
      </c>
      <c r="T27" s="3">
        <v>1557.47</v>
      </c>
      <c r="X27" s="1">
        <v>38.003</v>
      </c>
      <c r="Y27" s="2">
        <v>0.999861</v>
      </c>
      <c r="Z27" s="3">
        <v>1535.24</v>
      </c>
    </row>
    <row r="28" spans="5:26" x14ac:dyDescent="0.3">
      <c r="E28" s="1">
        <v>58.753999999999998</v>
      </c>
      <c r="F28">
        <f t="shared" si="0"/>
        <v>0.99059071420843281</v>
      </c>
      <c r="G28">
        <f>1/F28</f>
        <v>1.0094986614114245</v>
      </c>
      <c r="I28" s="1">
        <v>58.753999999999998</v>
      </c>
      <c r="J28" s="2">
        <v>0.99072899999999997</v>
      </c>
      <c r="K28">
        <f>1/J28</f>
        <v>1.0093577557535915</v>
      </c>
      <c r="M28" s="1">
        <v>58.753999999999998</v>
      </c>
      <c r="N28">
        <f t="shared" si="2"/>
        <v>0.96238920314255494</v>
      </c>
      <c r="O28">
        <f t="shared" si="3"/>
        <v>733.42911260131598</v>
      </c>
      <c r="R28" s="1">
        <v>58.003999999999998</v>
      </c>
      <c r="S28" s="2">
        <v>0.99111000000000005</v>
      </c>
      <c r="T28" s="3">
        <v>1558</v>
      </c>
      <c r="X28" s="1">
        <v>39.003999999999998</v>
      </c>
      <c r="Y28" s="2">
        <v>0.99948199999999998</v>
      </c>
      <c r="Z28" s="3">
        <v>1536.93</v>
      </c>
    </row>
    <row r="29" spans="5:26" x14ac:dyDescent="0.3">
      <c r="E29" s="1">
        <v>59.503999999999998</v>
      </c>
      <c r="F29">
        <f>1.0079-2.4423*10^-5*$E29-5.4741*10^-6*($E29)^2+1.4902*10^-8*($E29)^3</f>
        <v>0.99020410857529151</v>
      </c>
      <c r="G29">
        <f>1/F29</f>
        <v>1.0098928002215652</v>
      </c>
      <c r="I29" s="1">
        <v>59.503999999999998</v>
      </c>
      <c r="J29" s="2">
        <v>0.99033700000000002</v>
      </c>
      <c r="K29">
        <f t="shared" si="1"/>
        <v>1.0097572846414906</v>
      </c>
      <c r="M29" s="1">
        <v>59.503999999999998</v>
      </c>
      <c r="N29">
        <f t="shared" si="2"/>
        <v>0.96458542461659402</v>
      </c>
      <c r="O29">
        <f t="shared" si="3"/>
        <v>735.10283541690933</v>
      </c>
      <c r="R29" s="1">
        <v>58.753999999999998</v>
      </c>
      <c r="S29" s="2">
        <v>0.99072899999999997</v>
      </c>
      <c r="T29" s="3">
        <v>1558.47</v>
      </c>
      <c r="X29" s="1">
        <v>40.003999999999998</v>
      </c>
      <c r="Y29" s="2">
        <v>0.99909400000000004</v>
      </c>
      <c r="Z29" s="3">
        <v>1538.56</v>
      </c>
    </row>
    <row r="30" spans="5:26" x14ac:dyDescent="0.3">
      <c r="R30" s="1">
        <v>59.503999999999998</v>
      </c>
      <c r="S30" s="2">
        <v>0.99033700000000002</v>
      </c>
      <c r="T30" s="3">
        <v>1558.91</v>
      </c>
      <c r="X30" s="1">
        <v>41.003999999999998</v>
      </c>
      <c r="Y30" s="2">
        <v>0.99870099999999995</v>
      </c>
      <c r="Z30" s="3">
        <v>1540.14</v>
      </c>
    </row>
    <row r="31" spans="5:26" x14ac:dyDescent="0.3">
      <c r="G31" s="1"/>
      <c r="H31" s="2"/>
      <c r="N31" s="4"/>
      <c r="X31" s="1">
        <v>42.003999999999998</v>
      </c>
      <c r="Y31" s="2">
        <v>0.99829999999999997</v>
      </c>
      <c r="Z31" s="3">
        <v>1541.66</v>
      </c>
    </row>
    <row r="32" spans="5:26" x14ac:dyDescent="0.3">
      <c r="G32" s="1"/>
      <c r="H32" s="2"/>
      <c r="I32" s="3"/>
      <c r="N32" s="4"/>
      <c r="X32" s="1">
        <v>43.003999999999998</v>
      </c>
      <c r="Y32" s="2">
        <v>0.997892</v>
      </c>
      <c r="Z32" s="3">
        <v>1543.11</v>
      </c>
    </row>
    <row r="33" spans="7:26" x14ac:dyDescent="0.3">
      <c r="G33" s="1"/>
      <c r="H33" s="2"/>
      <c r="I33" s="3"/>
      <c r="X33" s="1">
        <v>44.003999999999998</v>
      </c>
      <c r="Y33" s="2">
        <v>0.99747600000000003</v>
      </c>
      <c r="Z33" s="3">
        <v>1544.36</v>
      </c>
    </row>
    <row r="34" spans="7:26" x14ac:dyDescent="0.3">
      <c r="G34" s="1"/>
      <c r="H34" s="2"/>
      <c r="I34" s="3"/>
      <c r="X34" s="1">
        <v>45.003</v>
      </c>
      <c r="Y34" s="2">
        <v>0.99705500000000002</v>
      </c>
      <c r="Z34" s="3">
        <v>1545.71</v>
      </c>
    </row>
    <row r="35" spans="7:26" x14ac:dyDescent="0.3">
      <c r="G35" s="1"/>
      <c r="H35" s="2"/>
      <c r="I35" s="3"/>
      <c r="O35" s="4" t="s">
        <v>22</v>
      </c>
      <c r="X35" s="1">
        <v>46.003999999999998</v>
      </c>
      <c r="Y35" s="2">
        <v>0.99662600000000001</v>
      </c>
      <c r="Z35" s="3">
        <v>1547</v>
      </c>
    </row>
    <row r="36" spans="7:26" x14ac:dyDescent="0.3">
      <c r="G36" s="1"/>
      <c r="H36" s="2"/>
      <c r="I36" s="3"/>
      <c r="O36" s="4" t="s">
        <v>23</v>
      </c>
      <c r="X36" s="1">
        <v>47.003</v>
      </c>
      <c r="Y36" s="2">
        <v>0.99619100000000005</v>
      </c>
      <c r="Z36" s="3">
        <v>1548.25</v>
      </c>
    </row>
    <row r="37" spans="7:26" x14ac:dyDescent="0.3">
      <c r="G37" s="1"/>
      <c r="H37" s="2"/>
      <c r="I37" s="3"/>
      <c r="X37" s="1">
        <v>48.003999999999998</v>
      </c>
      <c r="Y37" s="2">
        <v>0.995749</v>
      </c>
      <c r="Z37" s="3">
        <v>1549.41</v>
      </c>
    </row>
    <row r="38" spans="7:26" x14ac:dyDescent="0.3">
      <c r="G38" s="1"/>
      <c r="H38" s="2"/>
      <c r="I38" s="3"/>
      <c r="X38" s="1">
        <v>49.003999999999998</v>
      </c>
      <c r="Y38" s="2">
        <v>0.99530300000000005</v>
      </c>
      <c r="Z38" s="3">
        <v>1550.56</v>
      </c>
    </row>
    <row r="39" spans="7:26" x14ac:dyDescent="0.3">
      <c r="G39" s="1"/>
      <c r="H39" s="2"/>
      <c r="I39" s="3"/>
      <c r="X39" s="1">
        <v>50.003999999999998</v>
      </c>
      <c r="Y39" s="2">
        <v>0.99484899999999998</v>
      </c>
      <c r="Z39" s="3">
        <v>1551.65</v>
      </c>
    </row>
    <row r="40" spans="7:26" x14ac:dyDescent="0.3">
      <c r="G40" s="1"/>
      <c r="H40" s="2"/>
      <c r="I40" s="3"/>
      <c r="X40" s="1">
        <v>51.003999999999998</v>
      </c>
      <c r="Y40" s="2">
        <v>0.99439</v>
      </c>
      <c r="Z40" s="3">
        <v>1552.7</v>
      </c>
    </row>
    <row r="41" spans="7:26" x14ac:dyDescent="0.3">
      <c r="G41" s="1"/>
      <c r="H41" s="2"/>
      <c r="I41" s="3"/>
      <c r="X41" s="1">
        <v>52.003999999999998</v>
      </c>
      <c r="Y41" s="2">
        <v>0.99392199999999997</v>
      </c>
      <c r="Z41" s="3">
        <v>1553.69</v>
      </c>
    </row>
    <row r="42" spans="7:26" x14ac:dyDescent="0.3">
      <c r="G42" s="1"/>
      <c r="H42" s="2"/>
      <c r="I42" s="3"/>
      <c r="X42" s="1">
        <v>53.003</v>
      </c>
      <c r="Y42" s="2">
        <v>0.99345000000000006</v>
      </c>
      <c r="Z42" s="3">
        <v>1554.63</v>
      </c>
    </row>
    <row r="43" spans="7:26" x14ac:dyDescent="0.3">
      <c r="G43" s="1"/>
      <c r="H43" s="2"/>
      <c r="I43" s="3"/>
      <c r="X43" s="1">
        <v>54.003999999999998</v>
      </c>
      <c r="Y43" s="2">
        <v>0.99297100000000005</v>
      </c>
      <c r="Z43" s="3">
        <v>1555.48</v>
      </c>
    </row>
    <row r="44" spans="7:26" x14ac:dyDescent="0.3">
      <c r="G44" s="1"/>
      <c r="H44" s="2"/>
      <c r="I44" s="3"/>
      <c r="X44" s="1">
        <v>55.003999999999998</v>
      </c>
      <c r="Y44" s="2">
        <v>0.99247300000000005</v>
      </c>
      <c r="Z44" s="3">
        <v>1556.13</v>
      </c>
    </row>
    <row r="45" spans="7:26" x14ac:dyDescent="0.3">
      <c r="G45" s="1"/>
      <c r="H45" s="2"/>
      <c r="I45" s="3"/>
      <c r="X45" s="1">
        <v>56.009</v>
      </c>
      <c r="Y45" s="2">
        <v>0.991892</v>
      </c>
      <c r="Z45" s="3">
        <v>1556.88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8D38-5AE8-4E4F-976E-0F6C7CFE542D}">
  <dimension ref="A1:K33"/>
  <sheetViews>
    <sheetView workbookViewId="0">
      <selection activeCell="M18" sqref="M18"/>
    </sheetView>
  </sheetViews>
  <sheetFormatPr defaultRowHeight="14.4" x14ac:dyDescent="0.3"/>
  <cols>
    <col min="2" max="4" width="12" bestFit="1" customWidth="1"/>
    <col min="6" max="6" width="12" bestFit="1" customWidth="1"/>
    <col min="11" max="11" width="12" bestFit="1" customWidth="1"/>
    <col min="13" max="13" width="10" bestFit="1" customWidth="1"/>
  </cols>
  <sheetData>
    <row r="1" spans="1:11" x14ac:dyDescent="0.3">
      <c r="A1">
        <f>0.30478/(5.2807*10^-4)</f>
        <v>577.1583312818376</v>
      </c>
      <c r="B1" t="s">
        <v>58</v>
      </c>
      <c r="C1">
        <f>A1*H1</f>
        <v>1.0388849963073078E-5</v>
      </c>
      <c r="D1">
        <f>C1*J1</f>
        <v>103.88849963073078</v>
      </c>
      <c r="E1" t="s">
        <v>59</v>
      </c>
      <c r="F1">
        <f>(ABS(100-D1)/100)*100</f>
        <v>3.8884996307307773</v>
      </c>
      <c r="G1" t="s">
        <v>60</v>
      </c>
      <c r="H1">
        <f>18*10^(-9)</f>
        <v>1.8000000000000002E-8</v>
      </c>
      <c r="J1">
        <f>10^7</f>
        <v>10000000</v>
      </c>
      <c r="K1" t="s">
        <v>62</v>
      </c>
    </row>
    <row r="3" spans="1:11" x14ac:dyDescent="0.3">
      <c r="A3">
        <f>0.38367/(6.89*10^-4)</f>
        <v>556.85050798258339</v>
      </c>
      <c r="B3" t="s">
        <v>61</v>
      </c>
      <c r="C3">
        <f>A3*H1</f>
        <v>1.0023309143686502E-5</v>
      </c>
      <c r="D3">
        <f>C3*J1</f>
        <v>100.23309143686502</v>
      </c>
      <c r="E3" t="s">
        <v>59</v>
      </c>
      <c r="F3">
        <f>(ABS(100-D3)/100)*100</f>
        <v>0.23309143686502409</v>
      </c>
    </row>
    <row r="5" spans="1:11" x14ac:dyDescent="0.3">
      <c r="A5">
        <f>0.45859/(8.88*10^-4)</f>
        <v>516.43018018018006</v>
      </c>
      <c r="B5" t="s">
        <v>63</v>
      </c>
      <c r="C5">
        <f>A5*H1</f>
        <v>9.2957432432432417E-6</v>
      </c>
      <c r="D5">
        <f>C5*J1</f>
        <v>92.957432432432412</v>
      </c>
      <c r="E5" t="s">
        <v>59</v>
      </c>
      <c r="F5">
        <f t="shared" ref="F5:F11" si="0">((100-D5)/100)*100</f>
        <v>7.0425675675675867</v>
      </c>
      <c r="J5" t="s">
        <v>75</v>
      </c>
      <c r="K5" t="s">
        <v>76</v>
      </c>
    </row>
    <row r="7" spans="1:11" x14ac:dyDescent="0.3">
      <c r="A7">
        <f>0.50974/0.00107</f>
        <v>476.39252336448595</v>
      </c>
      <c r="B7" t="s">
        <v>67</v>
      </c>
      <c r="C7">
        <f>A7*H1</f>
        <v>8.5750654205607483E-6</v>
      </c>
      <c r="D7">
        <f>C7*J1</f>
        <v>85.750654205607489</v>
      </c>
      <c r="E7" t="s">
        <v>59</v>
      </c>
      <c r="F7">
        <f t="shared" si="0"/>
        <v>14.249345794392509</v>
      </c>
    </row>
    <row r="9" spans="1:11" x14ac:dyDescent="0.3">
      <c r="A9">
        <f>0.51004/0.00107</f>
        <v>476.67289719626172</v>
      </c>
      <c r="B9" t="s">
        <v>64</v>
      </c>
      <c r="C9">
        <f>A9*H1</f>
        <v>8.5801121495327119E-6</v>
      </c>
      <c r="D9">
        <f>C9*J1</f>
        <v>85.801121495327124</v>
      </c>
      <c r="E9" t="s">
        <v>59</v>
      </c>
      <c r="F9">
        <f t="shared" si="0"/>
        <v>14.198878504672876</v>
      </c>
      <c r="H9" s="5" t="s">
        <v>77</v>
      </c>
      <c r="I9">
        <f>(D1-D7)/2</f>
        <v>9.0689227125616441</v>
      </c>
      <c r="K9" t="s">
        <v>78</v>
      </c>
    </row>
    <row r="10" spans="1:11" x14ac:dyDescent="0.3">
      <c r="K10">
        <f>((100-F13)/100)*100</f>
        <v>7.4833885389699626</v>
      </c>
    </row>
    <row r="11" spans="1:11" x14ac:dyDescent="0.3">
      <c r="A11">
        <f>0.55244/0.00115</f>
        <v>480.38260869565221</v>
      </c>
      <c r="B11" t="s">
        <v>65</v>
      </c>
      <c r="C11">
        <f>A11*H1</f>
        <v>8.6468869565217408E-6</v>
      </c>
      <c r="D11">
        <f>C11*J1</f>
        <v>86.468869565217403</v>
      </c>
      <c r="E11" t="s">
        <v>59</v>
      </c>
      <c r="F11">
        <f t="shared" si="0"/>
        <v>13.531130434782595</v>
      </c>
      <c r="K11">
        <f>(F7-F1)/2</f>
        <v>5.1804230818308659</v>
      </c>
    </row>
    <row r="13" spans="1:11" x14ac:dyDescent="0.3">
      <c r="E13" t="s">
        <v>66</v>
      </c>
      <c r="F13">
        <f>AVERAGE(D1:D11)</f>
        <v>92.516611461030038</v>
      </c>
    </row>
    <row r="17" spans="1:6" x14ac:dyDescent="0.3">
      <c r="A17" t="s">
        <v>68</v>
      </c>
    </row>
    <row r="19" spans="1:6" x14ac:dyDescent="0.3">
      <c r="A19" t="s">
        <v>69</v>
      </c>
      <c r="B19">
        <f>0.04334/(2.46856*10^(-4))</f>
        <v>175.56794244417796</v>
      </c>
      <c r="C19">
        <f>B19*H1</f>
        <v>3.1602229639952038E-6</v>
      </c>
      <c r="D19">
        <f>C19*J1</f>
        <v>31.602229639952039</v>
      </c>
    </row>
    <row r="21" spans="1:6" x14ac:dyDescent="0.3">
      <c r="A21" t="s">
        <v>70</v>
      </c>
      <c r="B21">
        <f>0.31721/0.00116</f>
        <v>273.45689655172413</v>
      </c>
      <c r="C21">
        <f>B21*H1</f>
        <v>4.9222241379310348E-6</v>
      </c>
      <c r="D21">
        <f>C21*J1</f>
        <v>49.222241379310347</v>
      </c>
    </row>
    <row r="23" spans="1:6" x14ac:dyDescent="0.3">
      <c r="A23" t="s">
        <v>71</v>
      </c>
      <c r="B23">
        <f>0.50742/0.00189</f>
        <v>268.47619047619048</v>
      </c>
      <c r="C23">
        <f>B23*H1</f>
        <v>4.832571428571429E-6</v>
      </c>
      <c r="D23">
        <f>C23*J1</f>
        <v>48.325714285714291</v>
      </c>
    </row>
    <row r="25" spans="1:6" x14ac:dyDescent="0.3">
      <c r="A25" t="s">
        <v>72</v>
      </c>
      <c r="B25">
        <f>0.78931/0.00381</f>
        <v>207.16797900262466</v>
      </c>
      <c r="C25">
        <f>B25*H1</f>
        <v>3.7290236220472442E-6</v>
      </c>
      <c r="D25">
        <f>C25*J1</f>
        <v>37.290236220472444</v>
      </c>
    </row>
    <row r="27" spans="1:6" x14ac:dyDescent="0.3">
      <c r="A27" t="s">
        <v>73</v>
      </c>
      <c r="B27">
        <f>0.97828/0.00548</f>
        <v>178.51824817518249</v>
      </c>
      <c r="C27">
        <f>B27*H1</f>
        <v>3.2133284671532853E-6</v>
      </c>
      <c r="D27">
        <f>C27*J1</f>
        <v>32.133284671532856</v>
      </c>
    </row>
    <row r="29" spans="1:6" x14ac:dyDescent="0.3">
      <c r="A29" t="s">
        <v>74</v>
      </c>
      <c r="B29">
        <f>1.08309/0.00598</f>
        <v>181.11872909698999</v>
      </c>
      <c r="C29">
        <f>B29*H1</f>
        <v>3.2601371237458201E-6</v>
      </c>
      <c r="D29">
        <f>C29*J1</f>
        <v>32.601371237458203</v>
      </c>
    </row>
    <row r="31" spans="1:6" x14ac:dyDescent="0.3">
      <c r="E31" t="s">
        <v>66</v>
      </c>
      <c r="F31">
        <f>AVERAGE(D19:D29)</f>
        <v>38.529179572406697</v>
      </c>
    </row>
    <row r="33" spans="6:6" x14ac:dyDescent="0.3">
      <c r="F33">
        <f>(D19-D27)/2</f>
        <v>-0.26552751579040823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F95C-FA20-4F4E-9688-03BECB3AC9FD}">
  <dimension ref="A2:I18"/>
  <sheetViews>
    <sheetView topLeftCell="A13" workbookViewId="0">
      <selection activeCell="H13" sqref="H13"/>
    </sheetView>
  </sheetViews>
  <sheetFormatPr defaultRowHeight="14.4" x14ac:dyDescent="0.3"/>
  <cols>
    <col min="2" max="2" width="12" bestFit="1" customWidth="1"/>
    <col min="3" max="3" width="14.33203125" bestFit="1" customWidth="1"/>
    <col min="4" max="4" width="14" bestFit="1" customWidth="1"/>
    <col min="5" max="5" width="14.44140625" bestFit="1" customWidth="1"/>
    <col min="6" max="6" width="12.21875" bestFit="1" customWidth="1"/>
    <col min="7" max="7" width="12" bestFit="1" customWidth="1"/>
    <col min="8" max="8" width="14.33203125" bestFit="1" customWidth="1"/>
    <col min="9" max="9" width="14.77734375" bestFit="1" customWidth="1"/>
  </cols>
  <sheetData>
    <row r="2" spans="1:9" x14ac:dyDescent="0.3">
      <c r="A2" t="s">
        <v>24</v>
      </c>
      <c r="B2" t="s">
        <v>50</v>
      </c>
      <c r="C2" t="s">
        <v>25</v>
      </c>
    </row>
    <row r="3" spans="1:9" x14ac:dyDescent="0.3">
      <c r="A3" t="s">
        <v>26</v>
      </c>
      <c r="B3">
        <f>34.8+0.21</f>
        <v>35.01</v>
      </c>
      <c r="C3">
        <v>18</v>
      </c>
    </row>
    <row r="4" spans="1:9" x14ac:dyDescent="0.3">
      <c r="A4" t="s">
        <v>27</v>
      </c>
      <c r="B4">
        <f>34.8-0.21</f>
        <v>34.589999999999996</v>
      </c>
      <c r="C4">
        <v>22</v>
      </c>
    </row>
    <row r="7" spans="1:9" x14ac:dyDescent="0.3">
      <c r="B7" t="s">
        <v>28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</row>
    <row r="8" spans="1:9" x14ac:dyDescent="0.3">
      <c r="A8" t="s">
        <v>36</v>
      </c>
      <c r="B8">
        <f>B4</f>
        <v>34.589999999999996</v>
      </c>
      <c r="C8">
        <f>B3</f>
        <v>35.01</v>
      </c>
      <c r="D8">
        <v>72.7</v>
      </c>
      <c r="E8">
        <v>72.900000000000006</v>
      </c>
      <c r="F8">
        <f>D8*(1+COS(C8*PI()/180))</f>
        <v>132.24507486315633</v>
      </c>
      <c r="G8">
        <f>E8*(1+COS(B8*PI()/180))</f>
        <v>132.913865283809</v>
      </c>
      <c r="H8">
        <f>F8^2/(4*E8)</f>
        <v>59.975170869553565</v>
      </c>
      <c r="I8">
        <f>G8^2/(4*D8)</f>
        <v>60.749984816652429</v>
      </c>
    </row>
    <row r="9" spans="1:9" x14ac:dyDescent="0.3">
      <c r="A9" t="s">
        <v>37</v>
      </c>
      <c r="B9">
        <v>18</v>
      </c>
      <c r="C9">
        <v>22</v>
      </c>
      <c r="D9">
        <v>50.5</v>
      </c>
      <c r="E9">
        <v>51.1</v>
      </c>
      <c r="F9">
        <f>D9*(1+COS(C9*PI()/180))</f>
        <v>97.322784655622769</v>
      </c>
      <c r="G9">
        <f>E9*(1+COS(B9*PI()/180))</f>
        <v>99.698987982682354</v>
      </c>
      <c r="H9">
        <f>F9^2/(4*E9)</f>
        <v>46.339160533878292</v>
      </c>
      <c r="I9">
        <f>G9^2/(4*D9)</f>
        <v>49.207367350351689</v>
      </c>
    </row>
    <row r="12" spans="1:9" x14ac:dyDescent="0.3">
      <c r="A12" t="s">
        <v>38</v>
      </c>
      <c r="B12" t="s">
        <v>39</v>
      </c>
      <c r="C12" t="s">
        <v>40</v>
      </c>
      <c r="D12" t="s">
        <v>41</v>
      </c>
      <c r="E12" t="s">
        <v>42</v>
      </c>
      <c r="G12" t="s">
        <v>43</v>
      </c>
      <c r="H12" t="s">
        <v>44</v>
      </c>
    </row>
    <row r="13" spans="1:9" x14ac:dyDescent="0.3">
      <c r="A13" t="s">
        <v>45</v>
      </c>
      <c r="B13">
        <f>(I8+H8)/2</f>
        <v>60.362577843102997</v>
      </c>
      <c r="C13">
        <f>(I8-H8)/2</f>
        <v>0.38740697354943165</v>
      </c>
      <c r="D13">
        <f>B13-E13</f>
        <v>12.589313900988003</v>
      </c>
      <c r="E13">
        <f>B14</f>
        <v>47.773263942114994</v>
      </c>
      <c r="G13">
        <f>(G8+F8)/2</f>
        <v>132.57947007348267</v>
      </c>
      <c r="H13">
        <f>(G8-F8)/2</f>
        <v>0.33439521032633479</v>
      </c>
    </row>
    <row r="14" spans="1:9" x14ac:dyDescent="0.3">
      <c r="A14" t="s">
        <v>46</v>
      </c>
      <c r="B14">
        <f>(I9+H9)/2</f>
        <v>47.773263942114994</v>
      </c>
      <c r="C14">
        <f>(I9-H9)/2</f>
        <v>1.4341034082366981</v>
      </c>
      <c r="D14">
        <v>0</v>
      </c>
      <c r="E14">
        <f>B14</f>
        <v>47.773263942114994</v>
      </c>
      <c r="G14">
        <f>(G9+F9)/2</f>
        <v>98.510886319152561</v>
      </c>
      <c r="H14">
        <f>(G9-F9)/2</f>
        <v>1.1881016635297925</v>
      </c>
    </row>
    <row r="16" spans="1:9" x14ac:dyDescent="0.3">
      <c r="B16" t="s">
        <v>47</v>
      </c>
      <c r="C16" t="s">
        <v>48</v>
      </c>
      <c r="D16" t="s">
        <v>39</v>
      </c>
      <c r="E16" t="s">
        <v>56</v>
      </c>
      <c r="F16" t="s">
        <v>57</v>
      </c>
    </row>
    <row r="17" spans="1:6" x14ac:dyDescent="0.3">
      <c r="A17" t="s">
        <v>45</v>
      </c>
      <c r="B17" t="s">
        <v>53</v>
      </c>
      <c r="C17" t="s">
        <v>54</v>
      </c>
      <c r="D17" t="s">
        <v>55</v>
      </c>
      <c r="E17">
        <v>12.59</v>
      </c>
      <c r="F17">
        <v>47.77</v>
      </c>
    </row>
    <row r="18" spans="1:6" x14ac:dyDescent="0.3">
      <c r="A18" t="s">
        <v>46</v>
      </c>
      <c r="B18" t="s">
        <v>49</v>
      </c>
      <c r="C18" t="s">
        <v>51</v>
      </c>
      <c r="D18" t="s">
        <v>52</v>
      </c>
      <c r="E18">
        <v>0</v>
      </c>
      <c r="F18">
        <v>47.77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022-953F-4A0B-B887-675DC187DB65}">
  <dimension ref="B1:V43"/>
  <sheetViews>
    <sheetView topLeftCell="C1" zoomScale="115" zoomScaleNormal="115" workbookViewId="0">
      <selection activeCell="J34" sqref="J34"/>
    </sheetView>
  </sheetViews>
  <sheetFormatPr defaultRowHeight="14.4" x14ac:dyDescent="0.3"/>
  <sheetData>
    <row r="1" spans="2:22" x14ac:dyDescent="0.3">
      <c r="B1" t="s">
        <v>0</v>
      </c>
      <c r="C1" t="s">
        <v>79</v>
      </c>
    </row>
    <row r="2" spans="2:22" x14ac:dyDescent="0.3">
      <c r="B2">
        <v>40.003999999999998</v>
      </c>
      <c r="C2">
        <v>0.92610697165516542</v>
      </c>
      <c r="F2" s="1">
        <v>20.003</v>
      </c>
      <c r="G2">
        <v>0.87347727868638592</v>
      </c>
    </row>
    <row r="3" spans="2:22" x14ac:dyDescent="0.3">
      <c r="B3">
        <v>40.753999999999998</v>
      </c>
      <c r="C3">
        <v>0.92662486258247589</v>
      </c>
      <c r="F3" s="1">
        <v>20.504000000000001</v>
      </c>
      <c r="G3">
        <v>0.87285541351522145</v>
      </c>
    </row>
    <row r="4" spans="2:22" x14ac:dyDescent="0.3">
      <c r="B4">
        <v>41.503999999999998</v>
      </c>
      <c r="C4">
        <v>0.92778064088695578</v>
      </c>
      <c r="F4" s="1">
        <v>21.004000000000001</v>
      </c>
      <c r="G4">
        <v>0.87287858658722295</v>
      </c>
    </row>
    <row r="5" spans="2:22" x14ac:dyDescent="0.3">
      <c r="B5">
        <v>42.253</v>
      </c>
      <c r="C5">
        <v>0.92905356001053618</v>
      </c>
      <c r="F5" s="1">
        <v>21.504000000000001</v>
      </c>
      <c r="G5">
        <v>0.87314572002336277</v>
      </c>
      <c r="U5" s="5" t="s">
        <v>81</v>
      </c>
    </row>
    <row r="6" spans="2:22" x14ac:dyDescent="0.3">
      <c r="B6">
        <v>43.003999999999998</v>
      </c>
      <c r="C6">
        <v>0.9303831606907228</v>
      </c>
      <c r="F6" s="1">
        <v>22.004000000000001</v>
      </c>
      <c r="G6">
        <v>0.87399153731501866</v>
      </c>
    </row>
    <row r="7" spans="2:22" x14ac:dyDescent="0.3">
      <c r="B7">
        <v>43.753999999999998</v>
      </c>
      <c r="C7">
        <v>0.93118397482830106</v>
      </c>
      <c r="F7" s="1">
        <v>22.504000000000001</v>
      </c>
      <c r="G7">
        <v>0.87442733927543581</v>
      </c>
    </row>
    <row r="8" spans="2:22" x14ac:dyDescent="0.3">
      <c r="B8">
        <v>44.503999999999998</v>
      </c>
      <c r="C8">
        <v>0.93200321137373265</v>
      </c>
      <c r="F8" s="1">
        <v>23.004000000000001</v>
      </c>
      <c r="G8">
        <v>0.87511856490789464</v>
      </c>
      <c r="U8" t="s">
        <v>82</v>
      </c>
    </row>
    <row r="9" spans="2:22" x14ac:dyDescent="0.3">
      <c r="B9">
        <v>45.253999999999998</v>
      </c>
      <c r="C9">
        <v>0.93285356767891026</v>
      </c>
      <c r="F9" s="1">
        <v>23.504000000000001</v>
      </c>
      <c r="G9">
        <v>0.8757379983963427</v>
      </c>
      <c r="U9">
        <v>36</v>
      </c>
      <c r="V9">
        <v>15</v>
      </c>
    </row>
    <row r="10" spans="2:22" x14ac:dyDescent="0.3">
      <c r="B10">
        <v>46.003999999999998</v>
      </c>
      <c r="C10">
        <v>0.93341132482649614</v>
      </c>
      <c r="F10" s="1">
        <v>24.004999999999999</v>
      </c>
      <c r="G10">
        <v>0.8762028840522833</v>
      </c>
      <c r="U10">
        <v>50</v>
      </c>
      <c r="V10">
        <v>17</v>
      </c>
    </row>
    <row r="11" spans="2:22" x14ac:dyDescent="0.3">
      <c r="B11">
        <v>46.755000000000003</v>
      </c>
      <c r="C11">
        <v>0.93320463914913565</v>
      </c>
      <c r="F11" s="1">
        <v>24.504000000000001</v>
      </c>
      <c r="G11">
        <v>0.87710735260892003</v>
      </c>
    </row>
    <row r="12" spans="2:22" x14ac:dyDescent="0.3">
      <c r="B12">
        <v>47.503999999999998</v>
      </c>
      <c r="C12">
        <v>0.93437125550976852</v>
      </c>
      <c r="F12" s="1">
        <v>25.004000000000001</v>
      </c>
      <c r="G12">
        <v>0.87786474735633646</v>
      </c>
    </row>
    <row r="13" spans="2:22" x14ac:dyDescent="0.3">
      <c r="B13">
        <v>48.253999999999998</v>
      </c>
      <c r="C13">
        <v>0.93580996550656614</v>
      </c>
      <c r="F13" s="1">
        <v>25.504000000000001</v>
      </c>
      <c r="G13">
        <v>0.87856512362978445</v>
      </c>
    </row>
    <row r="14" spans="2:22" x14ac:dyDescent="0.3">
      <c r="B14">
        <v>49.003999999999998</v>
      </c>
      <c r="C14">
        <v>0.96467226359357117</v>
      </c>
      <c r="F14" s="1">
        <v>26.004000000000001</v>
      </c>
      <c r="G14">
        <v>0.87954369641881791</v>
      </c>
    </row>
    <row r="15" spans="2:22" x14ac:dyDescent="0.3">
      <c r="B15">
        <v>49.753999999999998</v>
      </c>
      <c r="C15">
        <v>0.96498349945154882</v>
      </c>
      <c r="F15" s="1">
        <v>26.504000000000001</v>
      </c>
      <c r="G15">
        <v>0.88080440933976845</v>
      </c>
    </row>
    <row r="16" spans="2:22" x14ac:dyDescent="0.3">
      <c r="B16">
        <v>50.503999999999998</v>
      </c>
      <c r="C16">
        <v>0.96507668150860526</v>
      </c>
      <c r="F16" s="1">
        <v>27.003</v>
      </c>
      <c r="G16">
        <v>0.88178286631944058</v>
      </c>
    </row>
    <row r="17" spans="2:7" x14ac:dyDescent="0.3">
      <c r="B17">
        <v>51.253999999999998</v>
      </c>
      <c r="C17">
        <v>0.96530218230564058</v>
      </c>
      <c r="F17" s="1">
        <v>27.504000000000001</v>
      </c>
      <c r="G17">
        <v>0.8825288577421937</v>
      </c>
    </row>
    <row r="18" spans="2:7" x14ac:dyDescent="0.3">
      <c r="B18">
        <v>52.003999999999998</v>
      </c>
      <c r="C18">
        <v>0.96499629963292421</v>
      </c>
      <c r="F18" s="1">
        <v>28.003</v>
      </c>
      <c r="G18">
        <v>0.88342950738603643</v>
      </c>
    </row>
    <row r="19" spans="2:7" x14ac:dyDescent="0.3">
      <c r="B19">
        <v>52.753999999999998</v>
      </c>
      <c r="C19">
        <v>0.96450922312392606</v>
      </c>
      <c r="F19" s="1">
        <v>28.504000000000001</v>
      </c>
      <c r="G19">
        <v>0.88443135255301042</v>
      </c>
    </row>
    <row r="20" spans="2:7" x14ac:dyDescent="0.3">
      <c r="B20">
        <v>53.503999999999998</v>
      </c>
      <c r="C20">
        <v>0.96453096926227866</v>
      </c>
      <c r="F20" s="1">
        <v>29.004000000000001</v>
      </c>
      <c r="G20">
        <v>0.88550026990876252</v>
      </c>
    </row>
    <row r="21" spans="2:7" x14ac:dyDescent="0.3">
      <c r="B21">
        <v>54.253</v>
      </c>
      <c r="C21">
        <v>0.96422275237226607</v>
      </c>
      <c r="F21" s="1">
        <v>29.504000000000001</v>
      </c>
      <c r="G21">
        <v>0.88654193460875141</v>
      </c>
    </row>
    <row r="22" spans="2:7" x14ac:dyDescent="0.3">
      <c r="B22">
        <v>55.003999999999998</v>
      </c>
      <c r="C22">
        <v>0.96378105133194436</v>
      </c>
      <c r="F22" s="1">
        <v>30.004000000000001</v>
      </c>
      <c r="G22">
        <v>0.88722768370701255</v>
      </c>
    </row>
    <row r="23" spans="2:7" x14ac:dyDescent="0.3">
      <c r="B23">
        <v>55.753999999999998</v>
      </c>
      <c r="C23">
        <v>0.96371291641777934</v>
      </c>
      <c r="F23" s="1">
        <v>30.504000000000001</v>
      </c>
      <c r="G23">
        <v>0.88855827640029328</v>
      </c>
    </row>
    <row r="24" spans="2:7" x14ac:dyDescent="0.3">
      <c r="B24">
        <v>56.503999999999998</v>
      </c>
      <c r="C24">
        <v>0.96352712915335792</v>
      </c>
      <c r="F24" s="1">
        <v>31.004000000000001</v>
      </c>
      <c r="G24">
        <v>0.88920778064356676</v>
      </c>
    </row>
    <row r="25" spans="2:7" x14ac:dyDescent="0.3">
      <c r="B25">
        <v>57.253999999999998</v>
      </c>
      <c r="C25">
        <v>0.96323620740702354</v>
      </c>
      <c r="F25" s="1">
        <v>31.504000000000001</v>
      </c>
      <c r="G25">
        <v>0.89050995906414909</v>
      </c>
    </row>
    <row r="26" spans="2:7" x14ac:dyDescent="0.3">
      <c r="B26">
        <v>58.003999999999998</v>
      </c>
      <c r="C26">
        <v>0.96285270309973991</v>
      </c>
      <c r="F26" s="1">
        <v>32.003999999999998</v>
      </c>
      <c r="G26">
        <v>0.89147081583713472</v>
      </c>
    </row>
    <row r="27" spans="2:7" x14ac:dyDescent="0.3">
      <c r="B27">
        <v>58.753999999999998</v>
      </c>
      <c r="C27">
        <v>0.96238920314255494</v>
      </c>
      <c r="F27" s="1">
        <v>32.503</v>
      </c>
      <c r="G27">
        <v>0.89287014067256443</v>
      </c>
    </row>
    <row r="28" spans="2:7" x14ac:dyDescent="0.3">
      <c r="B28">
        <v>59.503999999999998</v>
      </c>
      <c r="C28">
        <v>0.96458542461659402</v>
      </c>
      <c r="F28" s="1">
        <v>33.003999999999998</v>
      </c>
      <c r="G28">
        <v>0.89438016386490937</v>
      </c>
    </row>
    <row r="29" spans="2:7" x14ac:dyDescent="0.3">
      <c r="F29" s="1">
        <v>33.503</v>
      </c>
      <c r="G29">
        <v>0.89678325975953976</v>
      </c>
    </row>
    <row r="30" spans="2:7" x14ac:dyDescent="0.3">
      <c r="F30" s="1">
        <v>34.003999999999998</v>
      </c>
      <c r="G30">
        <v>0.93096174841964419</v>
      </c>
    </row>
    <row r="31" spans="2:7" x14ac:dyDescent="0.3">
      <c r="F31" s="1">
        <v>34.503999999999998</v>
      </c>
      <c r="G31">
        <v>0.93261402613078836</v>
      </c>
    </row>
    <row r="32" spans="2:7" x14ac:dyDescent="0.3">
      <c r="F32" s="1">
        <v>35.003999999999998</v>
      </c>
      <c r="G32">
        <v>0.933946976553235</v>
      </c>
    </row>
    <row r="33" spans="6:7" x14ac:dyDescent="0.3">
      <c r="F33" s="1">
        <v>35.503999999999998</v>
      </c>
      <c r="G33">
        <v>0.93496399001374753</v>
      </c>
    </row>
    <row r="34" spans="6:7" x14ac:dyDescent="0.3">
      <c r="F34" s="1">
        <v>36.003999999999998</v>
      </c>
      <c r="G34">
        <v>0.93566845612199823</v>
      </c>
    </row>
    <row r="35" spans="6:7" x14ac:dyDescent="0.3">
      <c r="F35" s="1">
        <v>36.503</v>
      </c>
      <c r="G35">
        <v>0.93718689958066115</v>
      </c>
    </row>
    <row r="36" spans="6:7" x14ac:dyDescent="0.3">
      <c r="F36" s="1">
        <v>37.003999999999998</v>
      </c>
      <c r="G36">
        <v>0.93748944852364857</v>
      </c>
    </row>
    <row r="37" spans="6:7" x14ac:dyDescent="0.3">
      <c r="F37" s="1">
        <v>37.503999999999998</v>
      </c>
      <c r="G37">
        <v>0.93861374560592103</v>
      </c>
    </row>
    <row r="38" spans="6:7" x14ac:dyDescent="0.3">
      <c r="F38" s="1">
        <v>38.003</v>
      </c>
      <c r="G38">
        <v>0.93923110023850509</v>
      </c>
    </row>
    <row r="39" spans="6:7" x14ac:dyDescent="0.3">
      <c r="F39" s="1">
        <v>38.503</v>
      </c>
      <c r="G39">
        <v>0.94009840542204937</v>
      </c>
    </row>
    <row r="40" spans="6:7" x14ac:dyDescent="0.3">
      <c r="F40" s="1">
        <v>39.003999999999998</v>
      </c>
      <c r="G40">
        <v>0.94021228122933898</v>
      </c>
    </row>
    <row r="41" spans="6:7" x14ac:dyDescent="0.3">
      <c r="F41" s="1">
        <v>39.503999999999998</v>
      </c>
      <c r="G41">
        <v>0.94116902102828814</v>
      </c>
    </row>
    <row r="42" spans="6:7" x14ac:dyDescent="0.3">
      <c r="F42" s="1">
        <v>40.003999999999998</v>
      </c>
      <c r="G42">
        <v>0.94150733470849401</v>
      </c>
    </row>
    <row r="43" spans="6:7" x14ac:dyDescent="0.3">
      <c r="F43" s="1">
        <v>40.505000000000003</v>
      </c>
      <c r="G43">
        <v>0.94176831345553136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LOSADA PEREZ Patricia Maria</dc:creator>
  <cp:lastModifiedBy>Rodrigues Fernandes Ana Patrícia</cp:lastModifiedBy>
  <dcterms:created xsi:type="dcterms:W3CDTF">2023-12-08T10:26:26Z</dcterms:created>
  <dcterms:modified xsi:type="dcterms:W3CDTF">2024-01-12T09:07:06Z</dcterms:modified>
</cp:coreProperties>
</file>